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drawings/drawing5.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drawings/drawing8.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drawings/drawing9.xml" ContentType="application/vnd.openxmlformats-officedocument.drawing+xml"/>
  <Override PartName="/xl/comments7.xml" ContentType="application/vnd.openxmlformats-officedocument.spreadsheetml.comments+xml"/>
  <Override PartName="/xl/threadedComments/threadedComment6.xml" ContentType="application/vnd.ms-excel.threadedcomments+xml"/>
  <Override PartName="/xl/drawings/drawing10.xml" ContentType="application/vnd.openxmlformats-officedocument.drawing+xml"/>
  <Override PartName="/xl/comments8.xml" ContentType="application/vnd.openxmlformats-officedocument.spreadsheetml.comments+xml"/>
  <Override PartName="/xl/threadedComments/threadedComment7.xml" ContentType="application/vnd.ms-excel.threadedcomments+xml"/>
  <Override PartName="/xl/drawings/drawing11.xml" ContentType="application/vnd.openxmlformats-officedocument.drawing+xml"/>
  <Override PartName="/xl/comments9.xml" ContentType="application/vnd.openxmlformats-officedocument.spreadsheetml.comments+xml"/>
  <Override PartName="/xl/threadedComments/threadedComment8.xml" ContentType="application/vnd.ms-excel.threadedcomments+xml"/>
  <Override PartName="/xl/drawings/drawing12.xml" ContentType="application/vnd.openxmlformats-officedocument.drawing+xml"/>
  <Override PartName="/xl/comments10.xml" ContentType="application/vnd.openxmlformats-officedocument.spreadsheetml.comments+xml"/>
  <Override PartName="/xl/threadedComments/threadedComment9.xml" ContentType="application/vnd.ms-excel.threadedcomments+xml"/>
  <Override PartName="/xl/drawings/drawing13.xml" ContentType="application/vnd.openxmlformats-officedocument.drawing+xml"/>
  <Override PartName="/xl/comments11.xml" ContentType="application/vnd.openxmlformats-officedocument.spreadsheetml.comments+xml"/>
  <Override PartName="/xl/threadedComments/threadedComment10.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threadedComments/threadedComment11.xml" ContentType="application/vnd.ms-excel.threadedcomments+xml"/>
  <Override PartName="/xl/drawings/drawing15.xml" ContentType="application/vnd.openxmlformats-officedocument.drawing+xml"/>
  <Override PartName="/xl/comments13.xml" ContentType="application/vnd.openxmlformats-officedocument.spreadsheetml.comments+xml"/>
  <Override PartName="/xl/threadedComments/threadedComment12.xml" ContentType="application/vnd.ms-excel.threadedcomments+xml"/>
  <Override PartName="/xl/drawings/drawing16.xml" ContentType="application/vnd.openxmlformats-officedocument.drawing+xml"/>
  <Override PartName="/xl/comments14.xml" ContentType="application/vnd.openxmlformats-officedocument.spreadsheetml.comments+xml"/>
  <Override PartName="/xl/threadedComments/threadedComment13.xml" ContentType="application/vnd.ms-excel.threadedcomments+xml"/>
  <Override PartName="/xl/drawings/drawing17.xml" ContentType="application/vnd.openxmlformats-officedocument.drawing+xml"/>
  <Override PartName="/xl/comments15.xml" ContentType="application/vnd.openxmlformats-officedocument.spreadsheetml.comments+xml"/>
  <Override PartName="/xl/threadedComments/threadedComment14.xml" ContentType="application/vnd.ms-excel.threadedcomments+xml"/>
  <Override PartName="/xl/drawings/drawing18.xml" ContentType="application/vnd.openxmlformats-officedocument.drawing+xml"/>
  <Override PartName="/xl/comments16.xml" ContentType="application/vnd.openxmlformats-officedocument.spreadsheetml.comments+xml"/>
  <Override PartName="/xl/threadedComments/threadedComment15.xml" ContentType="application/vnd.ms-excel.threadedcomments+xml"/>
  <Override PartName="/xl/drawings/drawing19.xml" ContentType="application/vnd.openxmlformats-officedocument.drawing+xml"/>
  <Override PartName="/xl/comments17.xml" ContentType="application/vnd.openxmlformats-officedocument.spreadsheetml.comments+xml"/>
  <Override PartName="/xl/threadedComments/threadedComment16.xml" ContentType="application/vnd.ms-excel.threadedcomments+xml"/>
  <Override PartName="/xl/comments18.xml" ContentType="application/vnd.openxmlformats-officedocument.spreadsheetml.comments+xml"/>
  <Override PartName="/xl/threadedComments/threadedComment17.xml" ContentType="application/vnd.ms-excel.threadedcomments+xml"/>
  <Override PartName="/xl/comments19.xml" ContentType="application/vnd.openxmlformats-officedocument.spreadsheetml.comments+xml"/>
  <Override PartName="/xl/threadedComments/threadedComment18.xml" ContentType="application/vnd.ms-excel.threaded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date1904="1" showInkAnnotation="0" codeName="ThisWorkbook" autoCompressPictures="0"/>
  <mc:AlternateContent xmlns:mc="http://schemas.openxmlformats.org/markup-compatibility/2006">
    <mc:Choice Requires="x15">
      <x15ac:absPath xmlns:x15ac="http://schemas.microsoft.com/office/spreadsheetml/2010/11/ac" url="/Users/tove/Documents/Lønberegninger/25-26/"/>
    </mc:Choice>
  </mc:AlternateContent>
  <xr:revisionPtr revIDLastSave="0" documentId="8_{6A2253CC-FD76-C642-BC1E-AC1E43AA185F}" xr6:coauthVersionLast="47" xr6:coauthVersionMax="47" xr10:uidLastSave="{00000000-0000-0000-0000-000000000000}"/>
  <bookViews>
    <workbookView xWindow="0" yWindow="500" windowWidth="27940" windowHeight="17500" firstSheet="5" activeTab="9" xr2:uid="{00000000-000D-0000-FFFF-FFFF00000000}"/>
  </bookViews>
  <sheets>
    <sheet name="Vejledning" sheetId="5" r:id="rId1"/>
    <sheet name="Foraeldreorlov" sheetId="578" state="hidden" r:id="rId2"/>
    <sheet name="Nylønstillaeg" sheetId="6" r:id="rId3"/>
    <sheet name="Trin4tillaeg" sheetId="435" r:id="rId4"/>
    <sheet name="Seniorordningsberegner" sheetId="959" r:id="rId5"/>
    <sheet name="LonspecAar" sheetId="497" r:id="rId6"/>
    <sheet name="LonspecAarBarsel" sheetId="577" state="hidden" r:id="rId7"/>
    <sheet name="LonspecAlle" sheetId="499" r:id="rId8"/>
    <sheet name="Lonspec" sheetId="717" r:id="rId9"/>
    <sheet name="A" sheetId="546" r:id="rId10"/>
    <sheet name="ArkA" sheetId="870" state="hidden" r:id="rId11"/>
    <sheet name="Ark3" sheetId="872" state="hidden" r:id="rId12"/>
    <sheet name="Ark4" sheetId="873" state="hidden" r:id="rId13"/>
    <sheet name="Ark5" sheetId="874" state="hidden" r:id="rId14"/>
    <sheet name="B" sheetId="1050" r:id="rId15"/>
    <sheet name="C" sheetId="1051" r:id="rId16"/>
    <sheet name="D" sheetId="1052" r:id="rId17"/>
    <sheet name="E" sheetId="1053" r:id="rId18"/>
    <sheet name="F" sheetId="1054" r:id="rId19"/>
    <sheet name="G" sheetId="1055" r:id="rId20"/>
    <sheet name="H" sheetId="1056" r:id="rId21"/>
    <sheet name="I" sheetId="1057" r:id="rId22"/>
    <sheet name="J" sheetId="1058" r:id="rId23"/>
    <sheet name="K" sheetId="1059" r:id="rId24"/>
    <sheet name="L" sheetId="1060" r:id="rId25"/>
    <sheet name="M" sheetId="1061" r:id="rId26"/>
    <sheet name="N" sheetId="1062" r:id="rId27"/>
    <sheet name="O" sheetId="1063" r:id="rId28"/>
    <sheet name="P" sheetId="1064" r:id="rId29"/>
    <sheet name="LonspecLeder" sheetId="236" r:id="rId30"/>
    <sheet name="Leder" sheetId="173" r:id="rId31"/>
    <sheet name="andre" sheetId="17" state="hidden" r:id="rId32"/>
    <sheet name="Lønspec.Øvrigeledere" sheetId="895" r:id="rId33"/>
    <sheet name="Øvrigleder" sheetId="764" r:id="rId34"/>
    <sheet name="Grundlon12" sheetId="269" r:id="rId35"/>
    <sheet name="Ex09_10" sheetId="63" state="hidden" r:id="rId36"/>
    <sheet name="Ex10_11" sheetId="18" state="hidden" r:id="rId37"/>
    <sheet name="Ex11_12" sheetId="219" state="hidden" r:id="rId38"/>
    <sheet name="Ex12_13" sheetId="371" state="hidden" r:id="rId39"/>
    <sheet name="Ex13_14" sheetId="419" state="hidden" r:id="rId40"/>
    <sheet name="Grundlon" sheetId="2" state="hidden" r:id="rId41"/>
  </sheets>
  <externalReferences>
    <externalReference r:id="rId42"/>
    <externalReference r:id="rId43"/>
    <externalReference r:id="rId44"/>
    <externalReference r:id="rId45"/>
  </externalReferences>
  <definedNames>
    <definedName name="_Udskriftsområde" localSheetId="31">andre!$A$1:$L$22</definedName>
    <definedName name="base" localSheetId="29">LonspecLeder!#REF!</definedName>
    <definedName name="base" localSheetId="32">Lønspec.Øvrigeledere!#REF!</definedName>
    <definedName name="basistabel" localSheetId="31">Grundlon!$A$59:$G$64</definedName>
    <definedName name="basistabel" localSheetId="34">[1]Grundlon!$A$59:$G$64</definedName>
    <definedName name="basistabel" localSheetId="8">[2]Grundlon!$A$59:$G$64</definedName>
    <definedName name="basistabel" localSheetId="7">[2]Grundlon!$A$59:$G$64</definedName>
    <definedName name="basistabel" localSheetId="29">[2]Grundlon!$A$59:$G$64</definedName>
    <definedName name="basistabel" localSheetId="5">[2]Grundlon!$A$59:$G$64</definedName>
    <definedName name="basistabel" localSheetId="6">[2]Grundlon!$A$59:$G$64</definedName>
    <definedName name="basistabel" localSheetId="32">[2]Grundlon!$A$59:$G$64</definedName>
    <definedName name="basistabel">Grundlon!$A$4:$G$64</definedName>
    <definedName name="basistabel12" localSheetId="3">[3]Grundlon12!$A$59:$G$64</definedName>
    <definedName name="basistabel12">Grundlon12!$A$59:$G$66</definedName>
    <definedName name="bytom" localSheetId="39">[4]!bytom</definedName>
    <definedName name="lmdr" localSheetId="32">Lønspec.Øvrigeledere!$I$5:$J$16</definedName>
    <definedName name="lmdr">LonspecLeder!$I$5:$J$19</definedName>
    <definedName name="mdr" localSheetId="8">Lonspec!$I$5:$J$17</definedName>
    <definedName name="mdr" localSheetId="5">LonspecAar!$S$4:$T$16</definedName>
    <definedName name="mdr" localSheetId="6">LonspecAarBarsel!$S$9:$T$21</definedName>
    <definedName name="mdr">LonspecAlle!$W$5:$X$16</definedName>
    <definedName name="maaned" localSheetId="8">Lonspec!$F$2:$G$15</definedName>
    <definedName name="maaned" localSheetId="7">LonspecAlle!$F$3:$G$15</definedName>
    <definedName name="maaned" localSheetId="5">LonspecAar!$F$2:$G$14</definedName>
    <definedName name="maaned" localSheetId="6">LonspecAarBarsel!$F$2:$G$19</definedName>
    <definedName name="maaned" localSheetId="32">#REF!</definedName>
    <definedName name="maaned" localSheetId="33">#REF!</definedName>
    <definedName name="maaned">#REF!</definedName>
    <definedName name="omraadetabel" localSheetId="31">Grundlon!$A$69:$F$74</definedName>
    <definedName name="omraadetabel" localSheetId="34">[1]Grundlon!$A$69:$F$74</definedName>
    <definedName name="omraadetabel" localSheetId="8">[2]Grundlon!$A$69:$F$74</definedName>
    <definedName name="omraadetabel" localSheetId="7">[2]Grundlon!$A$69:$F$74</definedName>
    <definedName name="omraadetabel" localSheetId="29">[2]Grundlon!$A$69:$F$74</definedName>
    <definedName name="omraadetabel" localSheetId="5">[2]Grundlon!$A$69:$F$74</definedName>
    <definedName name="omraadetabel" localSheetId="6">[2]Grundlon!$A$69:$F$74</definedName>
    <definedName name="omraadetabel" localSheetId="32">[2]Grundlon!$A$69:$F$74</definedName>
    <definedName name="omraadetabel">Grundlon!$A$69:$F$74</definedName>
    <definedName name="omraadetabel12" localSheetId="3">[3]Grundlon12!$A$69:$F$74</definedName>
    <definedName name="omraadetabel12">Grundlon12!$A$87:$F$94</definedName>
    <definedName name="skalalontabel" localSheetId="31">Grundlon!$A$4:$G$58</definedName>
    <definedName name="Skalalontabel" localSheetId="34">[1]Grundlon!$A$4:$G$58</definedName>
    <definedName name="Skalalontabel" localSheetId="8">[2]Grundlon!$A$4:$G$58</definedName>
    <definedName name="Skalalontabel" localSheetId="7">[2]Grundlon!$A$4:$G$58</definedName>
    <definedName name="Skalalontabel" localSheetId="29">[2]Grundlon!$A$4:$G$58</definedName>
    <definedName name="Skalalontabel" localSheetId="5">[2]Grundlon!$A$4:$G$58</definedName>
    <definedName name="Skalalontabel" localSheetId="6">[2]Grundlon!$A$4:$G$58</definedName>
    <definedName name="Skalalontabel" localSheetId="32">[2]Grundlon!$A$4:$G$58</definedName>
    <definedName name="Skalalontabel12" localSheetId="3">[3]Grundlon12!$A$4:$G$58</definedName>
    <definedName name="Skalalontabel12">Grundlon12!$A$4:$G$58</definedName>
    <definedName name="_xlnm.Print_Area" localSheetId="9">A!$B$1:$AF$134</definedName>
    <definedName name="_xlnm.Print_Area" localSheetId="14">B!$B$1:$AF$134</definedName>
    <definedName name="_xlnm.Print_Area" localSheetId="15">'C'!$B$1:$AF$134</definedName>
    <definedName name="_xlnm.Print_Area" localSheetId="16">D!$B$1:$AF$134</definedName>
    <definedName name="_xlnm.Print_Area" localSheetId="17">E!$B$1:$AF$134</definedName>
    <definedName name="_xlnm.Print_Area" localSheetId="35">Ex09_10!$A$1:$P$105</definedName>
    <definedName name="_xlnm.Print_Area" localSheetId="36">Ex10_11!$A$1:$P$105</definedName>
    <definedName name="_xlnm.Print_Area" localSheetId="37">Ex11_12!$A$1:$P$105</definedName>
    <definedName name="_xlnm.Print_Area" localSheetId="38">Ex12_13!$A$1:$P$105</definedName>
    <definedName name="_xlnm.Print_Area" localSheetId="39">Ex13_14!$A$1:$P$105</definedName>
    <definedName name="_xlnm.Print_Area" localSheetId="18">F!$B$1:$AF$134</definedName>
    <definedName name="_xlnm.Print_Area" localSheetId="19">G!$B$1:$AF$134</definedName>
    <definedName name="_xlnm.Print_Area" localSheetId="34">Grundlon12!$A$102:$E$120</definedName>
    <definedName name="_xlnm.Print_Area" localSheetId="20">H!$B$1:$AF$134</definedName>
    <definedName name="_xlnm.Print_Area" localSheetId="21">I!$B$1:$AF$134</definedName>
    <definedName name="_xlnm.Print_Area" localSheetId="22">J!$B$1:$AF$134</definedName>
    <definedName name="_xlnm.Print_Area" localSheetId="23">K!$B$1:$AF$134</definedName>
    <definedName name="_xlnm.Print_Area" localSheetId="24">L!$B$1:$AF$134</definedName>
    <definedName name="_xlnm.Print_Area" localSheetId="30">Leder!$A$1:$Q$74</definedName>
    <definedName name="_xlnm.Print_Area" localSheetId="8">Lonspec!$B$4:$E$92</definedName>
    <definedName name="_xlnm.Print_Area" localSheetId="7">LonspecAlle!$B$4:$T$92</definedName>
    <definedName name="_xlnm.Print_Area" localSheetId="29">LonspecLeder!$B$4:$C$49</definedName>
    <definedName name="_xlnm.Print_Area" localSheetId="5">LonspecAar!$B$3:$P$84</definedName>
    <definedName name="_xlnm.Print_Area" localSheetId="6">LonspecAarBarsel!$B$3:$P$88</definedName>
    <definedName name="_xlnm.Print_Area" localSheetId="32">Lønspec.Øvrigeledere!$B$4:$C$51</definedName>
    <definedName name="_xlnm.Print_Area" localSheetId="25">M!$B$1:$AF$134</definedName>
    <definedName name="_xlnm.Print_Area" localSheetId="26">N!$B$1:$AF$134</definedName>
    <definedName name="_xlnm.Print_Area" localSheetId="27">O!$B$1:$AF$134</definedName>
    <definedName name="_xlnm.Print_Area" localSheetId="28">P!$B$1:$AF$134</definedName>
    <definedName name="_xlnm.Print_Area" localSheetId="4">Seniorordningsberegner!$A$1:$D$25</definedName>
    <definedName name="_xlnm.Print_Area" localSheetId="33">Øvrigleder!$A$1:$Q$76</definedName>
  </definedNames>
  <calcPr calcId="191029"/>
  <webPublishing allowPng="1" targetScreenSize="1024x768" dpi="72" codePage="10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238" i="1064" l="1"/>
  <c r="AD238" i="1064"/>
  <c r="AC238" i="1064"/>
  <c r="AB238" i="1064"/>
  <c r="AA238" i="1064"/>
  <c r="Z238" i="1064"/>
  <c r="Y238" i="1064"/>
  <c r="X238" i="1064"/>
  <c r="W238" i="1064"/>
  <c r="V238" i="1064"/>
  <c r="U238" i="1064"/>
  <c r="T238" i="1064"/>
  <c r="S238" i="1064"/>
  <c r="R238" i="1064"/>
  <c r="Q238" i="1064"/>
  <c r="P238" i="1064"/>
  <c r="O238" i="1064"/>
  <c r="N238" i="1064"/>
  <c r="M238" i="1064"/>
  <c r="L238" i="1064"/>
  <c r="K238" i="1064"/>
  <c r="J238" i="1064"/>
  <c r="I238" i="1064"/>
  <c r="H238" i="1064"/>
  <c r="G238" i="1064"/>
  <c r="S236" i="1064"/>
  <c r="G236" i="1064"/>
  <c r="B236" i="1064"/>
  <c r="B237" i="1064" s="1"/>
  <c r="AE235" i="1064"/>
  <c r="AD235" i="1064"/>
  <c r="AC235" i="1064"/>
  <c r="AB235" i="1064"/>
  <c r="AA235" i="1064"/>
  <c r="Z235" i="1064"/>
  <c r="Y235" i="1064"/>
  <c r="X235" i="1064"/>
  <c r="W235" i="1064"/>
  <c r="V235" i="1064"/>
  <c r="U235" i="1064"/>
  <c r="T235" i="1064"/>
  <c r="S235" i="1064"/>
  <c r="R235" i="1064"/>
  <c r="Q235" i="1064"/>
  <c r="P235" i="1064"/>
  <c r="O235" i="1064"/>
  <c r="N235" i="1064"/>
  <c r="M235" i="1064"/>
  <c r="L235" i="1064"/>
  <c r="K235" i="1064"/>
  <c r="J235" i="1064"/>
  <c r="I235" i="1064"/>
  <c r="H235" i="1064"/>
  <c r="G235" i="1064"/>
  <c r="AE234" i="1064"/>
  <c r="AD234" i="1064"/>
  <c r="AC234" i="1064"/>
  <c r="AB234" i="1064"/>
  <c r="AA234" i="1064"/>
  <c r="Z234" i="1064"/>
  <c r="Y234" i="1064"/>
  <c r="X234" i="1064"/>
  <c r="W234" i="1064"/>
  <c r="V234" i="1064"/>
  <c r="U234" i="1064"/>
  <c r="T234" i="1064"/>
  <c r="S234" i="1064"/>
  <c r="R234" i="1064"/>
  <c r="Q234" i="1064"/>
  <c r="P234" i="1064"/>
  <c r="O234" i="1064"/>
  <c r="N234" i="1064"/>
  <c r="M234" i="1064"/>
  <c r="L234" i="1064"/>
  <c r="K234" i="1064"/>
  <c r="J234" i="1064"/>
  <c r="I234" i="1064"/>
  <c r="H234" i="1064"/>
  <c r="G234" i="1064"/>
  <c r="AE233" i="1064"/>
  <c r="AD233" i="1064"/>
  <c r="AC233" i="1064"/>
  <c r="AB233" i="1064"/>
  <c r="AA233" i="1064"/>
  <c r="Z233" i="1064"/>
  <c r="Y233" i="1064"/>
  <c r="X233" i="1064"/>
  <c r="W233" i="1064"/>
  <c r="V233" i="1064"/>
  <c r="U233" i="1064"/>
  <c r="T233" i="1064"/>
  <c r="S233" i="1064"/>
  <c r="R233" i="1064"/>
  <c r="Q233" i="1064"/>
  <c r="P233" i="1064"/>
  <c r="O233" i="1064"/>
  <c r="N233" i="1064"/>
  <c r="M233" i="1064"/>
  <c r="L233" i="1064"/>
  <c r="K233" i="1064"/>
  <c r="J233" i="1064"/>
  <c r="I233" i="1064"/>
  <c r="H233" i="1064"/>
  <c r="G233" i="1064"/>
  <c r="B233" i="1064"/>
  <c r="B234" i="1064" s="1"/>
  <c r="B235" i="1064" s="1"/>
  <c r="AE232" i="1064"/>
  <c r="AD232" i="1064"/>
  <c r="AC232" i="1064"/>
  <c r="AB232" i="1064"/>
  <c r="AA232" i="1064"/>
  <c r="Z232" i="1064"/>
  <c r="Y232" i="1064"/>
  <c r="X232" i="1064"/>
  <c r="W232" i="1064"/>
  <c r="V232" i="1064"/>
  <c r="U232" i="1064"/>
  <c r="T232" i="1064"/>
  <c r="S232" i="1064"/>
  <c r="R232" i="1064"/>
  <c r="Q232" i="1064"/>
  <c r="P232" i="1064"/>
  <c r="O232" i="1064"/>
  <c r="N232" i="1064"/>
  <c r="M232" i="1064"/>
  <c r="L232" i="1064"/>
  <c r="K232" i="1064"/>
  <c r="J232" i="1064"/>
  <c r="I232" i="1064"/>
  <c r="H232" i="1064"/>
  <c r="G232" i="1064"/>
  <c r="B232" i="1064"/>
  <c r="AE231" i="1064"/>
  <c r="AD231" i="1064"/>
  <c r="AC231" i="1064"/>
  <c r="AB231" i="1064"/>
  <c r="AA231" i="1064"/>
  <c r="Z231" i="1064"/>
  <c r="Y231" i="1064"/>
  <c r="X231" i="1064"/>
  <c r="W231" i="1064"/>
  <c r="V231" i="1064"/>
  <c r="U231" i="1064"/>
  <c r="T231" i="1064"/>
  <c r="S231" i="1064"/>
  <c r="R231" i="1064"/>
  <c r="Q231" i="1064"/>
  <c r="P231" i="1064"/>
  <c r="O231" i="1064"/>
  <c r="N231" i="1064"/>
  <c r="M231" i="1064"/>
  <c r="L231" i="1064"/>
  <c r="K231" i="1064"/>
  <c r="J231" i="1064"/>
  <c r="I231" i="1064"/>
  <c r="H231" i="1064"/>
  <c r="G231" i="1064"/>
  <c r="F230" i="1064"/>
  <c r="F229" i="1064"/>
  <c r="S228" i="1064"/>
  <c r="L228" i="1064"/>
  <c r="G228" i="1064"/>
  <c r="AE227" i="1064"/>
  <c r="AD227" i="1064"/>
  <c r="AC227" i="1064"/>
  <c r="AB227" i="1064"/>
  <c r="AA227" i="1064"/>
  <c r="Z227" i="1064"/>
  <c r="Y227" i="1064"/>
  <c r="X227" i="1064"/>
  <c r="W227" i="1064"/>
  <c r="V227" i="1064"/>
  <c r="U227" i="1064"/>
  <c r="T227" i="1064"/>
  <c r="S227" i="1064"/>
  <c r="R227" i="1064"/>
  <c r="Q227" i="1064"/>
  <c r="P227" i="1064"/>
  <c r="O227" i="1064"/>
  <c r="N227" i="1064"/>
  <c r="M227" i="1064"/>
  <c r="L227" i="1064"/>
  <c r="K227" i="1064"/>
  <c r="J227" i="1064"/>
  <c r="I227" i="1064"/>
  <c r="H227" i="1064"/>
  <c r="G227" i="1064"/>
  <c r="AE226" i="1064"/>
  <c r="AD226" i="1064"/>
  <c r="AC226" i="1064"/>
  <c r="AB226" i="1064"/>
  <c r="AA226" i="1064"/>
  <c r="Z226" i="1064"/>
  <c r="Y226" i="1064"/>
  <c r="X226" i="1064"/>
  <c r="W226" i="1064"/>
  <c r="V226" i="1064"/>
  <c r="U226" i="1064"/>
  <c r="T226" i="1064"/>
  <c r="S226" i="1064"/>
  <c r="R226" i="1064"/>
  <c r="Q226" i="1064"/>
  <c r="P226" i="1064"/>
  <c r="O226" i="1064"/>
  <c r="N226" i="1064"/>
  <c r="M226" i="1064"/>
  <c r="L226" i="1064"/>
  <c r="K226" i="1064"/>
  <c r="J226" i="1064"/>
  <c r="I226" i="1064"/>
  <c r="H226" i="1064"/>
  <c r="G226" i="1064"/>
  <c r="S225" i="1064"/>
  <c r="AE224" i="1064"/>
  <c r="AD224" i="1064"/>
  <c r="AC224" i="1064"/>
  <c r="AB224" i="1064"/>
  <c r="AA224" i="1064"/>
  <c r="Z224" i="1064"/>
  <c r="Y224" i="1064"/>
  <c r="X224" i="1064"/>
  <c r="W224" i="1064"/>
  <c r="V224" i="1064"/>
  <c r="U224" i="1064"/>
  <c r="T224" i="1064"/>
  <c r="S224" i="1064"/>
  <c r="R224" i="1064"/>
  <c r="Q224" i="1064"/>
  <c r="P224" i="1064"/>
  <c r="O224" i="1064"/>
  <c r="N224" i="1064"/>
  <c r="M224" i="1064"/>
  <c r="L224" i="1064"/>
  <c r="K224" i="1064"/>
  <c r="J224" i="1064"/>
  <c r="I224" i="1064"/>
  <c r="H224" i="1064"/>
  <c r="G224" i="1064"/>
  <c r="AE223" i="1064"/>
  <c r="AD223" i="1064"/>
  <c r="AC223" i="1064"/>
  <c r="AB223" i="1064"/>
  <c r="AA223" i="1064"/>
  <c r="Z223" i="1064"/>
  <c r="Y223" i="1064"/>
  <c r="X223" i="1064"/>
  <c r="W223" i="1064"/>
  <c r="V223" i="1064"/>
  <c r="U223" i="1064"/>
  <c r="T223" i="1064"/>
  <c r="S223" i="1064"/>
  <c r="R223" i="1064"/>
  <c r="Q223" i="1064"/>
  <c r="P223" i="1064"/>
  <c r="O223" i="1064"/>
  <c r="N223" i="1064"/>
  <c r="M223" i="1064"/>
  <c r="L223" i="1064"/>
  <c r="K223" i="1064"/>
  <c r="J223" i="1064"/>
  <c r="I223" i="1064"/>
  <c r="H223" i="1064"/>
  <c r="G223" i="1064"/>
  <c r="D222" i="1064"/>
  <c r="S221" i="1064"/>
  <c r="S220" i="1064"/>
  <c r="S219" i="1064"/>
  <c r="D219" i="1064"/>
  <c r="S218" i="1064"/>
  <c r="D218" i="1064"/>
  <c r="S217" i="1064"/>
  <c r="G217" i="1064"/>
  <c r="S216" i="1064" a="1"/>
  <c r="S216" i="1064" s="1"/>
  <c r="S215" i="1064"/>
  <c r="S214" i="1064"/>
  <c r="S213" i="1064"/>
  <c r="S212" i="1064"/>
  <c r="S211" i="1064"/>
  <c r="S210" i="1064"/>
  <c r="S209" i="1064"/>
  <c r="S208" i="1064"/>
  <c r="S207" i="1064"/>
  <c r="S206" i="1064"/>
  <c r="S205" i="1064"/>
  <c r="S204" i="1064"/>
  <c r="S203" i="1064"/>
  <c r="S202" i="1064"/>
  <c r="AC199" i="1064"/>
  <c r="S199" i="1064"/>
  <c r="S198" i="1064"/>
  <c r="S197" i="1064"/>
  <c r="S196" i="1064"/>
  <c r="S195" i="1064"/>
  <c r="O195" i="1064"/>
  <c r="J195" i="1064"/>
  <c r="G195" i="1064"/>
  <c r="S194" i="1064"/>
  <c r="O194" i="1064"/>
  <c r="J194" i="1064"/>
  <c r="G194" i="1064"/>
  <c r="S193" i="1064"/>
  <c r="O193" i="1064"/>
  <c r="J193" i="1064"/>
  <c r="G193" i="1064"/>
  <c r="S192" i="1064"/>
  <c r="O192" i="1064"/>
  <c r="J192" i="1064"/>
  <c r="G192" i="1064"/>
  <c r="S191" i="1064"/>
  <c r="R191" i="1064"/>
  <c r="Q191" i="1064"/>
  <c r="P191" i="1064"/>
  <c r="O191" i="1064"/>
  <c r="N191" i="1064"/>
  <c r="M191" i="1064"/>
  <c r="L191" i="1064"/>
  <c r="K191" i="1064"/>
  <c r="J191" i="1064"/>
  <c r="I191" i="1064"/>
  <c r="H191" i="1064"/>
  <c r="G191" i="1064"/>
  <c r="AE190" i="1064"/>
  <c r="AD190" i="1064"/>
  <c r="AC190" i="1064"/>
  <c r="AB190" i="1064"/>
  <c r="AA190" i="1064"/>
  <c r="Z190" i="1064"/>
  <c r="Y190" i="1064"/>
  <c r="X190" i="1064"/>
  <c r="W190" i="1064"/>
  <c r="V190" i="1064"/>
  <c r="U190" i="1064"/>
  <c r="T190" i="1064"/>
  <c r="S190" i="1064"/>
  <c r="R190" i="1064"/>
  <c r="Q190" i="1064"/>
  <c r="P190" i="1064"/>
  <c r="O190" i="1064"/>
  <c r="N190" i="1064"/>
  <c r="M190" i="1064"/>
  <c r="L190" i="1064"/>
  <c r="K190" i="1064"/>
  <c r="J190" i="1064"/>
  <c r="I190" i="1064"/>
  <c r="H190" i="1064"/>
  <c r="G190" i="1064"/>
  <c r="S189" i="1064"/>
  <c r="R189" i="1064"/>
  <c r="Q189" i="1064"/>
  <c r="P189" i="1064"/>
  <c r="O189" i="1064"/>
  <c r="N189" i="1064"/>
  <c r="M189" i="1064"/>
  <c r="L189" i="1064"/>
  <c r="K189" i="1064"/>
  <c r="J189" i="1064"/>
  <c r="I189" i="1064"/>
  <c r="H189" i="1064"/>
  <c r="G189" i="1064"/>
  <c r="S188" i="1064"/>
  <c r="R188" i="1064"/>
  <c r="Q188" i="1064"/>
  <c r="P188" i="1064"/>
  <c r="O188" i="1064"/>
  <c r="N188" i="1064"/>
  <c r="M188" i="1064"/>
  <c r="L188" i="1064"/>
  <c r="K188" i="1064"/>
  <c r="J188" i="1064"/>
  <c r="I188" i="1064"/>
  <c r="H188" i="1064"/>
  <c r="G188" i="1064"/>
  <c r="AE183" i="1064"/>
  <c r="AD183" i="1064"/>
  <c r="AC183" i="1064"/>
  <c r="AB183" i="1064"/>
  <c r="AA183" i="1064"/>
  <c r="Z183" i="1064"/>
  <c r="Y183" i="1064"/>
  <c r="X183" i="1064"/>
  <c r="W183" i="1064"/>
  <c r="V183" i="1064"/>
  <c r="U183" i="1064"/>
  <c r="T183" i="1064"/>
  <c r="S183" i="1064"/>
  <c r="R183" i="1064"/>
  <c r="Q183" i="1064"/>
  <c r="P183" i="1064"/>
  <c r="O183" i="1064"/>
  <c r="N183" i="1064"/>
  <c r="M183" i="1064"/>
  <c r="L183" i="1064"/>
  <c r="K183" i="1064"/>
  <c r="J183" i="1064"/>
  <c r="I183" i="1064"/>
  <c r="H183" i="1064"/>
  <c r="G183" i="1064"/>
  <c r="S182" i="1064"/>
  <c r="G182" i="1064"/>
  <c r="S181" i="1064"/>
  <c r="G181" i="1064"/>
  <c r="S180" i="1064"/>
  <c r="G180" i="1064"/>
  <c r="S179" i="1064"/>
  <c r="G179" i="1064"/>
  <c r="S178" i="1064"/>
  <c r="G178" i="1064"/>
  <c r="T177" i="1064"/>
  <c r="S177" i="1064"/>
  <c r="G177" i="1064"/>
  <c r="B172" i="1064"/>
  <c r="B173" i="1064" s="1"/>
  <c r="B174" i="1064" s="1"/>
  <c r="B175" i="1064" s="1"/>
  <c r="B176" i="1064" s="1"/>
  <c r="B177" i="1064" s="1"/>
  <c r="B178" i="1064" s="1"/>
  <c r="B179" i="1064" s="1"/>
  <c r="B180" i="1064" s="1"/>
  <c r="B181" i="1064" s="1"/>
  <c r="B182" i="1064" s="1"/>
  <c r="B183" i="1064" s="1"/>
  <c r="B184" i="1064" s="1"/>
  <c r="B185" i="1064" s="1"/>
  <c r="B186" i="1064" s="1"/>
  <c r="S169" i="1064"/>
  <c r="B169" i="1064"/>
  <c r="B170" i="1064" s="1"/>
  <c r="B171" i="1064" s="1"/>
  <c r="S168" i="1064"/>
  <c r="G168" i="1064"/>
  <c r="B168" i="1064"/>
  <c r="S167" i="1064"/>
  <c r="G167" i="1064"/>
  <c r="G166" i="1064"/>
  <c r="G165" i="1064"/>
  <c r="G169" i="1064" s="1"/>
  <c r="G164" i="1064"/>
  <c r="G163" i="1064"/>
  <c r="T162" i="1064"/>
  <c r="G162" i="1064"/>
  <c r="G139" i="1064"/>
  <c r="G135" i="1064"/>
  <c r="G134" i="1064"/>
  <c r="G133" i="1064"/>
  <c r="G132" i="1064"/>
  <c r="G131" i="1064"/>
  <c r="G130" i="1064"/>
  <c r="G130" i="1064" a="1"/>
  <c r="G129" i="1064"/>
  <c r="F128" i="1064"/>
  <c r="F127" i="1064"/>
  <c r="G125" i="1064"/>
  <c r="G124" i="1064"/>
  <c r="G123" i="1064"/>
  <c r="G111" i="1064"/>
  <c r="B111" i="1064"/>
  <c r="G108" i="1064"/>
  <c r="B107" i="1064"/>
  <c r="S106" i="1064"/>
  <c r="G105" i="1064"/>
  <c r="G218" i="1064" s="1"/>
  <c r="D98" i="1064"/>
  <c r="D97" i="1064"/>
  <c r="D96" i="1064"/>
  <c r="D95" i="1064"/>
  <c r="D94" i="1064"/>
  <c r="D93" i="1064"/>
  <c r="G92" i="1064"/>
  <c r="G91" i="1064"/>
  <c r="G88" i="1064" a="1"/>
  <c r="G88" i="1064" s="1"/>
  <c r="R87" i="1064"/>
  <c r="R199" i="1064" s="1"/>
  <c r="Q87" i="1064"/>
  <c r="Q199" i="1064" s="1"/>
  <c r="P87" i="1064"/>
  <c r="P199" i="1064" s="1"/>
  <c r="O87" i="1064"/>
  <c r="O199" i="1064" s="1"/>
  <c r="N87" i="1064"/>
  <c r="N199" i="1064" s="1"/>
  <c r="M87" i="1064"/>
  <c r="M199" i="1064" s="1"/>
  <c r="L87" i="1064"/>
  <c r="L199" i="1064" s="1"/>
  <c r="K87" i="1064"/>
  <c r="K199" i="1064" s="1"/>
  <c r="J87" i="1064"/>
  <c r="J199" i="1064" s="1"/>
  <c r="I87" i="1064"/>
  <c r="I199" i="1064" s="1"/>
  <c r="H87" i="1064"/>
  <c r="H199" i="1064" s="1"/>
  <c r="G87" i="1064"/>
  <c r="G199" i="1064" s="1"/>
  <c r="Z86" i="1064"/>
  <c r="R86" i="1064"/>
  <c r="Q86" i="1064"/>
  <c r="O86" i="1064"/>
  <c r="N86" i="1064"/>
  <c r="M86" i="1064"/>
  <c r="L86" i="1064"/>
  <c r="K86" i="1064"/>
  <c r="J86" i="1064"/>
  <c r="I86" i="1064"/>
  <c r="H86" i="1064"/>
  <c r="R85" i="1064"/>
  <c r="Q85" i="1064"/>
  <c r="P85" i="1064"/>
  <c r="O85" i="1064"/>
  <c r="N85" i="1064"/>
  <c r="M85" i="1064"/>
  <c r="L85" i="1064"/>
  <c r="K85" i="1064"/>
  <c r="J85" i="1064"/>
  <c r="I85" i="1064"/>
  <c r="H85" i="1064"/>
  <c r="G85" i="1064"/>
  <c r="AB84" i="1064"/>
  <c r="AA84" i="1064"/>
  <c r="T84" i="1064"/>
  <c r="R84" i="1064"/>
  <c r="Q84" i="1064"/>
  <c r="P84" i="1064"/>
  <c r="O84" i="1064"/>
  <c r="N84" i="1064"/>
  <c r="M84" i="1064"/>
  <c r="L84" i="1064"/>
  <c r="K84" i="1064"/>
  <c r="J84" i="1064"/>
  <c r="I84" i="1064"/>
  <c r="H84" i="1064"/>
  <c r="G84" i="1064"/>
  <c r="AB83" i="1064"/>
  <c r="X83" i="1064"/>
  <c r="V83" i="1064"/>
  <c r="R83" i="1064"/>
  <c r="Q83" i="1064"/>
  <c r="P83" i="1064"/>
  <c r="O83" i="1064"/>
  <c r="N83" i="1064"/>
  <c r="M83" i="1064"/>
  <c r="L83" i="1064"/>
  <c r="K83" i="1064"/>
  <c r="J83" i="1064"/>
  <c r="I83" i="1064"/>
  <c r="H83" i="1064"/>
  <c r="G83" i="1064"/>
  <c r="AF83" i="1064" s="1"/>
  <c r="AF82" i="1064"/>
  <c r="R82" i="1064"/>
  <c r="Q82" i="1064"/>
  <c r="P82" i="1064"/>
  <c r="O82" i="1064"/>
  <c r="N82" i="1064"/>
  <c r="M82" i="1064"/>
  <c r="L82" i="1064"/>
  <c r="K82" i="1064"/>
  <c r="J82" i="1064"/>
  <c r="I82" i="1064"/>
  <c r="H82" i="1064"/>
  <c r="G82" i="1064"/>
  <c r="Y81" i="1064"/>
  <c r="X81" i="1064"/>
  <c r="T81" i="1064"/>
  <c r="R81" i="1064"/>
  <c r="Q81" i="1064"/>
  <c r="P81" i="1064"/>
  <c r="O81" i="1064"/>
  <c r="N81" i="1064"/>
  <c r="M81" i="1064"/>
  <c r="L81" i="1064"/>
  <c r="K81" i="1064"/>
  <c r="J81" i="1064"/>
  <c r="I81" i="1064"/>
  <c r="H81" i="1064"/>
  <c r="G81" i="1064"/>
  <c r="AB80" i="1064"/>
  <c r="R80" i="1064"/>
  <c r="Q80" i="1064"/>
  <c r="P80" i="1064"/>
  <c r="O80" i="1064"/>
  <c r="N80" i="1064"/>
  <c r="M80" i="1064"/>
  <c r="L80" i="1064"/>
  <c r="K80" i="1064"/>
  <c r="J80" i="1064"/>
  <c r="I80" i="1064"/>
  <c r="H80" i="1064"/>
  <c r="G80" i="1064"/>
  <c r="AE79" i="1064"/>
  <c r="AC79" i="1064"/>
  <c r="T79" i="1064"/>
  <c r="R79" i="1064"/>
  <c r="Q79" i="1064"/>
  <c r="P79" i="1064"/>
  <c r="O79" i="1064"/>
  <c r="N79" i="1064"/>
  <c r="M79" i="1064"/>
  <c r="L79" i="1064"/>
  <c r="K79" i="1064"/>
  <c r="J79" i="1064"/>
  <c r="I79" i="1064"/>
  <c r="H79" i="1064"/>
  <c r="G79" i="1064"/>
  <c r="AB78" i="1064"/>
  <c r="Z78" i="1064"/>
  <c r="Y78" i="1064"/>
  <c r="R78" i="1064"/>
  <c r="Q78" i="1064"/>
  <c r="P78" i="1064"/>
  <c r="O78" i="1064"/>
  <c r="N78" i="1064"/>
  <c r="M78" i="1064"/>
  <c r="L78" i="1064"/>
  <c r="K78" i="1064"/>
  <c r="J78" i="1064"/>
  <c r="I78" i="1064"/>
  <c r="H78" i="1064"/>
  <c r="G78" i="1064"/>
  <c r="O77" i="1064"/>
  <c r="J77" i="1064"/>
  <c r="G77" i="1064"/>
  <c r="AB76" i="1064"/>
  <c r="R76" i="1064"/>
  <c r="Q76" i="1064"/>
  <c r="P76" i="1064"/>
  <c r="O76" i="1064"/>
  <c r="N76" i="1064"/>
  <c r="M76" i="1064"/>
  <c r="L76" i="1064"/>
  <c r="K76" i="1064"/>
  <c r="J76" i="1064"/>
  <c r="I76" i="1064"/>
  <c r="H76" i="1064"/>
  <c r="G76" i="1064"/>
  <c r="AC75" i="1064"/>
  <c r="AB75" i="1064"/>
  <c r="AA75" i="1064"/>
  <c r="T75" i="1064"/>
  <c r="R75" i="1064"/>
  <c r="Q75" i="1064"/>
  <c r="P75" i="1064"/>
  <c r="O75" i="1064"/>
  <c r="N75" i="1064"/>
  <c r="M75" i="1064"/>
  <c r="L75" i="1064"/>
  <c r="K75" i="1064"/>
  <c r="J75" i="1064"/>
  <c r="I75" i="1064"/>
  <c r="H75" i="1064"/>
  <c r="G75" i="1064"/>
  <c r="AC74" i="1064"/>
  <c r="AB74" i="1064"/>
  <c r="U74" i="1064"/>
  <c r="T74" i="1064"/>
  <c r="R74" i="1064"/>
  <c r="Q74" i="1064"/>
  <c r="P74" i="1064"/>
  <c r="O74" i="1064"/>
  <c r="N74" i="1064"/>
  <c r="M74" i="1064"/>
  <c r="L74" i="1064"/>
  <c r="K74" i="1064"/>
  <c r="J74" i="1064"/>
  <c r="I74" i="1064"/>
  <c r="H74" i="1064"/>
  <c r="G74" i="1064"/>
  <c r="AD73" i="1064"/>
  <c r="AB73" i="1064"/>
  <c r="V73" i="1064"/>
  <c r="R73" i="1064"/>
  <c r="Q73" i="1064"/>
  <c r="P73" i="1064"/>
  <c r="O73" i="1064"/>
  <c r="N73" i="1064"/>
  <c r="M73" i="1064"/>
  <c r="L73" i="1064"/>
  <c r="K73" i="1064"/>
  <c r="J73" i="1064"/>
  <c r="I73" i="1064"/>
  <c r="H73" i="1064"/>
  <c r="G73" i="1064"/>
  <c r="AD72" i="1064"/>
  <c r="AC72" i="1064"/>
  <c r="AB72" i="1064"/>
  <c r="R72" i="1064"/>
  <c r="Q72" i="1064"/>
  <c r="P72" i="1064"/>
  <c r="O72" i="1064"/>
  <c r="N72" i="1064"/>
  <c r="M72" i="1064"/>
  <c r="L72" i="1064"/>
  <c r="K72" i="1064"/>
  <c r="J72" i="1064"/>
  <c r="I72" i="1064"/>
  <c r="H72" i="1064"/>
  <c r="G72" i="1064"/>
  <c r="G69" i="1064"/>
  <c r="AG68" i="1064"/>
  <c r="T68" i="1064"/>
  <c r="G68" i="1064"/>
  <c r="E68" i="1064"/>
  <c r="D68" i="1064"/>
  <c r="C68" i="1064"/>
  <c r="AG67" i="1064"/>
  <c r="T67" i="1064"/>
  <c r="G67" i="1064"/>
  <c r="AG66" i="1064"/>
  <c r="T66" i="1064"/>
  <c r="G66" i="1064"/>
  <c r="AG65" i="1064"/>
  <c r="G65" i="1064"/>
  <c r="G71" i="1064" s="1"/>
  <c r="AG64" i="1064"/>
  <c r="G64" i="1064"/>
  <c r="AG63" i="1064"/>
  <c r="T63" i="1064"/>
  <c r="G63" i="1064"/>
  <c r="AG62" i="1064"/>
  <c r="T62" i="1064"/>
  <c r="G62" i="1064"/>
  <c r="E62" i="1064"/>
  <c r="D62" i="1064"/>
  <c r="C62" i="1064"/>
  <c r="AG61" i="1064"/>
  <c r="E61" i="1064"/>
  <c r="D61" i="1064"/>
  <c r="C61" i="1064"/>
  <c r="AG60" i="1064"/>
  <c r="G60" i="1064"/>
  <c r="E60" i="1064"/>
  <c r="D60" i="1064"/>
  <c r="C60" i="1064"/>
  <c r="AG59" i="1064"/>
  <c r="E59" i="1064"/>
  <c r="D59" i="1064"/>
  <c r="C59" i="1064"/>
  <c r="AG58" i="1064"/>
  <c r="G58" i="1064"/>
  <c r="E58" i="1064"/>
  <c r="D58" i="1064"/>
  <c r="C58" i="1064"/>
  <c r="AG57" i="1064"/>
  <c r="H57" i="1064"/>
  <c r="G57" i="1064"/>
  <c r="E57" i="1064"/>
  <c r="D57" i="1064"/>
  <c r="C57" i="1064"/>
  <c r="AG56" i="1064"/>
  <c r="T56" i="1064"/>
  <c r="G56" i="1064"/>
  <c r="G204" i="1064" s="1"/>
  <c r="AG55" i="1064"/>
  <c r="G55" i="1064"/>
  <c r="G203" i="1064" s="1"/>
  <c r="AG54" i="1064"/>
  <c r="T54" i="1064"/>
  <c r="G54" i="1064"/>
  <c r="AG53" i="1064"/>
  <c r="T53" i="1064"/>
  <c r="G53" i="1064"/>
  <c r="AA52" i="1064"/>
  <c r="Z52" i="1064"/>
  <c r="Q52" i="1064"/>
  <c r="O52" i="1064"/>
  <c r="G52" i="1064"/>
  <c r="A52" i="1064"/>
  <c r="U51" i="1064"/>
  <c r="T51" i="1064"/>
  <c r="J51" i="1064"/>
  <c r="W51" i="1064" s="1"/>
  <c r="I51" i="1064"/>
  <c r="V51" i="1064" s="1"/>
  <c r="H51" i="1064"/>
  <c r="U50" i="1064"/>
  <c r="T50" i="1064"/>
  <c r="H50" i="1064"/>
  <c r="I50" i="1064" s="1"/>
  <c r="V50" i="1064" s="1"/>
  <c r="T49" i="1064"/>
  <c r="H49" i="1064"/>
  <c r="AE48" i="1064"/>
  <c r="AD48" i="1064"/>
  <c r="AC48" i="1064"/>
  <c r="AB48" i="1064"/>
  <c r="AA48" i="1064"/>
  <c r="Z48" i="1064"/>
  <c r="Y48" i="1064"/>
  <c r="X48" i="1064"/>
  <c r="W48" i="1064"/>
  <c r="V48" i="1064"/>
  <c r="U48" i="1064"/>
  <c r="T48" i="1064"/>
  <c r="AE47" i="1064"/>
  <c r="AD47" i="1064"/>
  <c r="AC47" i="1064"/>
  <c r="AB47" i="1064"/>
  <c r="AA47" i="1064"/>
  <c r="Z47" i="1064"/>
  <c r="Y47" i="1064"/>
  <c r="X47" i="1064"/>
  <c r="W47" i="1064"/>
  <c r="V47" i="1064"/>
  <c r="U47" i="1064"/>
  <c r="T47" i="1064"/>
  <c r="AE46" i="1064"/>
  <c r="AD46" i="1064"/>
  <c r="AC46" i="1064"/>
  <c r="AB46" i="1064"/>
  <c r="AA46" i="1064"/>
  <c r="Z46" i="1064"/>
  <c r="Y46" i="1064"/>
  <c r="X46" i="1064"/>
  <c r="W46" i="1064"/>
  <c r="V46" i="1064"/>
  <c r="U46" i="1064"/>
  <c r="T46" i="1064"/>
  <c r="AE45" i="1064"/>
  <c r="AD45" i="1064"/>
  <c r="AC45" i="1064"/>
  <c r="AB45" i="1064"/>
  <c r="AA45" i="1064"/>
  <c r="Z45" i="1064"/>
  <c r="Y45" i="1064"/>
  <c r="X45" i="1064"/>
  <c r="W45" i="1064"/>
  <c r="V45" i="1064"/>
  <c r="U45" i="1064"/>
  <c r="T45" i="1064"/>
  <c r="AE44" i="1064"/>
  <c r="AE86" i="1064" s="1"/>
  <c r="AD44" i="1064"/>
  <c r="AD86" i="1064" s="1"/>
  <c r="AB44" i="1064"/>
  <c r="AB86" i="1064" s="1"/>
  <c r="AA44" i="1064"/>
  <c r="AA86" i="1064" s="1"/>
  <c r="Z44" i="1064"/>
  <c r="Y44" i="1064"/>
  <c r="Y86" i="1064" s="1"/>
  <c r="X44" i="1064"/>
  <c r="X86" i="1064" s="1"/>
  <c r="W44" i="1064"/>
  <c r="W86" i="1064" s="1"/>
  <c r="V44" i="1064"/>
  <c r="V86" i="1064" s="1"/>
  <c r="U44" i="1064"/>
  <c r="U86" i="1064" s="1"/>
  <c r="AF43" i="1064"/>
  <c r="AE43" i="1064"/>
  <c r="AE87" i="1064" s="1"/>
  <c r="AE199" i="1064" s="1"/>
  <c r="AD43" i="1064"/>
  <c r="AC43" i="1064"/>
  <c r="AB43" i="1064"/>
  <c r="AA43" i="1064"/>
  <c r="Z43" i="1064"/>
  <c r="Y43" i="1064"/>
  <c r="X43" i="1064"/>
  <c r="W43" i="1064"/>
  <c r="W87" i="1064" s="1"/>
  <c r="W199" i="1064" s="1"/>
  <c r="V43" i="1064"/>
  <c r="U43" i="1064"/>
  <c r="T43" i="1064"/>
  <c r="AE42" i="1064"/>
  <c r="AD42" i="1064"/>
  <c r="AC42" i="1064"/>
  <c r="AB42" i="1064"/>
  <c r="AA42" i="1064"/>
  <c r="Z42" i="1064"/>
  <c r="Y42" i="1064"/>
  <c r="X42" i="1064"/>
  <c r="W42" i="1064"/>
  <c r="V42" i="1064"/>
  <c r="U42" i="1064"/>
  <c r="T42" i="1064"/>
  <c r="AE41" i="1064"/>
  <c r="AE84" i="1064" s="1"/>
  <c r="AD41" i="1064"/>
  <c r="AD84" i="1064" s="1"/>
  <c r="AC41" i="1064"/>
  <c r="AC84" i="1064" s="1"/>
  <c r="AB41" i="1064"/>
  <c r="AA41" i="1064"/>
  <c r="Z41" i="1064"/>
  <c r="Z84" i="1064" s="1"/>
  <c r="Y41" i="1064"/>
  <c r="Y84" i="1064" s="1"/>
  <c r="X41" i="1064"/>
  <c r="X84" i="1064" s="1"/>
  <c r="W41" i="1064"/>
  <c r="W84" i="1064" s="1"/>
  <c r="V41" i="1064"/>
  <c r="V84" i="1064" s="1"/>
  <c r="U41" i="1064"/>
  <c r="U84" i="1064" s="1"/>
  <c r="T41" i="1064"/>
  <c r="AE40" i="1064"/>
  <c r="AD40" i="1064"/>
  <c r="AD83" i="1064" s="1"/>
  <c r="AC40" i="1064"/>
  <c r="AC83" i="1064" s="1"/>
  <c r="AB40" i="1064"/>
  <c r="AA40" i="1064"/>
  <c r="Z40" i="1064"/>
  <c r="Y40" i="1064"/>
  <c r="Y83" i="1064" s="1"/>
  <c r="X40" i="1064"/>
  <c r="W40" i="1064"/>
  <c r="V40" i="1064"/>
  <c r="U40" i="1064"/>
  <c r="T40" i="1064"/>
  <c r="AE39" i="1064"/>
  <c r="AD39" i="1064"/>
  <c r="AC39" i="1064"/>
  <c r="AB39" i="1064"/>
  <c r="AA39" i="1064"/>
  <c r="Z39" i="1064"/>
  <c r="Y39" i="1064"/>
  <c r="X39" i="1064"/>
  <c r="W39" i="1064"/>
  <c r="V39" i="1064"/>
  <c r="U39" i="1064"/>
  <c r="T39" i="1064"/>
  <c r="AE38" i="1064"/>
  <c r="AD38" i="1064"/>
  <c r="AC38" i="1064"/>
  <c r="AB38" i="1064"/>
  <c r="AA38" i="1064"/>
  <c r="Z38" i="1064"/>
  <c r="Z81" i="1064" s="1"/>
  <c r="Y38" i="1064"/>
  <c r="X38" i="1064"/>
  <c r="W38" i="1064"/>
  <c r="V38" i="1064"/>
  <c r="U38" i="1064"/>
  <c r="T38" i="1064"/>
  <c r="AE37" i="1064"/>
  <c r="AD37" i="1064"/>
  <c r="AD79" i="1064" s="1"/>
  <c r="AC37" i="1064"/>
  <c r="AB37" i="1064"/>
  <c r="AB79" i="1064" s="1"/>
  <c r="AA37" i="1064"/>
  <c r="AA79" i="1064" s="1"/>
  <c r="Z37" i="1064"/>
  <c r="Z79" i="1064" s="1"/>
  <c r="Y37" i="1064"/>
  <c r="Y79" i="1064" s="1"/>
  <c r="X37" i="1064"/>
  <c r="X79" i="1064" s="1"/>
  <c r="W37" i="1064"/>
  <c r="W79" i="1064" s="1"/>
  <c r="V37" i="1064"/>
  <c r="V79" i="1064" s="1"/>
  <c r="U37" i="1064"/>
  <c r="U79" i="1064" s="1"/>
  <c r="T37" i="1064"/>
  <c r="AE36" i="1064"/>
  <c r="AD36" i="1064"/>
  <c r="AC36" i="1064"/>
  <c r="AB36" i="1064"/>
  <c r="AA36" i="1064"/>
  <c r="Z36" i="1064"/>
  <c r="Y36" i="1064"/>
  <c r="X36" i="1064"/>
  <c r="W36" i="1064"/>
  <c r="V36" i="1064"/>
  <c r="U36" i="1064"/>
  <c r="T36" i="1064"/>
  <c r="T78" i="1064" s="1"/>
  <c r="AE35" i="1064"/>
  <c r="AD35" i="1064"/>
  <c r="AC35" i="1064"/>
  <c r="AB35" i="1064"/>
  <c r="AB194" i="1064" s="1"/>
  <c r="AA35" i="1064"/>
  <c r="Z35" i="1064"/>
  <c r="Y35" i="1064"/>
  <c r="X35" i="1064"/>
  <c r="W35" i="1064"/>
  <c r="V35" i="1064"/>
  <c r="U35" i="1064"/>
  <c r="T35" i="1064"/>
  <c r="AE34" i="1064"/>
  <c r="AD34" i="1064"/>
  <c r="AC34" i="1064"/>
  <c r="AB34" i="1064"/>
  <c r="AB77" i="1064" s="1"/>
  <c r="AA34" i="1064"/>
  <c r="Z34" i="1064"/>
  <c r="Z191" i="1064" s="1"/>
  <c r="Y34" i="1064"/>
  <c r="X34" i="1064"/>
  <c r="W34" i="1064"/>
  <c r="V34" i="1064"/>
  <c r="U34" i="1064"/>
  <c r="U85" i="1064" s="1"/>
  <c r="T34" i="1064"/>
  <c r="AE33" i="1064"/>
  <c r="AE76" i="1064" s="1"/>
  <c r="AD33" i="1064"/>
  <c r="AD76" i="1064" s="1"/>
  <c r="AC33" i="1064"/>
  <c r="AC76" i="1064" s="1"/>
  <c r="AB33" i="1064"/>
  <c r="AA33" i="1064"/>
  <c r="AA76" i="1064" s="1"/>
  <c r="Z33" i="1064"/>
  <c r="Z76" i="1064" s="1"/>
  <c r="Y33" i="1064"/>
  <c r="Y76" i="1064" s="1"/>
  <c r="X33" i="1064"/>
  <c r="X76" i="1064" s="1"/>
  <c r="W33" i="1064"/>
  <c r="W76" i="1064" s="1"/>
  <c r="V33" i="1064"/>
  <c r="V76" i="1064" s="1"/>
  <c r="U33" i="1064"/>
  <c r="U76" i="1064" s="1"/>
  <c r="T33" i="1064"/>
  <c r="T76" i="1064" s="1"/>
  <c r="AE32" i="1064"/>
  <c r="AE189" i="1064" s="1"/>
  <c r="AD32" i="1064"/>
  <c r="AD189" i="1064" s="1"/>
  <c r="AC32" i="1064"/>
  <c r="AC189" i="1064" s="1"/>
  <c r="AB32" i="1064"/>
  <c r="AB189" i="1064" s="1"/>
  <c r="AA32" i="1064"/>
  <c r="AA189" i="1064" s="1"/>
  <c r="Z32" i="1064"/>
  <c r="Y32" i="1064"/>
  <c r="X32" i="1064"/>
  <c r="X189" i="1064" s="1"/>
  <c r="W32" i="1064"/>
  <c r="W189" i="1064" s="1"/>
  <c r="V32" i="1064"/>
  <c r="U32" i="1064"/>
  <c r="U189" i="1064" s="1"/>
  <c r="T32" i="1064"/>
  <c r="T189" i="1064" s="1"/>
  <c r="AE31" i="1064"/>
  <c r="AD31" i="1064"/>
  <c r="AD188" i="1064" s="1"/>
  <c r="AC31" i="1064"/>
  <c r="AC188" i="1064" s="1"/>
  <c r="AB31" i="1064"/>
  <c r="AB188" i="1064" s="1"/>
  <c r="AA31" i="1064"/>
  <c r="Z31" i="1064"/>
  <c r="Z188" i="1064" s="1"/>
  <c r="Y31" i="1064"/>
  <c r="Y188" i="1064" s="1"/>
  <c r="X31" i="1064"/>
  <c r="W31" i="1064"/>
  <c r="V31" i="1064"/>
  <c r="U31" i="1064"/>
  <c r="U188" i="1064" s="1"/>
  <c r="T31" i="1064"/>
  <c r="T188" i="1064" s="1"/>
  <c r="AA30" i="1064"/>
  <c r="Y30" i="1064"/>
  <c r="U30" i="1064"/>
  <c r="T30" i="1064"/>
  <c r="O30" i="1064"/>
  <c r="N30" i="1064"/>
  <c r="M30" i="1064"/>
  <c r="Z30" i="1064" s="1"/>
  <c r="I30" i="1064"/>
  <c r="H30" i="1064"/>
  <c r="E30" i="1064"/>
  <c r="D30" i="1064"/>
  <c r="Y29" i="1064"/>
  <c r="Y228" i="1064" s="1"/>
  <c r="U29" i="1064"/>
  <c r="U228" i="1064" s="1"/>
  <c r="T29" i="1064"/>
  <c r="T228" i="1064" s="1"/>
  <c r="M29" i="1064"/>
  <c r="H29" i="1064"/>
  <c r="H228" i="1064" s="1"/>
  <c r="B29" i="1064"/>
  <c r="B30" i="1064" s="1"/>
  <c r="B31" i="1064" s="1"/>
  <c r="B32" i="1064" s="1"/>
  <c r="B33" i="1064" s="1"/>
  <c r="B34" i="1064" s="1"/>
  <c r="B35" i="1064" s="1"/>
  <c r="B36" i="1064" s="1"/>
  <c r="B37" i="1064" s="1"/>
  <c r="B38" i="1064" s="1"/>
  <c r="B39" i="1064" s="1"/>
  <c r="B40" i="1064" s="1"/>
  <c r="B41" i="1064" s="1"/>
  <c r="B42" i="1064" s="1"/>
  <c r="B43" i="1064" s="1"/>
  <c r="B44" i="1064" s="1"/>
  <c r="B45" i="1064" s="1"/>
  <c r="B46" i="1064" s="1"/>
  <c r="B47" i="1064" s="1"/>
  <c r="B48" i="1064" s="1"/>
  <c r="B49" i="1064" s="1"/>
  <c r="B50" i="1064" s="1"/>
  <c r="B51" i="1064" s="1"/>
  <c r="B52" i="1064" s="1"/>
  <c r="B53" i="1064" s="1"/>
  <c r="B54" i="1064" s="1"/>
  <c r="AE28" i="1064"/>
  <c r="AD28" i="1064"/>
  <c r="AC28" i="1064"/>
  <c r="AB28" i="1064"/>
  <c r="AA28" i="1064"/>
  <c r="Z28" i="1064"/>
  <c r="Y28" i="1064"/>
  <c r="X28" i="1064"/>
  <c r="W28" i="1064"/>
  <c r="V28" i="1064"/>
  <c r="U28" i="1064"/>
  <c r="T28" i="1064"/>
  <c r="AE27" i="1064"/>
  <c r="AE73" i="1064" s="1"/>
  <c r="AD27" i="1064"/>
  <c r="AC27" i="1064"/>
  <c r="AC73" i="1064" s="1"/>
  <c r="AB27" i="1064"/>
  <c r="AA27" i="1064"/>
  <c r="AA73" i="1064" s="1"/>
  <c r="Z27" i="1064"/>
  <c r="Z73" i="1064" s="1"/>
  <c r="Y27" i="1064"/>
  <c r="Y73" i="1064" s="1"/>
  <c r="X27" i="1064"/>
  <c r="X73" i="1064" s="1"/>
  <c r="W27" i="1064"/>
  <c r="W73" i="1064" s="1"/>
  <c r="V27" i="1064"/>
  <c r="U27" i="1064"/>
  <c r="U73" i="1064" s="1"/>
  <c r="T27" i="1064"/>
  <c r="T73" i="1064" s="1"/>
  <c r="AE26" i="1064"/>
  <c r="AE72" i="1064" s="1"/>
  <c r="AD26" i="1064"/>
  <c r="AC26" i="1064"/>
  <c r="AB26" i="1064"/>
  <c r="AA26" i="1064"/>
  <c r="AA72" i="1064" s="1"/>
  <c r="Z26" i="1064"/>
  <c r="Z72" i="1064" s="1"/>
  <c r="Y26" i="1064"/>
  <c r="Y72" i="1064" s="1"/>
  <c r="X26" i="1064"/>
  <c r="X72" i="1064" s="1"/>
  <c r="W26" i="1064"/>
  <c r="W72" i="1064" s="1"/>
  <c r="W220" i="1064" s="1"/>
  <c r="V26" i="1064"/>
  <c r="V72" i="1064" s="1"/>
  <c r="U26" i="1064"/>
  <c r="U72" i="1064" s="1"/>
  <c r="T26" i="1064"/>
  <c r="T72" i="1064" s="1"/>
  <c r="AF25" i="1064"/>
  <c r="AE25" i="1064"/>
  <c r="AD25" i="1064"/>
  <c r="AC25" i="1064"/>
  <c r="AB25" i="1064"/>
  <c r="AA25" i="1064"/>
  <c r="Z25" i="1064"/>
  <c r="Y25" i="1064"/>
  <c r="X25" i="1064"/>
  <c r="W25" i="1064"/>
  <c r="V25" i="1064"/>
  <c r="U25" i="1064"/>
  <c r="T25" i="1064"/>
  <c r="AE24" i="1064"/>
  <c r="AD24" i="1064"/>
  <c r="AC24" i="1064"/>
  <c r="X24" i="1064"/>
  <c r="W24" i="1064"/>
  <c r="V24" i="1064"/>
  <c r="U24" i="1064"/>
  <c r="T24" i="1064"/>
  <c r="L24" i="1064"/>
  <c r="T23" i="1064"/>
  <c r="T182" i="1064" s="1"/>
  <c r="H23" i="1064"/>
  <c r="B23" i="1064"/>
  <c r="B24" i="1064" s="1"/>
  <c r="B25" i="1064" s="1"/>
  <c r="B26" i="1064" s="1"/>
  <c r="T22" i="1064"/>
  <c r="H22" i="1064"/>
  <c r="T21" i="1064"/>
  <c r="T178" i="1064" s="1"/>
  <c r="H21" i="1064"/>
  <c r="T20" i="1064"/>
  <c r="H20" i="1064"/>
  <c r="T19" i="1064"/>
  <c r="H19" i="1064"/>
  <c r="T18" i="1064"/>
  <c r="H18" i="1064"/>
  <c r="T17" i="1064"/>
  <c r="H17" i="1064"/>
  <c r="T16" i="1064"/>
  <c r="H16" i="1064"/>
  <c r="T15" i="1064"/>
  <c r="H15" i="1064"/>
  <c r="T14" i="1064"/>
  <c r="H14" i="1064"/>
  <c r="T13" i="1064"/>
  <c r="H13" i="1064"/>
  <c r="T12" i="1064"/>
  <c r="H12" i="1064"/>
  <c r="T11" i="1064"/>
  <c r="T10" i="1064" s="1"/>
  <c r="H11" i="1064"/>
  <c r="I10" i="1064"/>
  <c r="H10" i="1064"/>
  <c r="T9" i="1064"/>
  <c r="T88" i="1064" s="1"/>
  <c r="I9" i="1064"/>
  <c r="H9" i="1064"/>
  <c r="H88" i="1064" s="1" a="1"/>
  <c r="H88" i="1064" s="1"/>
  <c r="T8" i="1064"/>
  <c r="H8" i="1064"/>
  <c r="H69" i="1064" s="1"/>
  <c r="AE7" i="1064"/>
  <c r="AD7" i="1064"/>
  <c r="Y7" i="1064"/>
  <c r="X7" i="1064"/>
  <c r="W7" i="1064"/>
  <c r="V7" i="1064"/>
  <c r="T7" i="1064"/>
  <c r="R7" i="1064"/>
  <c r="Q7" i="1064"/>
  <c r="P7" i="1064"/>
  <c r="AC7" i="1064" s="1"/>
  <c r="O7" i="1064"/>
  <c r="AB7" i="1064" s="1"/>
  <c r="N7" i="1064"/>
  <c r="AA7" i="1064" s="1"/>
  <c r="M7" i="1064"/>
  <c r="Z7" i="1064" s="1"/>
  <c r="L7" i="1064"/>
  <c r="K7" i="1064"/>
  <c r="J7" i="1064"/>
  <c r="I7" i="1064"/>
  <c r="H7" i="1064"/>
  <c r="U7" i="1064" s="1"/>
  <c r="AF6" i="1064"/>
  <c r="AB6" i="1064"/>
  <c r="W6" i="1064"/>
  <c r="U6" i="1064"/>
  <c r="T6" i="1064"/>
  <c r="P6" i="1064"/>
  <c r="K6" i="1064"/>
  <c r="H6" i="1064"/>
  <c r="AD5" i="1064"/>
  <c r="AC5" i="1064"/>
  <c r="X5" i="1064"/>
  <c r="W5" i="1064"/>
  <c r="V5" i="1064"/>
  <c r="U5" i="1064"/>
  <c r="T5" i="1064"/>
  <c r="R5" i="1064"/>
  <c r="Q5" i="1064"/>
  <c r="P5" i="1064"/>
  <c r="O5" i="1064"/>
  <c r="N5" i="1064"/>
  <c r="M5" i="1064"/>
  <c r="L5" i="1064"/>
  <c r="K5" i="1064"/>
  <c r="J5" i="1064"/>
  <c r="I5" i="1064"/>
  <c r="H5" i="1064"/>
  <c r="U4" i="1064"/>
  <c r="T4" i="1064"/>
  <c r="H4" i="1064"/>
  <c r="B4" i="1064"/>
  <c r="B5" i="1064" s="1"/>
  <c r="B6" i="1064" s="1"/>
  <c r="B7" i="1064" s="1"/>
  <c r="B10" i="1064" s="1"/>
  <c r="B12" i="1064" s="1"/>
  <c r="B13" i="1064" s="1"/>
  <c r="B14" i="1064" s="1"/>
  <c r="B15" i="1064" s="1"/>
  <c r="B16" i="1064" s="1"/>
  <c r="B17" i="1064" s="1"/>
  <c r="B18" i="1064" s="1"/>
  <c r="B19" i="1064" s="1"/>
  <c r="B20" i="1064" s="1"/>
  <c r="B21" i="1064" s="1"/>
  <c r="B22" i="1064" s="1"/>
  <c r="AE2" i="1064"/>
  <c r="AE52" i="1064" s="1"/>
  <c r="AD2" i="1064"/>
  <c r="AD52" i="1064" s="1"/>
  <c r="AC2" i="1064"/>
  <c r="AC52" i="1064" s="1"/>
  <c r="AB2" i="1064"/>
  <c r="AB52" i="1064" s="1"/>
  <c r="AA2" i="1064"/>
  <c r="Z2" i="1064"/>
  <c r="Y2" i="1064"/>
  <c r="Y52" i="1064" s="1"/>
  <c r="X2" i="1064"/>
  <c r="X52" i="1064" s="1"/>
  <c r="W2" i="1064"/>
  <c r="W52" i="1064" s="1"/>
  <c r="V2" i="1064"/>
  <c r="V52" i="1064" s="1"/>
  <c r="U2" i="1064"/>
  <c r="U52" i="1064" s="1"/>
  <c r="T2" i="1064"/>
  <c r="T52" i="1064" s="1"/>
  <c r="R2" i="1064"/>
  <c r="R52" i="1064" s="1"/>
  <c r="Q2" i="1064"/>
  <c r="P2" i="1064"/>
  <c r="P52" i="1064" s="1"/>
  <c r="O2" i="1064"/>
  <c r="N2" i="1064"/>
  <c r="N52" i="1064" s="1"/>
  <c r="M2" i="1064"/>
  <c r="M52" i="1064" s="1"/>
  <c r="L2" i="1064"/>
  <c r="L52" i="1064" s="1"/>
  <c r="K2" i="1064"/>
  <c r="K52" i="1064" s="1"/>
  <c r="J2" i="1064"/>
  <c r="J52" i="1064" s="1"/>
  <c r="I2" i="1064"/>
  <c r="I52" i="1064" s="1"/>
  <c r="H2" i="1064"/>
  <c r="H52" i="1064" s="1"/>
  <c r="G2" i="1064"/>
  <c r="B2" i="1064"/>
  <c r="B3" i="1064" s="1"/>
  <c r="U1" i="1064"/>
  <c r="V1" i="1064" s="1"/>
  <c r="W1" i="1064" s="1"/>
  <c r="X1" i="1064" s="1"/>
  <c r="Y1" i="1064" s="1"/>
  <c r="Z1" i="1064" s="1"/>
  <c r="AA1" i="1064" s="1"/>
  <c r="AB1" i="1064" s="1"/>
  <c r="AC1" i="1064" s="1"/>
  <c r="AD1" i="1064" s="1"/>
  <c r="AE1" i="1064" s="1"/>
  <c r="H1" i="1064"/>
  <c r="I1" i="1064" s="1"/>
  <c r="J1" i="1064" s="1"/>
  <c r="K1" i="1064" s="1"/>
  <c r="L1" i="1064" s="1"/>
  <c r="M1" i="1064" s="1"/>
  <c r="N1" i="1064" s="1"/>
  <c r="O1" i="1064" s="1"/>
  <c r="P1" i="1064" s="1"/>
  <c r="Q1" i="1064" s="1"/>
  <c r="R1" i="1064" s="1"/>
  <c r="AE238" i="1063"/>
  <c r="AD238" i="1063"/>
  <c r="AC238" i="1063"/>
  <c r="AB238" i="1063"/>
  <c r="AA238" i="1063"/>
  <c r="Z238" i="1063"/>
  <c r="Y238" i="1063"/>
  <c r="X238" i="1063"/>
  <c r="W238" i="1063"/>
  <c r="V238" i="1063"/>
  <c r="U238" i="1063"/>
  <c r="T238" i="1063"/>
  <c r="S238" i="1063"/>
  <c r="R238" i="1063"/>
  <c r="Q238" i="1063"/>
  <c r="P238" i="1063"/>
  <c r="O238" i="1063"/>
  <c r="N238" i="1063"/>
  <c r="M238" i="1063"/>
  <c r="L238" i="1063"/>
  <c r="K238" i="1063"/>
  <c r="J238" i="1063"/>
  <c r="I238" i="1063"/>
  <c r="H238" i="1063"/>
  <c r="G238" i="1063"/>
  <c r="S236" i="1063"/>
  <c r="G236" i="1063"/>
  <c r="AE235" i="1063"/>
  <c r="AD235" i="1063"/>
  <c r="AC235" i="1063"/>
  <c r="AB235" i="1063"/>
  <c r="AA235" i="1063"/>
  <c r="Z235" i="1063"/>
  <c r="Y235" i="1063"/>
  <c r="X235" i="1063"/>
  <c r="W235" i="1063"/>
  <c r="V235" i="1063"/>
  <c r="U235" i="1063"/>
  <c r="T235" i="1063"/>
  <c r="S235" i="1063"/>
  <c r="R235" i="1063"/>
  <c r="Q235" i="1063"/>
  <c r="P235" i="1063"/>
  <c r="O235" i="1063"/>
  <c r="N235" i="1063"/>
  <c r="M235" i="1063"/>
  <c r="L235" i="1063"/>
  <c r="K235" i="1063"/>
  <c r="J235" i="1063"/>
  <c r="I235" i="1063"/>
  <c r="H235" i="1063"/>
  <c r="G235" i="1063"/>
  <c r="B235" i="1063"/>
  <c r="B236" i="1063" s="1"/>
  <c r="B237" i="1063" s="1"/>
  <c r="AE234" i="1063"/>
  <c r="AD234" i="1063"/>
  <c r="AC234" i="1063"/>
  <c r="AB234" i="1063"/>
  <c r="AA234" i="1063"/>
  <c r="Z234" i="1063"/>
  <c r="Y234" i="1063"/>
  <c r="X234" i="1063"/>
  <c r="W234" i="1063"/>
  <c r="V234" i="1063"/>
  <c r="U234" i="1063"/>
  <c r="T234" i="1063"/>
  <c r="S234" i="1063"/>
  <c r="R234" i="1063"/>
  <c r="Q234" i="1063"/>
  <c r="P234" i="1063"/>
  <c r="O234" i="1063"/>
  <c r="N234" i="1063"/>
  <c r="M234" i="1063"/>
  <c r="L234" i="1063"/>
  <c r="K234" i="1063"/>
  <c r="J234" i="1063"/>
  <c r="I234" i="1063"/>
  <c r="H234" i="1063"/>
  <c r="G234" i="1063"/>
  <c r="AE233" i="1063"/>
  <c r="AD233" i="1063"/>
  <c r="AC233" i="1063"/>
  <c r="AB233" i="1063"/>
  <c r="AA233" i="1063"/>
  <c r="Z233" i="1063"/>
  <c r="Y233" i="1063"/>
  <c r="X233" i="1063"/>
  <c r="W233" i="1063"/>
  <c r="V233" i="1063"/>
  <c r="U233" i="1063"/>
  <c r="T233" i="1063"/>
  <c r="S233" i="1063"/>
  <c r="R233" i="1063"/>
  <c r="Q233" i="1063"/>
  <c r="P233" i="1063"/>
  <c r="O233" i="1063"/>
  <c r="N233" i="1063"/>
  <c r="M233" i="1063"/>
  <c r="L233" i="1063"/>
  <c r="K233" i="1063"/>
  <c r="J233" i="1063"/>
  <c r="I233" i="1063"/>
  <c r="H233" i="1063"/>
  <c r="G233" i="1063"/>
  <c r="B233" i="1063"/>
  <c r="B234" i="1063" s="1"/>
  <c r="AE232" i="1063"/>
  <c r="AD232" i="1063"/>
  <c r="AC232" i="1063"/>
  <c r="AB232" i="1063"/>
  <c r="AA232" i="1063"/>
  <c r="Z232" i="1063"/>
  <c r="Y232" i="1063"/>
  <c r="X232" i="1063"/>
  <c r="W232" i="1063"/>
  <c r="V232" i="1063"/>
  <c r="U232" i="1063"/>
  <c r="T232" i="1063"/>
  <c r="S232" i="1063"/>
  <c r="R232" i="1063"/>
  <c r="Q232" i="1063"/>
  <c r="P232" i="1063"/>
  <c r="O232" i="1063"/>
  <c r="N232" i="1063"/>
  <c r="M232" i="1063"/>
  <c r="L232" i="1063"/>
  <c r="K232" i="1063"/>
  <c r="J232" i="1063"/>
  <c r="I232" i="1063"/>
  <c r="H232" i="1063"/>
  <c r="G232" i="1063"/>
  <c r="B232" i="1063"/>
  <c r="AE231" i="1063"/>
  <c r="AD231" i="1063"/>
  <c r="AC231" i="1063"/>
  <c r="AB231" i="1063"/>
  <c r="AA231" i="1063"/>
  <c r="Z231" i="1063"/>
  <c r="Y231" i="1063"/>
  <c r="X231" i="1063"/>
  <c r="W231" i="1063"/>
  <c r="V231" i="1063"/>
  <c r="U231" i="1063"/>
  <c r="T231" i="1063"/>
  <c r="S231" i="1063"/>
  <c r="R231" i="1063"/>
  <c r="Q231" i="1063"/>
  <c r="P231" i="1063"/>
  <c r="O231" i="1063"/>
  <c r="N231" i="1063"/>
  <c r="M231" i="1063"/>
  <c r="L231" i="1063"/>
  <c r="K231" i="1063"/>
  <c r="J231" i="1063"/>
  <c r="I231" i="1063"/>
  <c r="H231" i="1063"/>
  <c r="G231" i="1063"/>
  <c r="F230" i="1063"/>
  <c r="F229" i="1063"/>
  <c r="S228" i="1063"/>
  <c r="L228" i="1063"/>
  <c r="G228" i="1063"/>
  <c r="AE227" i="1063"/>
  <c r="AD227" i="1063"/>
  <c r="AC227" i="1063"/>
  <c r="AB227" i="1063"/>
  <c r="AA227" i="1063"/>
  <c r="Z227" i="1063"/>
  <c r="Y227" i="1063"/>
  <c r="X227" i="1063"/>
  <c r="W227" i="1063"/>
  <c r="V227" i="1063"/>
  <c r="U227" i="1063"/>
  <c r="T227" i="1063"/>
  <c r="S227" i="1063"/>
  <c r="R227" i="1063"/>
  <c r="Q227" i="1063"/>
  <c r="P227" i="1063"/>
  <c r="O227" i="1063"/>
  <c r="N227" i="1063"/>
  <c r="M227" i="1063"/>
  <c r="L227" i="1063"/>
  <c r="K227" i="1063"/>
  <c r="J227" i="1063"/>
  <c r="I227" i="1063"/>
  <c r="H227" i="1063"/>
  <c r="G227" i="1063"/>
  <c r="AE226" i="1063"/>
  <c r="AD226" i="1063"/>
  <c r="AC226" i="1063"/>
  <c r="AB226" i="1063"/>
  <c r="AA226" i="1063"/>
  <c r="Z226" i="1063"/>
  <c r="Y226" i="1063"/>
  <c r="X226" i="1063"/>
  <c r="W226" i="1063"/>
  <c r="V226" i="1063"/>
  <c r="U226" i="1063"/>
  <c r="T226" i="1063"/>
  <c r="S226" i="1063"/>
  <c r="R226" i="1063"/>
  <c r="Q226" i="1063"/>
  <c r="P226" i="1063"/>
  <c r="O226" i="1063"/>
  <c r="N226" i="1063"/>
  <c r="M226" i="1063"/>
  <c r="L226" i="1063"/>
  <c r="K226" i="1063"/>
  <c r="J226" i="1063"/>
  <c r="I226" i="1063"/>
  <c r="H226" i="1063"/>
  <c r="G226" i="1063"/>
  <c r="S225" i="1063"/>
  <c r="AE224" i="1063"/>
  <c r="AD224" i="1063"/>
  <c r="AC224" i="1063"/>
  <c r="AB224" i="1063"/>
  <c r="AA224" i="1063"/>
  <c r="Z224" i="1063"/>
  <c r="Y224" i="1063"/>
  <c r="X224" i="1063"/>
  <c r="W224" i="1063"/>
  <c r="V224" i="1063"/>
  <c r="U224" i="1063"/>
  <c r="T224" i="1063"/>
  <c r="S224" i="1063"/>
  <c r="R224" i="1063"/>
  <c r="Q224" i="1063"/>
  <c r="P224" i="1063"/>
  <c r="O224" i="1063"/>
  <c r="N224" i="1063"/>
  <c r="M224" i="1063"/>
  <c r="L224" i="1063"/>
  <c r="K224" i="1063"/>
  <c r="J224" i="1063"/>
  <c r="I224" i="1063"/>
  <c r="H224" i="1063"/>
  <c r="G224" i="1063"/>
  <c r="AE223" i="1063"/>
  <c r="AD223" i="1063"/>
  <c r="AC223" i="1063"/>
  <c r="AB223" i="1063"/>
  <c r="AA223" i="1063"/>
  <c r="Z223" i="1063"/>
  <c r="Y223" i="1063"/>
  <c r="X223" i="1063"/>
  <c r="W223" i="1063"/>
  <c r="V223" i="1063"/>
  <c r="U223" i="1063"/>
  <c r="T223" i="1063"/>
  <c r="S223" i="1063"/>
  <c r="R223" i="1063"/>
  <c r="Q223" i="1063"/>
  <c r="P223" i="1063"/>
  <c r="O223" i="1063"/>
  <c r="N223" i="1063"/>
  <c r="M223" i="1063"/>
  <c r="L223" i="1063"/>
  <c r="K223" i="1063"/>
  <c r="J223" i="1063"/>
  <c r="I223" i="1063"/>
  <c r="H223" i="1063"/>
  <c r="G223" i="1063"/>
  <c r="D222" i="1063"/>
  <c r="S221" i="1063"/>
  <c r="S220" i="1063"/>
  <c r="S219" i="1063"/>
  <c r="D219" i="1063"/>
  <c r="S218" i="1063"/>
  <c r="D218" i="1063"/>
  <c r="S217" i="1063"/>
  <c r="G217" i="1063"/>
  <c r="S216" i="1063"/>
  <c r="S216" i="1063" a="1"/>
  <c r="S215" i="1063"/>
  <c r="S214" i="1063"/>
  <c r="S213" i="1063"/>
  <c r="S212" i="1063"/>
  <c r="S211" i="1063"/>
  <c r="S210" i="1063"/>
  <c r="S209" i="1063"/>
  <c r="S208" i="1063"/>
  <c r="S207" i="1063"/>
  <c r="S206" i="1063"/>
  <c r="S205" i="1063"/>
  <c r="S204" i="1063"/>
  <c r="S203" i="1063"/>
  <c r="S202" i="1063"/>
  <c r="AC199" i="1063"/>
  <c r="S199" i="1063"/>
  <c r="S198" i="1063"/>
  <c r="S197" i="1063"/>
  <c r="S196" i="1063"/>
  <c r="X195" i="1063"/>
  <c r="S195" i="1063"/>
  <c r="O195" i="1063"/>
  <c r="J195" i="1063"/>
  <c r="G195" i="1063"/>
  <c r="S194" i="1063"/>
  <c r="O194" i="1063"/>
  <c r="J194" i="1063"/>
  <c r="G194" i="1063"/>
  <c r="S193" i="1063"/>
  <c r="O193" i="1063"/>
  <c r="J193" i="1063"/>
  <c r="G193" i="1063"/>
  <c r="S192" i="1063"/>
  <c r="O192" i="1063"/>
  <c r="J192" i="1063"/>
  <c r="G192" i="1063"/>
  <c r="S191" i="1063"/>
  <c r="R191" i="1063"/>
  <c r="Q191" i="1063"/>
  <c r="P191" i="1063"/>
  <c r="O191" i="1063"/>
  <c r="N191" i="1063"/>
  <c r="M191" i="1063"/>
  <c r="L191" i="1063"/>
  <c r="K191" i="1063"/>
  <c r="J191" i="1063"/>
  <c r="I191" i="1063"/>
  <c r="H191" i="1063"/>
  <c r="G191" i="1063"/>
  <c r="AE190" i="1063"/>
  <c r="AD190" i="1063"/>
  <c r="AC190" i="1063"/>
  <c r="AB190" i="1063"/>
  <c r="AA190" i="1063"/>
  <c r="Z190" i="1063"/>
  <c r="Y190" i="1063"/>
  <c r="X190" i="1063"/>
  <c r="W190" i="1063"/>
  <c r="V190" i="1063"/>
  <c r="U190" i="1063"/>
  <c r="T190" i="1063"/>
  <c r="S190" i="1063"/>
  <c r="R190" i="1063"/>
  <c r="Q190" i="1063"/>
  <c r="P190" i="1063"/>
  <c r="O190" i="1063"/>
  <c r="N190" i="1063"/>
  <c r="M190" i="1063"/>
  <c r="L190" i="1063"/>
  <c r="K190" i="1063"/>
  <c r="J190" i="1063"/>
  <c r="I190" i="1063"/>
  <c r="H190" i="1063"/>
  <c r="G190" i="1063"/>
  <c r="S189" i="1063"/>
  <c r="R189" i="1063"/>
  <c r="Q189" i="1063"/>
  <c r="P189" i="1063"/>
  <c r="O189" i="1063"/>
  <c r="N189" i="1063"/>
  <c r="M189" i="1063"/>
  <c r="L189" i="1063"/>
  <c r="K189" i="1063"/>
  <c r="J189" i="1063"/>
  <c r="I189" i="1063"/>
  <c r="H189" i="1063"/>
  <c r="G189" i="1063"/>
  <c r="S188" i="1063"/>
  <c r="R188" i="1063"/>
  <c r="Q188" i="1063"/>
  <c r="P188" i="1063"/>
  <c r="O188" i="1063"/>
  <c r="N188" i="1063"/>
  <c r="M188" i="1063"/>
  <c r="L188" i="1063"/>
  <c r="K188" i="1063"/>
  <c r="J188" i="1063"/>
  <c r="I188" i="1063"/>
  <c r="H188" i="1063"/>
  <c r="G188" i="1063"/>
  <c r="S185" i="1063"/>
  <c r="AE183" i="1063"/>
  <c r="AD183" i="1063"/>
  <c r="AC183" i="1063"/>
  <c r="AB183" i="1063"/>
  <c r="AA183" i="1063"/>
  <c r="Z183" i="1063"/>
  <c r="Y183" i="1063"/>
  <c r="X183" i="1063"/>
  <c r="W183" i="1063"/>
  <c r="V183" i="1063"/>
  <c r="U183" i="1063"/>
  <c r="T183" i="1063"/>
  <c r="S183" i="1063"/>
  <c r="R183" i="1063"/>
  <c r="Q183" i="1063"/>
  <c r="P183" i="1063"/>
  <c r="O183" i="1063"/>
  <c r="N183" i="1063"/>
  <c r="M183" i="1063"/>
  <c r="L183" i="1063"/>
  <c r="K183" i="1063"/>
  <c r="J183" i="1063"/>
  <c r="I183" i="1063"/>
  <c r="H183" i="1063"/>
  <c r="G183" i="1063"/>
  <c r="S182" i="1063"/>
  <c r="G182" i="1063"/>
  <c r="S181" i="1063"/>
  <c r="G181" i="1063"/>
  <c r="S180" i="1063"/>
  <c r="G180" i="1063"/>
  <c r="S179" i="1063"/>
  <c r="G179" i="1063"/>
  <c r="S178" i="1063"/>
  <c r="G178" i="1063"/>
  <c r="S177" i="1063"/>
  <c r="G177" i="1063"/>
  <c r="S173" i="1063"/>
  <c r="B173" i="1063"/>
  <c r="B174" i="1063" s="1"/>
  <c r="B175" i="1063" s="1"/>
  <c r="B176" i="1063" s="1"/>
  <c r="B177" i="1063" s="1"/>
  <c r="B178" i="1063" s="1"/>
  <c r="B179" i="1063" s="1"/>
  <c r="B180" i="1063" s="1"/>
  <c r="B181" i="1063" s="1"/>
  <c r="B182" i="1063" s="1"/>
  <c r="B183" i="1063" s="1"/>
  <c r="B184" i="1063" s="1"/>
  <c r="B185" i="1063" s="1"/>
  <c r="B186" i="1063" s="1"/>
  <c r="B170" i="1063"/>
  <c r="B171" i="1063" s="1"/>
  <c r="B172" i="1063" s="1"/>
  <c r="S169" i="1063"/>
  <c r="G169" i="1063"/>
  <c r="S168" i="1063"/>
  <c r="G168" i="1063"/>
  <c r="B168" i="1063"/>
  <c r="B169" i="1063" s="1"/>
  <c r="S167" i="1063"/>
  <c r="G167" i="1063"/>
  <c r="G166" i="1063"/>
  <c r="G165" i="1063"/>
  <c r="G163" i="1063"/>
  <c r="T162" i="1063"/>
  <c r="G162" i="1063"/>
  <c r="G139" i="1063"/>
  <c r="G135" i="1063"/>
  <c r="G134" i="1063"/>
  <c r="G133" i="1063"/>
  <c r="G132" i="1063"/>
  <c r="G131" i="1063"/>
  <c r="G130" i="1063" a="1"/>
  <c r="G130" i="1063" s="1"/>
  <c r="G164" i="1063" s="1"/>
  <c r="G129" i="1063"/>
  <c r="F128" i="1063"/>
  <c r="F127" i="1063"/>
  <c r="G125" i="1063"/>
  <c r="G124" i="1063"/>
  <c r="G123" i="1063"/>
  <c r="G121" i="1063"/>
  <c r="G111" i="1063"/>
  <c r="B111" i="1063"/>
  <c r="G108" i="1063"/>
  <c r="B108" i="1063"/>
  <c r="R107" i="1063"/>
  <c r="P107" i="1063"/>
  <c r="B107" i="1063"/>
  <c r="D220" i="1063" s="1"/>
  <c r="S106" i="1063"/>
  <c r="AD105" i="1063"/>
  <c r="G105" i="1063"/>
  <c r="D98" i="1063"/>
  <c r="D97" i="1063"/>
  <c r="D96" i="1063"/>
  <c r="D95" i="1063"/>
  <c r="D94" i="1063"/>
  <c r="D93" i="1063"/>
  <c r="G92" i="1063"/>
  <c r="T88" i="1063"/>
  <c r="T109" i="1063" s="1"/>
  <c r="G88" i="1063"/>
  <c r="G88" i="1063" a="1"/>
  <c r="R87" i="1063"/>
  <c r="R199" i="1063" s="1"/>
  <c r="Q87" i="1063"/>
  <c r="Q199" i="1063" s="1"/>
  <c r="P87" i="1063"/>
  <c r="P199" i="1063" s="1"/>
  <c r="O87" i="1063"/>
  <c r="O199" i="1063" s="1"/>
  <c r="N87" i="1063"/>
  <c r="N199" i="1063" s="1"/>
  <c r="M87" i="1063"/>
  <c r="M199" i="1063" s="1"/>
  <c r="L87" i="1063"/>
  <c r="L199" i="1063" s="1"/>
  <c r="K87" i="1063"/>
  <c r="K199" i="1063" s="1"/>
  <c r="J87" i="1063"/>
  <c r="J199" i="1063" s="1"/>
  <c r="I87" i="1063"/>
  <c r="I199" i="1063" s="1"/>
  <c r="H87" i="1063"/>
  <c r="H199" i="1063" s="1"/>
  <c r="G87" i="1063"/>
  <c r="G199" i="1063" s="1"/>
  <c r="AD86" i="1063"/>
  <c r="R86" i="1063"/>
  <c r="Q86" i="1063"/>
  <c r="O86" i="1063"/>
  <c r="N86" i="1063"/>
  <c r="M86" i="1063"/>
  <c r="L86" i="1063"/>
  <c r="K86" i="1063"/>
  <c r="J86" i="1063"/>
  <c r="I86" i="1063"/>
  <c r="H86" i="1063"/>
  <c r="X85" i="1063"/>
  <c r="W85" i="1063"/>
  <c r="T85" i="1063"/>
  <c r="R85" i="1063"/>
  <c r="Q85" i="1063"/>
  <c r="P85" i="1063"/>
  <c r="O85" i="1063"/>
  <c r="N85" i="1063"/>
  <c r="M85" i="1063"/>
  <c r="L85" i="1063"/>
  <c r="K85" i="1063"/>
  <c r="J85" i="1063"/>
  <c r="I85" i="1063"/>
  <c r="H85" i="1063"/>
  <c r="G85" i="1063"/>
  <c r="AC84" i="1063"/>
  <c r="AB84" i="1063"/>
  <c r="Z84" i="1063"/>
  <c r="R84" i="1063"/>
  <c r="Q84" i="1063"/>
  <c r="P84" i="1063"/>
  <c r="O84" i="1063"/>
  <c r="N84" i="1063"/>
  <c r="M84" i="1063"/>
  <c r="L84" i="1063"/>
  <c r="K84" i="1063"/>
  <c r="J84" i="1063"/>
  <c r="I84" i="1063"/>
  <c r="H84" i="1063"/>
  <c r="G84" i="1063"/>
  <c r="Z83" i="1063"/>
  <c r="U83" i="1063"/>
  <c r="T83" i="1063"/>
  <c r="R83" i="1063"/>
  <c r="Q83" i="1063"/>
  <c r="P83" i="1063"/>
  <c r="O83" i="1063"/>
  <c r="N83" i="1063"/>
  <c r="M83" i="1063"/>
  <c r="L83" i="1063"/>
  <c r="K83" i="1063"/>
  <c r="J83" i="1063"/>
  <c r="I83" i="1063"/>
  <c r="H83" i="1063"/>
  <c r="G83" i="1063"/>
  <c r="AE82" i="1063"/>
  <c r="AD82" i="1063"/>
  <c r="AB82" i="1063"/>
  <c r="W82" i="1063"/>
  <c r="R82" i="1063"/>
  <c r="Q82" i="1063"/>
  <c r="P82" i="1063"/>
  <c r="O82" i="1063"/>
  <c r="N82" i="1063"/>
  <c r="M82" i="1063"/>
  <c r="L82" i="1063"/>
  <c r="K82" i="1063"/>
  <c r="J82" i="1063"/>
  <c r="AF82" i="1063" s="1"/>
  <c r="I82" i="1063"/>
  <c r="H82" i="1063"/>
  <c r="G82" i="1063"/>
  <c r="Y81" i="1063"/>
  <c r="X81" i="1063"/>
  <c r="R81" i="1063"/>
  <c r="Q81" i="1063"/>
  <c r="P81" i="1063"/>
  <c r="O81" i="1063"/>
  <c r="N81" i="1063"/>
  <c r="M81" i="1063"/>
  <c r="L81" i="1063"/>
  <c r="K81" i="1063"/>
  <c r="J81" i="1063"/>
  <c r="I81" i="1063"/>
  <c r="H81" i="1063"/>
  <c r="G81" i="1063"/>
  <c r="AF81" i="1063" s="1"/>
  <c r="R80" i="1063"/>
  <c r="Q80" i="1063"/>
  <c r="P80" i="1063"/>
  <c r="O80" i="1063"/>
  <c r="N80" i="1063"/>
  <c r="M80" i="1063"/>
  <c r="L80" i="1063"/>
  <c r="K80" i="1063"/>
  <c r="J80" i="1063"/>
  <c r="I80" i="1063"/>
  <c r="AF80" i="1063" s="1"/>
  <c r="H80" i="1063"/>
  <c r="G80" i="1063"/>
  <c r="Y79" i="1063"/>
  <c r="X79" i="1063"/>
  <c r="R79" i="1063"/>
  <c r="Q79" i="1063"/>
  <c r="P79" i="1063"/>
  <c r="O79" i="1063"/>
  <c r="N79" i="1063"/>
  <c r="M79" i="1063"/>
  <c r="L79" i="1063"/>
  <c r="K79" i="1063"/>
  <c r="J79" i="1063"/>
  <c r="I79" i="1063"/>
  <c r="H79" i="1063"/>
  <c r="G79" i="1063"/>
  <c r="AD78" i="1063"/>
  <c r="AC78" i="1063"/>
  <c r="V78" i="1063"/>
  <c r="R78" i="1063"/>
  <c r="Q78" i="1063"/>
  <c r="P78" i="1063"/>
  <c r="O78" i="1063"/>
  <c r="N78" i="1063"/>
  <c r="M78" i="1063"/>
  <c r="L78" i="1063"/>
  <c r="K78" i="1063"/>
  <c r="J78" i="1063"/>
  <c r="I78" i="1063"/>
  <c r="H78" i="1063"/>
  <c r="G78" i="1063"/>
  <c r="O77" i="1063"/>
  <c r="K77" i="1063"/>
  <c r="J77" i="1063"/>
  <c r="G77" i="1063"/>
  <c r="AC76" i="1063"/>
  <c r="Z76" i="1063"/>
  <c r="Y76" i="1063"/>
  <c r="R76" i="1063"/>
  <c r="Q76" i="1063"/>
  <c r="P76" i="1063"/>
  <c r="O76" i="1063"/>
  <c r="N76" i="1063"/>
  <c r="M76" i="1063"/>
  <c r="L76" i="1063"/>
  <c r="K76" i="1063"/>
  <c r="J76" i="1063"/>
  <c r="I76" i="1063"/>
  <c r="H76" i="1063"/>
  <c r="G76" i="1063"/>
  <c r="AF76" i="1063" s="1"/>
  <c r="AF75" i="1063"/>
  <c r="R75" i="1063"/>
  <c r="Q75" i="1063"/>
  <c r="P75" i="1063"/>
  <c r="O75" i="1063"/>
  <c r="N75" i="1063"/>
  <c r="M75" i="1063"/>
  <c r="L75" i="1063"/>
  <c r="K75" i="1063"/>
  <c r="J75" i="1063"/>
  <c r="I75" i="1063"/>
  <c r="H75" i="1063"/>
  <c r="G75" i="1063"/>
  <c r="AB74" i="1063"/>
  <c r="Z74" i="1063"/>
  <c r="R74" i="1063"/>
  <c r="Q74" i="1063"/>
  <c r="P74" i="1063"/>
  <c r="O74" i="1063"/>
  <c r="N74" i="1063"/>
  <c r="M74" i="1063"/>
  <c r="L74" i="1063"/>
  <c r="K74" i="1063"/>
  <c r="J74" i="1063"/>
  <c r="I74" i="1063"/>
  <c r="H74" i="1063"/>
  <c r="G74" i="1063"/>
  <c r="X73" i="1063"/>
  <c r="W73" i="1063"/>
  <c r="V73" i="1063"/>
  <c r="R73" i="1063"/>
  <c r="Q73" i="1063"/>
  <c r="P73" i="1063"/>
  <c r="O73" i="1063"/>
  <c r="N73" i="1063"/>
  <c r="M73" i="1063"/>
  <c r="L73" i="1063"/>
  <c r="K73" i="1063"/>
  <c r="J73" i="1063"/>
  <c r="I73" i="1063"/>
  <c r="H73" i="1063"/>
  <c r="G73" i="1063"/>
  <c r="AD72" i="1063"/>
  <c r="R72" i="1063"/>
  <c r="R220" i="1063" s="1"/>
  <c r="Q72" i="1063"/>
  <c r="P72" i="1063"/>
  <c r="P220" i="1063" s="1"/>
  <c r="O72" i="1063"/>
  <c r="N72" i="1063"/>
  <c r="N220" i="1063" s="1"/>
  <c r="M72" i="1063"/>
  <c r="L72" i="1063"/>
  <c r="K72" i="1063"/>
  <c r="K220" i="1063" s="1"/>
  <c r="J72" i="1063"/>
  <c r="J220" i="1063" s="1"/>
  <c r="I72" i="1063"/>
  <c r="H72" i="1063"/>
  <c r="H220" i="1063" s="1"/>
  <c r="G72" i="1063"/>
  <c r="G69" i="1063"/>
  <c r="AG68" i="1063"/>
  <c r="E68" i="1063"/>
  <c r="G68" i="1063" s="1"/>
  <c r="D68" i="1063"/>
  <c r="C68" i="1063"/>
  <c r="AG67" i="1063"/>
  <c r="G67" i="1063"/>
  <c r="AG66" i="1063"/>
  <c r="G66" i="1063"/>
  <c r="AG65" i="1063"/>
  <c r="G65" i="1063"/>
  <c r="AG64" i="1063"/>
  <c r="G64" i="1063"/>
  <c r="G212" i="1063" s="1"/>
  <c r="AG63" i="1063"/>
  <c r="G63" i="1063"/>
  <c r="AG62" i="1063"/>
  <c r="G62" i="1063"/>
  <c r="E62" i="1063"/>
  <c r="D62" i="1063"/>
  <c r="G176" i="1063" s="1"/>
  <c r="C62" i="1063"/>
  <c r="AG61" i="1063"/>
  <c r="E61" i="1063"/>
  <c r="D61" i="1063"/>
  <c r="C61" i="1063"/>
  <c r="AG60" i="1063"/>
  <c r="G60" i="1063"/>
  <c r="E60" i="1063"/>
  <c r="D60" i="1063"/>
  <c r="G174" i="1063" s="1"/>
  <c r="C60" i="1063"/>
  <c r="AG59" i="1063"/>
  <c r="T59" i="1063"/>
  <c r="G59" i="1063"/>
  <c r="G207" i="1063" s="1"/>
  <c r="E59" i="1063"/>
  <c r="D59" i="1063"/>
  <c r="G173" i="1063" s="1"/>
  <c r="C59" i="1063"/>
  <c r="AG58" i="1063"/>
  <c r="E58" i="1063"/>
  <c r="D58" i="1063"/>
  <c r="C58" i="1063"/>
  <c r="AG57" i="1063"/>
  <c r="T57" i="1063"/>
  <c r="E57" i="1063"/>
  <c r="D57" i="1063"/>
  <c r="M162" i="1063" s="1"/>
  <c r="C57" i="1063"/>
  <c r="AG56" i="1063"/>
  <c r="G56" i="1063"/>
  <c r="G204" i="1063" s="1"/>
  <c r="AG55" i="1063"/>
  <c r="G55" i="1063"/>
  <c r="AG54" i="1063"/>
  <c r="G54" i="1063"/>
  <c r="G142" i="1063" s="1"/>
  <c r="G143" i="1063" s="1"/>
  <c r="AG53" i="1063"/>
  <c r="G53" i="1063"/>
  <c r="AC52" i="1063"/>
  <c r="AB52" i="1063"/>
  <c r="T52" i="1063"/>
  <c r="R52" i="1063"/>
  <c r="L52" i="1063"/>
  <c r="J52" i="1063"/>
  <c r="I52" i="1063"/>
  <c r="A52" i="1063"/>
  <c r="T51" i="1063"/>
  <c r="H51" i="1063"/>
  <c r="T50" i="1063"/>
  <c r="H50" i="1063"/>
  <c r="T49" i="1063"/>
  <c r="H49" i="1063"/>
  <c r="AE48" i="1063"/>
  <c r="AD48" i="1063"/>
  <c r="AC48" i="1063"/>
  <c r="AB48" i="1063"/>
  <c r="AA48" i="1063"/>
  <c r="Z48" i="1063"/>
  <c r="Y48" i="1063"/>
  <c r="X48" i="1063"/>
  <c r="W48" i="1063"/>
  <c r="V48" i="1063"/>
  <c r="U48" i="1063"/>
  <c r="T48" i="1063"/>
  <c r="AE47" i="1063"/>
  <c r="AD47" i="1063"/>
  <c r="AC47" i="1063"/>
  <c r="AB47" i="1063"/>
  <c r="AA47" i="1063"/>
  <c r="Z47" i="1063"/>
  <c r="Y47" i="1063"/>
  <c r="X47" i="1063"/>
  <c r="W47" i="1063"/>
  <c r="V47" i="1063"/>
  <c r="U47" i="1063"/>
  <c r="T47" i="1063"/>
  <c r="AE46" i="1063"/>
  <c r="AD46" i="1063"/>
  <c r="AC46" i="1063"/>
  <c r="AB46" i="1063"/>
  <c r="AA46" i="1063"/>
  <c r="Z46" i="1063"/>
  <c r="Y46" i="1063"/>
  <c r="X46" i="1063"/>
  <c r="W46" i="1063"/>
  <c r="V46" i="1063"/>
  <c r="U46" i="1063"/>
  <c r="T46" i="1063"/>
  <c r="AE45" i="1063"/>
  <c r="AD45" i="1063"/>
  <c r="AC45" i="1063"/>
  <c r="AB45" i="1063"/>
  <c r="AA45" i="1063"/>
  <c r="Z45" i="1063"/>
  <c r="Y45" i="1063"/>
  <c r="X45" i="1063"/>
  <c r="W45" i="1063"/>
  <c r="V45" i="1063"/>
  <c r="U45" i="1063"/>
  <c r="T45" i="1063"/>
  <c r="AE44" i="1063"/>
  <c r="AE86" i="1063" s="1"/>
  <c r="AD44" i="1063"/>
  <c r="AB44" i="1063"/>
  <c r="AB86" i="1063" s="1"/>
  <c r="AA44" i="1063"/>
  <c r="AA86" i="1063" s="1"/>
  <c r="Z44" i="1063"/>
  <c r="Z86" i="1063" s="1"/>
  <c r="Y44" i="1063"/>
  <c r="Y86" i="1063" s="1"/>
  <c r="X44" i="1063"/>
  <c r="X86" i="1063" s="1"/>
  <c r="W44" i="1063"/>
  <c r="W86" i="1063" s="1"/>
  <c r="V44" i="1063"/>
  <c r="V86" i="1063" s="1"/>
  <c r="U44" i="1063"/>
  <c r="U86" i="1063" s="1"/>
  <c r="AF43" i="1063"/>
  <c r="AE43" i="1063"/>
  <c r="AD43" i="1063"/>
  <c r="AC43" i="1063"/>
  <c r="AB43" i="1063"/>
  <c r="AB87" i="1063" s="1"/>
  <c r="AB199" i="1063" s="1"/>
  <c r="AA43" i="1063"/>
  <c r="Z43" i="1063"/>
  <c r="Y43" i="1063"/>
  <c r="X43" i="1063"/>
  <c r="W43" i="1063"/>
  <c r="V43" i="1063"/>
  <c r="U43" i="1063"/>
  <c r="T43" i="1063"/>
  <c r="AE42" i="1063"/>
  <c r="AD42" i="1063"/>
  <c r="AC42" i="1063"/>
  <c r="AB42" i="1063"/>
  <c r="AA42" i="1063"/>
  <c r="Z42" i="1063"/>
  <c r="Y42" i="1063"/>
  <c r="X42" i="1063"/>
  <c r="W42" i="1063"/>
  <c r="V42" i="1063"/>
  <c r="U42" i="1063"/>
  <c r="T42" i="1063"/>
  <c r="AE41" i="1063"/>
  <c r="AE84" i="1063" s="1"/>
  <c r="AD41" i="1063"/>
  <c r="AD84" i="1063" s="1"/>
  <c r="AC41" i="1063"/>
  <c r="AB41" i="1063"/>
  <c r="AA41" i="1063"/>
  <c r="AA84" i="1063" s="1"/>
  <c r="Z41" i="1063"/>
  <c r="Y41" i="1063"/>
  <c r="Y84" i="1063" s="1"/>
  <c r="X41" i="1063"/>
  <c r="X84" i="1063" s="1"/>
  <c r="W41" i="1063"/>
  <c r="W84" i="1063" s="1"/>
  <c r="V41" i="1063"/>
  <c r="V84" i="1063" s="1"/>
  <c r="U41" i="1063"/>
  <c r="U84" i="1063" s="1"/>
  <c r="T41" i="1063"/>
  <c r="T84" i="1063" s="1"/>
  <c r="T104" i="1063" s="1"/>
  <c r="AE40" i="1063"/>
  <c r="AD40" i="1063"/>
  <c r="AC40" i="1063"/>
  <c r="AB40" i="1063"/>
  <c r="AA40" i="1063"/>
  <c r="Z40" i="1063"/>
  <c r="Y40" i="1063"/>
  <c r="Y83" i="1063" s="1"/>
  <c r="X40" i="1063"/>
  <c r="W40" i="1063"/>
  <c r="V40" i="1063"/>
  <c r="V83" i="1063" s="1"/>
  <c r="U40" i="1063"/>
  <c r="T40" i="1063"/>
  <c r="AE39" i="1063"/>
  <c r="AD39" i="1063"/>
  <c r="AC39" i="1063"/>
  <c r="AB39" i="1063"/>
  <c r="AA39" i="1063"/>
  <c r="Z39" i="1063"/>
  <c r="Y39" i="1063"/>
  <c r="X39" i="1063"/>
  <c r="W39" i="1063"/>
  <c r="V39" i="1063"/>
  <c r="V82" i="1063" s="1"/>
  <c r="U39" i="1063"/>
  <c r="T39" i="1063"/>
  <c r="T82" i="1063" s="1"/>
  <c r="AE38" i="1063"/>
  <c r="AD38" i="1063"/>
  <c r="AC38" i="1063"/>
  <c r="AB38" i="1063"/>
  <c r="AA38" i="1063"/>
  <c r="Z38" i="1063"/>
  <c r="Z81" i="1063" s="1"/>
  <c r="Y38" i="1063"/>
  <c r="X38" i="1063"/>
  <c r="W38" i="1063"/>
  <c r="V38" i="1063"/>
  <c r="U38" i="1063"/>
  <c r="T38" i="1063"/>
  <c r="AE37" i="1063"/>
  <c r="AE79" i="1063" s="1"/>
  <c r="AD37" i="1063"/>
  <c r="AD79" i="1063" s="1"/>
  <c r="AC37" i="1063"/>
  <c r="AC79" i="1063" s="1"/>
  <c r="AB37" i="1063"/>
  <c r="AB79" i="1063" s="1"/>
  <c r="AA37" i="1063"/>
  <c r="AA79" i="1063" s="1"/>
  <c r="Z37" i="1063"/>
  <c r="Z79" i="1063" s="1"/>
  <c r="Y37" i="1063"/>
  <c r="X37" i="1063"/>
  <c r="W37" i="1063"/>
  <c r="W79" i="1063" s="1"/>
  <c r="V37" i="1063"/>
  <c r="V79" i="1063" s="1"/>
  <c r="U37" i="1063"/>
  <c r="U79" i="1063" s="1"/>
  <c r="T37" i="1063"/>
  <c r="T79" i="1063" s="1"/>
  <c r="AE36" i="1063"/>
  <c r="AD36" i="1063"/>
  <c r="AC36" i="1063"/>
  <c r="AB36" i="1063"/>
  <c r="AA36" i="1063"/>
  <c r="Z36" i="1063"/>
  <c r="Y36" i="1063"/>
  <c r="X36" i="1063"/>
  <c r="X78" i="1063" s="1"/>
  <c r="W36" i="1063"/>
  <c r="V36" i="1063"/>
  <c r="U36" i="1063"/>
  <c r="U78" i="1063" s="1"/>
  <c r="T36" i="1063"/>
  <c r="T78" i="1063" s="1"/>
  <c r="AE35" i="1063"/>
  <c r="AD35" i="1063"/>
  <c r="AC35" i="1063"/>
  <c r="AB35" i="1063"/>
  <c r="AA35" i="1063"/>
  <c r="Z35" i="1063"/>
  <c r="Y35" i="1063"/>
  <c r="X35" i="1063"/>
  <c r="W35" i="1063"/>
  <c r="V35" i="1063"/>
  <c r="U35" i="1063"/>
  <c r="T35" i="1063"/>
  <c r="AE34" i="1063"/>
  <c r="AD34" i="1063"/>
  <c r="AC34" i="1063"/>
  <c r="AB34" i="1063"/>
  <c r="AB191" i="1063" s="1"/>
  <c r="AA34" i="1063"/>
  <c r="AA191" i="1063" s="1"/>
  <c r="Z34" i="1063"/>
  <c r="Y34" i="1063"/>
  <c r="X34" i="1063"/>
  <c r="X191" i="1063" s="1"/>
  <c r="W34" i="1063"/>
  <c r="W191" i="1063" s="1"/>
  <c r="V34" i="1063"/>
  <c r="U34" i="1063"/>
  <c r="T34" i="1063"/>
  <c r="T191" i="1063" s="1"/>
  <c r="AE33" i="1063"/>
  <c r="AE76" i="1063" s="1"/>
  <c r="AD33" i="1063"/>
  <c r="AD76" i="1063" s="1"/>
  <c r="AC33" i="1063"/>
  <c r="AB33" i="1063"/>
  <c r="AB76" i="1063" s="1"/>
  <c r="AA33" i="1063"/>
  <c r="AA76" i="1063" s="1"/>
  <c r="Z33" i="1063"/>
  <c r="Y33" i="1063"/>
  <c r="X33" i="1063"/>
  <c r="X76" i="1063" s="1"/>
  <c r="W33" i="1063"/>
  <c r="W76" i="1063" s="1"/>
  <c r="V33" i="1063"/>
  <c r="V76" i="1063" s="1"/>
  <c r="U33" i="1063"/>
  <c r="U76" i="1063" s="1"/>
  <c r="T33" i="1063"/>
  <c r="T76" i="1063" s="1"/>
  <c r="AE32" i="1063"/>
  <c r="AE189" i="1063" s="1"/>
  <c r="AD32" i="1063"/>
  <c r="AC32" i="1063"/>
  <c r="AB32" i="1063"/>
  <c r="AA32" i="1063"/>
  <c r="Z32" i="1063"/>
  <c r="Z189" i="1063" s="1"/>
  <c r="Y32" i="1063"/>
  <c r="X32" i="1063"/>
  <c r="X189" i="1063" s="1"/>
  <c r="W32" i="1063"/>
  <c r="W189" i="1063" s="1"/>
  <c r="V32" i="1063"/>
  <c r="U32" i="1063"/>
  <c r="T32" i="1063"/>
  <c r="T189" i="1063" s="1"/>
  <c r="B32" i="1063"/>
  <c r="B33" i="1063" s="1"/>
  <c r="B34" i="1063" s="1"/>
  <c r="B35" i="1063" s="1"/>
  <c r="B36" i="1063" s="1"/>
  <c r="B37" i="1063" s="1"/>
  <c r="B38" i="1063" s="1"/>
  <c r="B39" i="1063" s="1"/>
  <c r="B40" i="1063" s="1"/>
  <c r="B41" i="1063" s="1"/>
  <c r="B42" i="1063" s="1"/>
  <c r="B43" i="1063" s="1"/>
  <c r="B44" i="1063" s="1"/>
  <c r="B45" i="1063" s="1"/>
  <c r="B46" i="1063" s="1"/>
  <c r="B47" i="1063" s="1"/>
  <c r="B48" i="1063" s="1"/>
  <c r="B49" i="1063" s="1"/>
  <c r="B50" i="1063" s="1"/>
  <c r="B51" i="1063" s="1"/>
  <c r="B52" i="1063" s="1"/>
  <c r="B53" i="1063" s="1"/>
  <c r="B54" i="1063" s="1"/>
  <c r="AE31" i="1063"/>
  <c r="AD31" i="1063"/>
  <c r="AD188" i="1063" s="1"/>
  <c r="AC31" i="1063"/>
  <c r="AC188" i="1063" s="1"/>
  <c r="AB31" i="1063"/>
  <c r="AB188" i="1063" s="1"/>
  <c r="AA31" i="1063"/>
  <c r="Z31" i="1063"/>
  <c r="Z188" i="1063" s="1"/>
  <c r="Y31" i="1063"/>
  <c r="X31" i="1063"/>
  <c r="W31" i="1063"/>
  <c r="V31" i="1063"/>
  <c r="V188" i="1063" s="1"/>
  <c r="U31" i="1063"/>
  <c r="U188" i="1063" s="1"/>
  <c r="T31" i="1063"/>
  <c r="T188" i="1063" s="1"/>
  <c r="Y30" i="1063"/>
  <c r="V30" i="1063"/>
  <c r="U30" i="1063"/>
  <c r="T30" i="1063"/>
  <c r="M30" i="1063"/>
  <c r="K30" i="1063"/>
  <c r="X30" i="1063" s="1"/>
  <c r="H30" i="1063"/>
  <c r="I30" i="1063" s="1"/>
  <c r="J30" i="1063" s="1"/>
  <c r="W30" i="1063" s="1"/>
  <c r="E30" i="1063"/>
  <c r="D30" i="1063"/>
  <c r="Y29" i="1063"/>
  <c r="Y228" i="1063" s="1"/>
  <c r="T29" i="1063"/>
  <c r="T228" i="1063" s="1"/>
  <c r="M29" i="1063"/>
  <c r="H29" i="1063"/>
  <c r="H228" i="1063" s="1"/>
  <c r="B29" i="1063"/>
  <c r="B30" i="1063" s="1"/>
  <c r="B31" i="1063" s="1"/>
  <c r="AE28" i="1063"/>
  <c r="AD28" i="1063"/>
  <c r="AC28" i="1063"/>
  <c r="AB28" i="1063"/>
  <c r="AA28" i="1063"/>
  <c r="Z28" i="1063"/>
  <c r="Y28" i="1063"/>
  <c r="X28" i="1063"/>
  <c r="W28" i="1063"/>
  <c r="V28" i="1063"/>
  <c r="U28" i="1063"/>
  <c r="T28" i="1063"/>
  <c r="AE27" i="1063"/>
  <c r="AE73" i="1063" s="1"/>
  <c r="AD27" i="1063"/>
  <c r="AD73" i="1063" s="1"/>
  <c r="AC27" i="1063"/>
  <c r="AC73" i="1063" s="1"/>
  <c r="AB27" i="1063"/>
  <c r="AB73" i="1063" s="1"/>
  <c r="AA27" i="1063"/>
  <c r="AA73" i="1063" s="1"/>
  <c r="Z27" i="1063"/>
  <c r="Z73" i="1063" s="1"/>
  <c r="Y27" i="1063"/>
  <c r="Y73" i="1063" s="1"/>
  <c r="X27" i="1063"/>
  <c r="W27" i="1063"/>
  <c r="V27" i="1063"/>
  <c r="U27" i="1063"/>
  <c r="U73" i="1063" s="1"/>
  <c r="T27" i="1063"/>
  <c r="T73" i="1063" s="1"/>
  <c r="AE26" i="1063"/>
  <c r="AE72" i="1063" s="1"/>
  <c r="AE220" i="1063" s="1"/>
  <c r="AD26" i="1063"/>
  <c r="AC26" i="1063"/>
  <c r="AC72" i="1063" s="1"/>
  <c r="AB26" i="1063"/>
  <c r="AB72" i="1063" s="1"/>
  <c r="AA26" i="1063"/>
  <c r="AA72" i="1063" s="1"/>
  <c r="AA220" i="1063" s="1"/>
  <c r="Z26" i="1063"/>
  <c r="Z72" i="1063" s="1"/>
  <c r="Y26" i="1063"/>
  <c r="Y72" i="1063" s="1"/>
  <c r="X26" i="1063"/>
  <c r="X72" i="1063" s="1"/>
  <c r="W26" i="1063"/>
  <c r="W72" i="1063" s="1"/>
  <c r="V26" i="1063"/>
  <c r="V72" i="1063" s="1"/>
  <c r="U26" i="1063"/>
  <c r="U72" i="1063" s="1"/>
  <c r="T26" i="1063"/>
  <c r="T72" i="1063" s="1"/>
  <c r="T220" i="1063" s="1"/>
  <c r="AF25" i="1063"/>
  <c r="AE25" i="1063"/>
  <c r="AD25" i="1063"/>
  <c r="AC25" i="1063"/>
  <c r="AB25" i="1063"/>
  <c r="AA25" i="1063"/>
  <c r="Z25" i="1063"/>
  <c r="Y25" i="1063"/>
  <c r="X25" i="1063"/>
  <c r="W25" i="1063"/>
  <c r="V25" i="1063"/>
  <c r="U25" i="1063"/>
  <c r="T25" i="1063"/>
  <c r="AE24" i="1063"/>
  <c r="AD24" i="1063"/>
  <c r="AC24" i="1063"/>
  <c r="Y24" i="1063"/>
  <c r="X24" i="1063"/>
  <c r="W24" i="1063"/>
  <c r="V24" i="1063"/>
  <c r="U24" i="1063"/>
  <c r="T24" i="1063"/>
  <c r="M24" i="1063"/>
  <c r="L24" i="1063"/>
  <c r="T23" i="1063"/>
  <c r="T182" i="1063" s="1"/>
  <c r="I23" i="1063"/>
  <c r="H23" i="1063"/>
  <c r="T22" i="1063"/>
  <c r="H22" i="1063"/>
  <c r="U22" i="1063" s="1"/>
  <c r="T21" i="1063"/>
  <c r="I21" i="1063"/>
  <c r="H21" i="1063"/>
  <c r="T20" i="1063"/>
  <c r="H20" i="1063"/>
  <c r="T19" i="1063"/>
  <c r="T62" i="1063" s="1"/>
  <c r="T210" i="1063" s="1"/>
  <c r="H19" i="1063"/>
  <c r="T18" i="1063"/>
  <c r="H18" i="1063"/>
  <c r="T17" i="1063"/>
  <c r="H17" i="1063"/>
  <c r="T16" i="1063"/>
  <c r="T173" i="1063" s="1"/>
  <c r="I16" i="1063"/>
  <c r="H16" i="1063"/>
  <c r="T15" i="1063"/>
  <c r="H15" i="1063"/>
  <c r="T14" i="1063"/>
  <c r="T171" i="1063" s="1"/>
  <c r="H14" i="1063"/>
  <c r="T13" i="1063"/>
  <c r="T56" i="1063" s="1"/>
  <c r="I13" i="1063"/>
  <c r="H13" i="1063"/>
  <c r="U13" i="1063" s="1"/>
  <c r="T12" i="1063"/>
  <c r="T133" i="1063" s="1"/>
  <c r="H12" i="1063"/>
  <c r="U12" i="1063" s="1"/>
  <c r="T11" i="1063"/>
  <c r="T10" i="1063" s="1"/>
  <c r="T63" i="1063" s="1"/>
  <c r="H11" i="1063"/>
  <c r="H10" i="1063"/>
  <c r="T9" i="1063"/>
  <c r="H9" i="1063"/>
  <c r="T8" i="1063"/>
  <c r="I8" i="1063"/>
  <c r="H8" i="1063"/>
  <c r="AE7" i="1063"/>
  <c r="AD7" i="1063"/>
  <c r="Y7" i="1063"/>
  <c r="X7" i="1063"/>
  <c r="W7" i="1063"/>
  <c r="V7" i="1063"/>
  <c r="T7" i="1063"/>
  <c r="R7" i="1063"/>
  <c r="Q7" i="1063"/>
  <c r="P7" i="1063"/>
  <c r="AC7" i="1063" s="1"/>
  <c r="O7" i="1063"/>
  <c r="AB7" i="1063" s="1"/>
  <c r="N7" i="1063"/>
  <c r="AA7" i="1063" s="1"/>
  <c r="M7" i="1063"/>
  <c r="Z7" i="1063" s="1"/>
  <c r="L7" i="1063"/>
  <c r="K7" i="1063"/>
  <c r="J7" i="1063"/>
  <c r="I7" i="1063"/>
  <c r="H7" i="1063"/>
  <c r="U7" i="1063" s="1"/>
  <c r="AF6" i="1063"/>
  <c r="AB6" i="1063"/>
  <c r="X6" i="1063"/>
  <c r="X77" i="1063" s="1"/>
  <c r="W6" i="1063"/>
  <c r="T6" i="1063"/>
  <c r="Q6" i="1063"/>
  <c r="P6" i="1063"/>
  <c r="K6" i="1063"/>
  <c r="H6" i="1063"/>
  <c r="AE5" i="1063"/>
  <c r="AD5" i="1063"/>
  <c r="AC5" i="1063"/>
  <c r="X5" i="1063"/>
  <c r="W5" i="1063"/>
  <c r="V5" i="1063"/>
  <c r="U5" i="1063"/>
  <c r="T5" i="1063"/>
  <c r="R5" i="1063"/>
  <c r="R105" i="1063" s="1"/>
  <c r="R218" i="1063" s="1"/>
  <c r="Q5" i="1063"/>
  <c r="P5" i="1063"/>
  <c r="P105" i="1063" s="1"/>
  <c r="P218" i="1063" s="1"/>
  <c r="O5" i="1063"/>
  <c r="N5" i="1063"/>
  <c r="M5" i="1063"/>
  <c r="L5" i="1063"/>
  <c r="K5" i="1063"/>
  <c r="J5" i="1063"/>
  <c r="I5" i="1063"/>
  <c r="H5" i="1063"/>
  <c r="U4" i="1063"/>
  <c r="T4" i="1063"/>
  <c r="T65" i="1063" s="1"/>
  <c r="H4" i="1063"/>
  <c r="AE2" i="1063"/>
  <c r="AE52" i="1063" s="1"/>
  <c r="AD2" i="1063"/>
  <c r="AD52" i="1063" s="1"/>
  <c r="AC2" i="1063"/>
  <c r="AB2" i="1063"/>
  <c r="AA2" i="1063"/>
  <c r="AA52" i="1063" s="1"/>
  <c r="Z2" i="1063"/>
  <c r="Z52" i="1063" s="1"/>
  <c r="Y2" i="1063"/>
  <c r="Y52" i="1063" s="1"/>
  <c r="X2" i="1063"/>
  <c r="X52" i="1063" s="1"/>
  <c r="W2" i="1063"/>
  <c r="W52" i="1063" s="1"/>
  <c r="V2" i="1063"/>
  <c r="V52" i="1063" s="1"/>
  <c r="U2" i="1063"/>
  <c r="U52" i="1063" s="1"/>
  <c r="T2" i="1063"/>
  <c r="R2" i="1063"/>
  <c r="Q2" i="1063"/>
  <c r="Q52" i="1063" s="1"/>
  <c r="P2" i="1063"/>
  <c r="P52" i="1063" s="1"/>
  <c r="O2" i="1063"/>
  <c r="O52" i="1063" s="1"/>
  <c r="N2" i="1063"/>
  <c r="N52" i="1063" s="1"/>
  <c r="M2" i="1063"/>
  <c r="M52" i="1063" s="1"/>
  <c r="L2" i="1063"/>
  <c r="K2" i="1063"/>
  <c r="K52" i="1063" s="1"/>
  <c r="J2" i="1063"/>
  <c r="I2" i="1063"/>
  <c r="H2" i="1063"/>
  <c r="H52" i="1063" s="1"/>
  <c r="G2" i="1063"/>
  <c r="G52" i="1063" s="1"/>
  <c r="B2" i="1063"/>
  <c r="B3" i="1063" s="1"/>
  <c r="B4" i="1063" s="1"/>
  <c r="B5" i="1063" s="1"/>
  <c r="B6" i="1063" s="1"/>
  <c r="B7" i="1063" s="1"/>
  <c r="B10" i="1063" s="1"/>
  <c r="B12" i="1063" s="1"/>
  <c r="B13" i="1063" s="1"/>
  <c r="B14" i="1063" s="1"/>
  <c r="B15" i="1063" s="1"/>
  <c r="B16" i="1063" s="1"/>
  <c r="B17" i="1063" s="1"/>
  <c r="B18" i="1063" s="1"/>
  <c r="B19" i="1063" s="1"/>
  <c r="B20" i="1063" s="1"/>
  <c r="B21" i="1063" s="1"/>
  <c r="B22" i="1063" s="1"/>
  <c r="B23" i="1063" s="1"/>
  <c r="B24" i="1063" s="1"/>
  <c r="B25" i="1063" s="1"/>
  <c r="B26" i="1063" s="1"/>
  <c r="U1" i="1063"/>
  <c r="V1" i="1063" s="1"/>
  <c r="W1" i="1063" s="1"/>
  <c r="X1" i="1063" s="1"/>
  <c r="Y1" i="1063" s="1"/>
  <c r="Z1" i="1063" s="1"/>
  <c r="AA1" i="1063" s="1"/>
  <c r="AB1" i="1063" s="1"/>
  <c r="AC1" i="1063" s="1"/>
  <c r="AD1" i="1063" s="1"/>
  <c r="AE1" i="1063" s="1"/>
  <c r="H1" i="1063"/>
  <c r="I1" i="1063" s="1"/>
  <c r="J1" i="1063" s="1"/>
  <c r="K1" i="1063" s="1"/>
  <c r="L1" i="1063" s="1"/>
  <c r="M1" i="1063" s="1"/>
  <c r="N1" i="1063" s="1"/>
  <c r="O1" i="1063" s="1"/>
  <c r="P1" i="1063" s="1"/>
  <c r="Q1" i="1063" s="1"/>
  <c r="R1" i="1063" s="1"/>
  <c r="AE238" i="1062"/>
  <c r="AD238" i="1062"/>
  <c r="AC238" i="1062"/>
  <c r="AB238" i="1062"/>
  <c r="AA238" i="1062"/>
  <c r="Z238" i="1062"/>
  <c r="Y238" i="1062"/>
  <c r="X238" i="1062"/>
  <c r="W238" i="1062"/>
  <c r="V238" i="1062"/>
  <c r="U238" i="1062"/>
  <c r="T238" i="1062"/>
  <c r="S238" i="1062"/>
  <c r="R238" i="1062"/>
  <c r="Q238" i="1062"/>
  <c r="P238" i="1062"/>
  <c r="O238" i="1062"/>
  <c r="N238" i="1062"/>
  <c r="M238" i="1062"/>
  <c r="L238" i="1062"/>
  <c r="K238" i="1062"/>
  <c r="J238" i="1062"/>
  <c r="I238" i="1062"/>
  <c r="H238" i="1062"/>
  <c r="G238" i="1062"/>
  <c r="S236" i="1062"/>
  <c r="G236" i="1062"/>
  <c r="AE235" i="1062"/>
  <c r="AD235" i="1062"/>
  <c r="AC235" i="1062"/>
  <c r="AB235" i="1062"/>
  <c r="AA235" i="1062"/>
  <c r="Z235" i="1062"/>
  <c r="Y235" i="1062"/>
  <c r="X235" i="1062"/>
  <c r="W235" i="1062"/>
  <c r="V235" i="1062"/>
  <c r="U235" i="1062"/>
  <c r="T235" i="1062"/>
  <c r="S235" i="1062"/>
  <c r="R235" i="1062"/>
  <c r="Q235" i="1062"/>
  <c r="P235" i="1062"/>
  <c r="O235" i="1062"/>
  <c r="N235" i="1062"/>
  <c r="M235" i="1062"/>
  <c r="L235" i="1062"/>
  <c r="K235" i="1062"/>
  <c r="J235" i="1062"/>
  <c r="I235" i="1062"/>
  <c r="H235" i="1062"/>
  <c r="G235" i="1062"/>
  <c r="AE234" i="1062"/>
  <c r="AD234" i="1062"/>
  <c r="AC234" i="1062"/>
  <c r="AB234" i="1062"/>
  <c r="AA234" i="1062"/>
  <c r="Z234" i="1062"/>
  <c r="Y234" i="1062"/>
  <c r="X234" i="1062"/>
  <c r="W234" i="1062"/>
  <c r="V234" i="1062"/>
  <c r="U234" i="1062"/>
  <c r="T234" i="1062"/>
  <c r="S234" i="1062"/>
  <c r="R234" i="1062"/>
  <c r="Q234" i="1062"/>
  <c r="P234" i="1062"/>
  <c r="O234" i="1062"/>
  <c r="N234" i="1062"/>
  <c r="M234" i="1062"/>
  <c r="L234" i="1062"/>
  <c r="K234" i="1062"/>
  <c r="J234" i="1062"/>
  <c r="I234" i="1062"/>
  <c r="H234" i="1062"/>
  <c r="G234" i="1062"/>
  <c r="AE233" i="1062"/>
  <c r="AD233" i="1062"/>
  <c r="AC233" i="1062"/>
  <c r="AB233" i="1062"/>
  <c r="AA233" i="1062"/>
  <c r="Z233" i="1062"/>
  <c r="Y233" i="1062"/>
  <c r="X233" i="1062"/>
  <c r="W233" i="1062"/>
  <c r="V233" i="1062"/>
  <c r="U233" i="1062"/>
  <c r="T233" i="1062"/>
  <c r="S233" i="1062"/>
  <c r="R233" i="1062"/>
  <c r="Q233" i="1062"/>
  <c r="P233" i="1062"/>
  <c r="O233" i="1062"/>
  <c r="N233" i="1062"/>
  <c r="M233" i="1062"/>
  <c r="L233" i="1062"/>
  <c r="K233" i="1062"/>
  <c r="J233" i="1062"/>
  <c r="I233" i="1062"/>
  <c r="H233" i="1062"/>
  <c r="G233" i="1062"/>
  <c r="B233" i="1062"/>
  <c r="B234" i="1062" s="1"/>
  <c r="B235" i="1062" s="1"/>
  <c r="B236" i="1062" s="1"/>
  <c r="B237" i="1062" s="1"/>
  <c r="AE232" i="1062"/>
  <c r="AD232" i="1062"/>
  <c r="AC232" i="1062"/>
  <c r="AB232" i="1062"/>
  <c r="AA232" i="1062"/>
  <c r="Z232" i="1062"/>
  <c r="Y232" i="1062"/>
  <c r="X232" i="1062"/>
  <c r="W232" i="1062"/>
  <c r="V232" i="1062"/>
  <c r="U232" i="1062"/>
  <c r="T232" i="1062"/>
  <c r="S232" i="1062"/>
  <c r="R232" i="1062"/>
  <c r="Q232" i="1062"/>
  <c r="P232" i="1062"/>
  <c r="O232" i="1062"/>
  <c r="N232" i="1062"/>
  <c r="M232" i="1062"/>
  <c r="L232" i="1062"/>
  <c r="K232" i="1062"/>
  <c r="J232" i="1062"/>
  <c r="I232" i="1062"/>
  <c r="H232" i="1062"/>
  <c r="G232" i="1062"/>
  <c r="B232" i="1062"/>
  <c r="AE231" i="1062"/>
  <c r="AD231" i="1062"/>
  <c r="AC231" i="1062"/>
  <c r="AB231" i="1062"/>
  <c r="AA231" i="1062"/>
  <c r="Z231" i="1062"/>
  <c r="Y231" i="1062"/>
  <c r="X231" i="1062"/>
  <c r="W231" i="1062"/>
  <c r="V231" i="1062"/>
  <c r="U231" i="1062"/>
  <c r="T231" i="1062"/>
  <c r="S231" i="1062"/>
  <c r="R231" i="1062"/>
  <c r="Q231" i="1062"/>
  <c r="P231" i="1062"/>
  <c r="O231" i="1062"/>
  <c r="N231" i="1062"/>
  <c r="M231" i="1062"/>
  <c r="L231" i="1062"/>
  <c r="K231" i="1062"/>
  <c r="J231" i="1062"/>
  <c r="I231" i="1062"/>
  <c r="H231" i="1062"/>
  <c r="G231" i="1062"/>
  <c r="F230" i="1062"/>
  <c r="F229" i="1062"/>
  <c r="S228" i="1062"/>
  <c r="L228" i="1062"/>
  <c r="G228" i="1062"/>
  <c r="AE227" i="1062"/>
  <c r="AD227" i="1062"/>
  <c r="AC227" i="1062"/>
  <c r="AB227" i="1062"/>
  <c r="AA227" i="1062"/>
  <c r="Z227" i="1062"/>
  <c r="Y227" i="1062"/>
  <c r="X227" i="1062"/>
  <c r="W227" i="1062"/>
  <c r="V227" i="1062"/>
  <c r="U227" i="1062"/>
  <c r="T227" i="1062"/>
  <c r="S227" i="1062"/>
  <c r="R227" i="1062"/>
  <c r="Q227" i="1062"/>
  <c r="P227" i="1062"/>
  <c r="O227" i="1062"/>
  <c r="N227" i="1062"/>
  <c r="M227" i="1062"/>
  <c r="L227" i="1062"/>
  <c r="K227" i="1062"/>
  <c r="J227" i="1062"/>
  <c r="I227" i="1062"/>
  <c r="H227" i="1062"/>
  <c r="G227" i="1062"/>
  <c r="AE226" i="1062"/>
  <c r="AD226" i="1062"/>
  <c r="AC226" i="1062"/>
  <c r="AB226" i="1062"/>
  <c r="AA226" i="1062"/>
  <c r="Z226" i="1062"/>
  <c r="Y226" i="1062"/>
  <c r="X226" i="1062"/>
  <c r="W226" i="1062"/>
  <c r="V226" i="1062"/>
  <c r="U226" i="1062"/>
  <c r="T226" i="1062"/>
  <c r="S226" i="1062"/>
  <c r="R226" i="1062"/>
  <c r="Q226" i="1062"/>
  <c r="P226" i="1062"/>
  <c r="O226" i="1062"/>
  <c r="N226" i="1062"/>
  <c r="M226" i="1062"/>
  <c r="L226" i="1062"/>
  <c r="K226" i="1062"/>
  <c r="J226" i="1062"/>
  <c r="I226" i="1062"/>
  <c r="H226" i="1062"/>
  <c r="G226" i="1062"/>
  <c r="S225" i="1062"/>
  <c r="AE224" i="1062"/>
  <c r="AD224" i="1062"/>
  <c r="AC224" i="1062"/>
  <c r="AB224" i="1062"/>
  <c r="AA224" i="1062"/>
  <c r="Z224" i="1062"/>
  <c r="Y224" i="1062"/>
  <c r="X224" i="1062"/>
  <c r="W224" i="1062"/>
  <c r="V224" i="1062"/>
  <c r="U224" i="1062"/>
  <c r="T224" i="1062"/>
  <c r="S224" i="1062"/>
  <c r="R224" i="1062"/>
  <c r="Q224" i="1062"/>
  <c r="P224" i="1062"/>
  <c r="O224" i="1062"/>
  <c r="N224" i="1062"/>
  <c r="M224" i="1062"/>
  <c r="L224" i="1062"/>
  <c r="K224" i="1062"/>
  <c r="J224" i="1062"/>
  <c r="I224" i="1062"/>
  <c r="H224" i="1062"/>
  <c r="G224" i="1062"/>
  <c r="AE223" i="1062"/>
  <c r="AD223" i="1062"/>
  <c r="AC223" i="1062"/>
  <c r="AB223" i="1062"/>
  <c r="AA223" i="1062"/>
  <c r="Z223" i="1062"/>
  <c r="Y223" i="1062"/>
  <c r="X223" i="1062"/>
  <c r="W223" i="1062"/>
  <c r="V223" i="1062"/>
  <c r="U223" i="1062"/>
  <c r="T223" i="1062"/>
  <c r="S223" i="1062"/>
  <c r="R223" i="1062"/>
  <c r="Q223" i="1062"/>
  <c r="P223" i="1062"/>
  <c r="O223" i="1062"/>
  <c r="N223" i="1062"/>
  <c r="M223" i="1062"/>
  <c r="L223" i="1062"/>
  <c r="K223" i="1062"/>
  <c r="J223" i="1062"/>
  <c r="I223" i="1062"/>
  <c r="H223" i="1062"/>
  <c r="G223" i="1062"/>
  <c r="D222" i="1062"/>
  <c r="S221" i="1062"/>
  <c r="S220" i="1062"/>
  <c r="R220" i="1062"/>
  <c r="S219" i="1062"/>
  <c r="D219" i="1062"/>
  <c r="S218" i="1062"/>
  <c r="D218" i="1062"/>
  <c r="S217" i="1062"/>
  <c r="G217" i="1062"/>
  <c r="S216" i="1062" a="1"/>
  <c r="S216" i="1062" s="1"/>
  <c r="G216" i="1062" a="1"/>
  <c r="G216" i="1062" s="1"/>
  <c r="S215" i="1062"/>
  <c r="S214" i="1062"/>
  <c r="S213" i="1062"/>
  <c r="S212" i="1062"/>
  <c r="S211" i="1062"/>
  <c r="S210" i="1062"/>
  <c r="S209" i="1062"/>
  <c r="S208" i="1062"/>
  <c r="S207" i="1062"/>
  <c r="S206" i="1062"/>
  <c r="S205" i="1062"/>
  <c r="T204" i="1062"/>
  <c r="S204" i="1062"/>
  <c r="S203" i="1062"/>
  <c r="S202" i="1062"/>
  <c r="AC199" i="1062"/>
  <c r="S199" i="1062"/>
  <c r="K199" i="1062"/>
  <c r="H199" i="1062"/>
  <c r="S198" i="1062"/>
  <c r="S197" i="1062"/>
  <c r="S196" i="1062"/>
  <c r="AC195" i="1062"/>
  <c r="S195" i="1062"/>
  <c r="O195" i="1062"/>
  <c r="J195" i="1062"/>
  <c r="G195" i="1062"/>
  <c r="S194" i="1062"/>
  <c r="O194" i="1062"/>
  <c r="J194" i="1062"/>
  <c r="G194" i="1062"/>
  <c r="S193" i="1062"/>
  <c r="O193" i="1062"/>
  <c r="J193" i="1062"/>
  <c r="G193" i="1062"/>
  <c r="S192" i="1062"/>
  <c r="O192" i="1062"/>
  <c r="J192" i="1062"/>
  <c r="G192" i="1062"/>
  <c r="AA191" i="1062"/>
  <c r="Z191" i="1062"/>
  <c r="S191" i="1062"/>
  <c r="R191" i="1062"/>
  <c r="Q191" i="1062"/>
  <c r="P191" i="1062"/>
  <c r="O191" i="1062"/>
  <c r="N191" i="1062"/>
  <c r="M191" i="1062"/>
  <c r="L191" i="1062"/>
  <c r="K191" i="1062"/>
  <c r="J191" i="1062"/>
  <c r="I191" i="1062"/>
  <c r="H191" i="1062"/>
  <c r="G191" i="1062"/>
  <c r="AE190" i="1062"/>
  <c r="AD190" i="1062"/>
  <c r="AC190" i="1062"/>
  <c r="AB190" i="1062"/>
  <c r="AA190" i="1062"/>
  <c r="Z190" i="1062"/>
  <c r="Y190" i="1062"/>
  <c r="X190" i="1062"/>
  <c r="W190" i="1062"/>
  <c r="V190" i="1062"/>
  <c r="U190" i="1062"/>
  <c r="T190" i="1062"/>
  <c r="S190" i="1062"/>
  <c r="R190" i="1062"/>
  <c r="Q190" i="1062"/>
  <c r="P190" i="1062"/>
  <c r="O190" i="1062"/>
  <c r="N190" i="1062"/>
  <c r="M190" i="1062"/>
  <c r="L190" i="1062"/>
  <c r="K190" i="1062"/>
  <c r="J190" i="1062"/>
  <c r="I190" i="1062"/>
  <c r="H190" i="1062"/>
  <c r="G190" i="1062"/>
  <c r="AC189" i="1062"/>
  <c r="S189" i="1062"/>
  <c r="R189" i="1062"/>
  <c r="Q189" i="1062"/>
  <c r="P189" i="1062"/>
  <c r="O189" i="1062"/>
  <c r="N189" i="1062"/>
  <c r="M189" i="1062"/>
  <c r="L189" i="1062"/>
  <c r="K189" i="1062"/>
  <c r="J189" i="1062"/>
  <c r="I189" i="1062"/>
  <c r="H189" i="1062"/>
  <c r="G189" i="1062"/>
  <c r="Z188" i="1062"/>
  <c r="S188" i="1062"/>
  <c r="R188" i="1062"/>
  <c r="Q188" i="1062"/>
  <c r="P188" i="1062"/>
  <c r="O188" i="1062"/>
  <c r="N188" i="1062"/>
  <c r="M188" i="1062"/>
  <c r="L188" i="1062"/>
  <c r="K188" i="1062"/>
  <c r="J188" i="1062"/>
  <c r="I188" i="1062"/>
  <c r="H188" i="1062"/>
  <c r="G188" i="1062"/>
  <c r="AE183" i="1062"/>
  <c r="AD183" i="1062"/>
  <c r="AC183" i="1062"/>
  <c r="AB183" i="1062"/>
  <c r="AA183" i="1062"/>
  <c r="Z183" i="1062"/>
  <c r="Y183" i="1062"/>
  <c r="X183" i="1062"/>
  <c r="W183" i="1062"/>
  <c r="V183" i="1062"/>
  <c r="U183" i="1062"/>
  <c r="T183" i="1062"/>
  <c r="S183" i="1062"/>
  <c r="R183" i="1062"/>
  <c r="Q183" i="1062"/>
  <c r="P183" i="1062"/>
  <c r="O183" i="1062"/>
  <c r="N183" i="1062"/>
  <c r="M183" i="1062"/>
  <c r="L183" i="1062"/>
  <c r="K183" i="1062"/>
  <c r="J183" i="1062"/>
  <c r="I183" i="1062"/>
  <c r="H183" i="1062"/>
  <c r="G183" i="1062"/>
  <c r="S182" i="1062"/>
  <c r="G182" i="1062"/>
  <c r="S181" i="1062"/>
  <c r="G181" i="1062"/>
  <c r="S180" i="1062"/>
  <c r="G180" i="1062"/>
  <c r="S179" i="1062"/>
  <c r="G179" i="1062"/>
  <c r="S178" i="1062"/>
  <c r="G178" i="1062"/>
  <c r="S177" i="1062"/>
  <c r="G177" i="1062"/>
  <c r="B175" i="1062"/>
  <c r="B176" i="1062" s="1"/>
  <c r="B177" i="1062" s="1"/>
  <c r="B178" i="1062" s="1"/>
  <c r="B179" i="1062" s="1"/>
  <c r="B180" i="1062" s="1"/>
  <c r="B181" i="1062" s="1"/>
  <c r="B182" i="1062" s="1"/>
  <c r="B183" i="1062" s="1"/>
  <c r="B184" i="1062" s="1"/>
  <c r="B185" i="1062" s="1"/>
  <c r="B186" i="1062" s="1"/>
  <c r="S174" i="1062"/>
  <c r="B171" i="1062"/>
  <c r="B172" i="1062" s="1"/>
  <c r="B173" i="1062" s="1"/>
  <c r="B174" i="1062" s="1"/>
  <c r="S169" i="1062"/>
  <c r="S168" i="1062"/>
  <c r="G168" i="1062"/>
  <c r="B168" i="1062"/>
  <c r="B169" i="1062" s="1"/>
  <c r="B170" i="1062" s="1"/>
  <c r="S167" i="1062"/>
  <c r="G167" i="1062"/>
  <c r="G166" i="1062"/>
  <c r="G165" i="1062"/>
  <c r="G169" i="1062" s="1"/>
  <c r="G163" i="1062"/>
  <c r="T162" i="1062"/>
  <c r="G162" i="1062"/>
  <c r="G139" i="1062"/>
  <c r="G134" i="1062"/>
  <c r="G133" i="1062"/>
  <c r="G132" i="1062"/>
  <c r="G131" i="1062"/>
  <c r="G130" i="1062"/>
  <c r="G164" i="1062" s="1"/>
  <c r="G130" i="1062" a="1"/>
  <c r="G129" i="1062"/>
  <c r="F128" i="1062"/>
  <c r="F127" i="1062"/>
  <c r="G125" i="1062"/>
  <c r="G124" i="1062"/>
  <c r="G135" i="1062" s="1"/>
  <c r="G123" i="1062"/>
  <c r="G121" i="1062"/>
  <c r="B112" i="1062"/>
  <c r="B113" i="1062" s="1"/>
  <c r="B114" i="1062" s="1"/>
  <c r="G111" i="1062"/>
  <c r="B111" i="1062"/>
  <c r="D223" i="1062" s="1"/>
  <c r="G108" i="1062"/>
  <c r="B108" i="1062"/>
  <c r="Q107" i="1062"/>
  <c r="B107" i="1062"/>
  <c r="D220" i="1062" s="1"/>
  <c r="S106" i="1062"/>
  <c r="Q105" i="1062"/>
  <c r="Q218" i="1062" s="1"/>
  <c r="I105" i="1062"/>
  <c r="I218" i="1062" s="1"/>
  <c r="H105" i="1062"/>
  <c r="H218" i="1062" s="1"/>
  <c r="G105" i="1062"/>
  <c r="G218" i="1062" s="1"/>
  <c r="G104" i="1062"/>
  <c r="D98" i="1062"/>
  <c r="D97" i="1062"/>
  <c r="D96" i="1062"/>
  <c r="D95" i="1062"/>
  <c r="D94" i="1062"/>
  <c r="D93" i="1062"/>
  <c r="H92" i="1062"/>
  <c r="G91" i="1062"/>
  <c r="G90" i="1062"/>
  <c r="G88" i="1062"/>
  <c r="G88" i="1062" a="1"/>
  <c r="AF87" i="1062"/>
  <c r="AE87" i="1062"/>
  <c r="AE199" i="1062" s="1"/>
  <c r="R87" i="1062"/>
  <c r="R199" i="1062" s="1"/>
  <c r="Q87" i="1062"/>
  <c r="Q199" i="1062" s="1"/>
  <c r="P87" i="1062"/>
  <c r="P199" i="1062" s="1"/>
  <c r="O87" i="1062"/>
  <c r="O199" i="1062" s="1"/>
  <c r="N87" i="1062"/>
  <c r="N199" i="1062" s="1"/>
  <c r="M87" i="1062"/>
  <c r="M199" i="1062" s="1"/>
  <c r="L87" i="1062"/>
  <c r="L199" i="1062" s="1"/>
  <c r="K87" i="1062"/>
  <c r="J87" i="1062"/>
  <c r="J199" i="1062" s="1"/>
  <c r="I87" i="1062"/>
  <c r="I199" i="1062" s="1"/>
  <c r="H87" i="1062"/>
  <c r="G87" i="1062"/>
  <c r="G199" i="1062" s="1"/>
  <c r="AE86" i="1062"/>
  <c r="AD86" i="1062"/>
  <c r="X86" i="1062"/>
  <c r="W86" i="1062"/>
  <c r="V86" i="1062"/>
  <c r="U86" i="1062"/>
  <c r="R86" i="1062"/>
  <c r="Q86" i="1062"/>
  <c r="O86" i="1062"/>
  <c r="N86" i="1062"/>
  <c r="M86" i="1062"/>
  <c r="L86" i="1062"/>
  <c r="K86" i="1062"/>
  <c r="J86" i="1062"/>
  <c r="I86" i="1062"/>
  <c r="H86" i="1062"/>
  <c r="AE85" i="1062"/>
  <c r="AD85" i="1062"/>
  <c r="AB85" i="1062"/>
  <c r="T85" i="1062"/>
  <c r="R85" i="1062"/>
  <c r="Q85" i="1062"/>
  <c r="P85" i="1062"/>
  <c r="O85" i="1062"/>
  <c r="N85" i="1062"/>
  <c r="M85" i="1062"/>
  <c r="L85" i="1062"/>
  <c r="K85" i="1062"/>
  <c r="J85" i="1062"/>
  <c r="I85" i="1062"/>
  <c r="H85" i="1062"/>
  <c r="G85" i="1062"/>
  <c r="AE84" i="1062"/>
  <c r="AB84" i="1062"/>
  <c r="W84" i="1062"/>
  <c r="U84" i="1062"/>
  <c r="R84" i="1062"/>
  <c r="Q84" i="1062"/>
  <c r="P84" i="1062"/>
  <c r="O84" i="1062"/>
  <c r="N84" i="1062"/>
  <c r="M84" i="1062"/>
  <c r="L84" i="1062"/>
  <c r="K84" i="1062"/>
  <c r="J84" i="1062"/>
  <c r="I84" i="1062"/>
  <c r="H84" i="1062"/>
  <c r="G84" i="1062"/>
  <c r="AD83" i="1062"/>
  <c r="AC83" i="1062"/>
  <c r="AB83" i="1062"/>
  <c r="V83" i="1062"/>
  <c r="U83" i="1062"/>
  <c r="T83" i="1062"/>
  <c r="R83" i="1062"/>
  <c r="Q83" i="1062"/>
  <c r="P83" i="1062"/>
  <c r="O83" i="1062"/>
  <c r="N83" i="1062"/>
  <c r="M83" i="1062"/>
  <c r="L83" i="1062"/>
  <c r="K83" i="1062"/>
  <c r="J83" i="1062"/>
  <c r="I83" i="1062"/>
  <c r="H83" i="1062"/>
  <c r="G83" i="1062"/>
  <c r="W82" i="1062"/>
  <c r="V82" i="1062"/>
  <c r="R82" i="1062"/>
  <c r="Q82" i="1062"/>
  <c r="P82" i="1062"/>
  <c r="O82" i="1062"/>
  <c r="N82" i="1062"/>
  <c r="M82" i="1062"/>
  <c r="L82" i="1062"/>
  <c r="K82" i="1062"/>
  <c r="J82" i="1062"/>
  <c r="I82" i="1062"/>
  <c r="H82" i="1062"/>
  <c r="G82" i="1062"/>
  <c r="AE81" i="1062"/>
  <c r="AD81" i="1062"/>
  <c r="X81" i="1062"/>
  <c r="W81" i="1062"/>
  <c r="V81" i="1062"/>
  <c r="U81" i="1062"/>
  <c r="R81" i="1062"/>
  <c r="Q81" i="1062"/>
  <c r="P81" i="1062"/>
  <c r="O81" i="1062"/>
  <c r="N81" i="1062"/>
  <c r="M81" i="1062"/>
  <c r="L81" i="1062"/>
  <c r="K81" i="1062"/>
  <c r="J81" i="1062"/>
  <c r="AF81" i="1062" s="1"/>
  <c r="I81" i="1062"/>
  <c r="H81" i="1062"/>
  <c r="G81" i="1062"/>
  <c r="AC80" i="1062"/>
  <c r="W80" i="1062"/>
  <c r="R80" i="1062"/>
  <c r="Q80" i="1062"/>
  <c r="P80" i="1062"/>
  <c r="O80" i="1062"/>
  <c r="N80" i="1062"/>
  <c r="M80" i="1062"/>
  <c r="L80" i="1062"/>
  <c r="K80" i="1062"/>
  <c r="J80" i="1062"/>
  <c r="AF80" i="1062" s="1"/>
  <c r="I80" i="1062"/>
  <c r="H80" i="1062"/>
  <c r="G80" i="1062"/>
  <c r="AC79" i="1062"/>
  <c r="AB79" i="1062"/>
  <c r="AA79" i="1062"/>
  <c r="U79" i="1062"/>
  <c r="T79" i="1062"/>
  <c r="R79" i="1062"/>
  <c r="Q79" i="1062"/>
  <c r="P79" i="1062"/>
  <c r="O79" i="1062"/>
  <c r="N79" i="1062"/>
  <c r="M79" i="1062"/>
  <c r="L79" i="1062"/>
  <c r="K79" i="1062"/>
  <c r="J79" i="1062"/>
  <c r="I79" i="1062"/>
  <c r="H79" i="1062"/>
  <c r="G79" i="1062"/>
  <c r="AD78" i="1062"/>
  <c r="AB78" i="1062"/>
  <c r="AA78" i="1062"/>
  <c r="Z78" i="1062"/>
  <c r="R78" i="1062"/>
  <c r="Q78" i="1062"/>
  <c r="P78" i="1062"/>
  <c r="O78" i="1062"/>
  <c r="N78" i="1062"/>
  <c r="M78" i="1062"/>
  <c r="L78" i="1062"/>
  <c r="K78" i="1062"/>
  <c r="J78" i="1062"/>
  <c r="I78" i="1062"/>
  <c r="H78" i="1062"/>
  <c r="G78" i="1062"/>
  <c r="T77" i="1062"/>
  <c r="O77" i="1062"/>
  <c r="J77" i="1062"/>
  <c r="G77" i="1062"/>
  <c r="AD76" i="1062"/>
  <c r="Y76" i="1062"/>
  <c r="R76" i="1062"/>
  <c r="Q76" i="1062"/>
  <c r="P76" i="1062"/>
  <c r="O76" i="1062"/>
  <c r="N76" i="1062"/>
  <c r="M76" i="1062"/>
  <c r="L76" i="1062"/>
  <c r="K76" i="1062"/>
  <c r="J76" i="1062"/>
  <c r="I76" i="1062"/>
  <c r="H76" i="1062"/>
  <c r="G76" i="1062"/>
  <c r="AC75" i="1062"/>
  <c r="AB75" i="1062"/>
  <c r="AA75" i="1062"/>
  <c r="T75" i="1062"/>
  <c r="R75" i="1062"/>
  <c r="Q75" i="1062"/>
  <c r="P75" i="1062"/>
  <c r="O75" i="1062"/>
  <c r="N75" i="1062"/>
  <c r="M75" i="1062"/>
  <c r="L75" i="1062"/>
  <c r="K75" i="1062"/>
  <c r="J75" i="1062"/>
  <c r="I75" i="1062"/>
  <c r="H75" i="1062"/>
  <c r="G75" i="1062"/>
  <c r="AA74" i="1062"/>
  <c r="Z74" i="1062"/>
  <c r="Y74" i="1062"/>
  <c r="R74" i="1062"/>
  <c r="Q74" i="1062"/>
  <c r="P74" i="1062"/>
  <c r="O74" i="1062"/>
  <c r="N74" i="1062"/>
  <c r="M74" i="1062"/>
  <c r="L74" i="1062"/>
  <c r="K74" i="1062"/>
  <c r="J74" i="1062"/>
  <c r="I74" i="1062"/>
  <c r="H74" i="1062"/>
  <c r="G74" i="1062"/>
  <c r="AD73" i="1062"/>
  <c r="AB73" i="1062"/>
  <c r="AA73" i="1062"/>
  <c r="V73" i="1062"/>
  <c r="T73" i="1062"/>
  <c r="R73" i="1062"/>
  <c r="Q73" i="1062"/>
  <c r="P73" i="1062"/>
  <c r="O73" i="1062"/>
  <c r="N73" i="1062"/>
  <c r="M73" i="1062"/>
  <c r="L73" i="1062"/>
  <c r="K73" i="1062"/>
  <c r="J73" i="1062"/>
  <c r="I73" i="1062"/>
  <c r="H73" i="1062"/>
  <c r="G73" i="1062"/>
  <c r="AE72" i="1062"/>
  <c r="AC72" i="1062"/>
  <c r="X72" i="1062"/>
  <c r="W72" i="1062"/>
  <c r="U72" i="1062"/>
  <c r="U220" i="1062" s="1"/>
  <c r="R72" i="1062"/>
  <c r="Q72" i="1062"/>
  <c r="Q220" i="1062" s="1"/>
  <c r="P72" i="1062"/>
  <c r="O72" i="1062"/>
  <c r="N72" i="1062"/>
  <c r="M72" i="1062"/>
  <c r="L72" i="1062"/>
  <c r="K72" i="1062"/>
  <c r="K220" i="1062" s="1"/>
  <c r="J72" i="1062"/>
  <c r="I72" i="1062"/>
  <c r="I220" i="1062" s="1"/>
  <c r="H72" i="1062"/>
  <c r="G72" i="1062"/>
  <c r="G69" i="1062"/>
  <c r="AG68" i="1062"/>
  <c r="E68" i="1062"/>
  <c r="G68" i="1062" s="1"/>
  <c r="D68" i="1062"/>
  <c r="C68" i="1062"/>
  <c r="S184" i="1062" s="1"/>
  <c r="AG67" i="1062"/>
  <c r="G67" i="1062"/>
  <c r="AG66" i="1062"/>
  <c r="G66" i="1062"/>
  <c r="AG65" i="1062"/>
  <c r="G65" i="1062"/>
  <c r="AG64" i="1062"/>
  <c r="G64" i="1062"/>
  <c r="G212" i="1062" s="1"/>
  <c r="AG63" i="1062"/>
  <c r="G63" i="1062"/>
  <c r="G211" i="1062" s="1"/>
  <c r="AG62" i="1062"/>
  <c r="G62" i="1062"/>
  <c r="E62" i="1062"/>
  <c r="D62" i="1062"/>
  <c r="S176" i="1062" s="1"/>
  <c r="C62" i="1062"/>
  <c r="AG61" i="1062"/>
  <c r="E61" i="1062"/>
  <c r="D61" i="1062"/>
  <c r="C61" i="1062"/>
  <c r="AG60" i="1062"/>
  <c r="T60" i="1062"/>
  <c r="G60" i="1062"/>
  <c r="G208" i="1062" s="1"/>
  <c r="E60" i="1062"/>
  <c r="D60" i="1062"/>
  <c r="G174" i="1062" s="1"/>
  <c r="C60" i="1062"/>
  <c r="AG59" i="1062"/>
  <c r="E59" i="1062"/>
  <c r="D59" i="1062"/>
  <c r="C59" i="1062"/>
  <c r="AG58" i="1062"/>
  <c r="G58" i="1062"/>
  <c r="G206" i="1062" s="1"/>
  <c r="E58" i="1062"/>
  <c r="D58" i="1062"/>
  <c r="G172" i="1062" s="1"/>
  <c r="C58" i="1062"/>
  <c r="AG57" i="1062"/>
  <c r="T57" i="1062"/>
  <c r="E57" i="1062"/>
  <c r="D57" i="1062"/>
  <c r="C57" i="1062"/>
  <c r="AG56" i="1062"/>
  <c r="T56" i="1062"/>
  <c r="H56" i="1062"/>
  <c r="H204" i="1062" s="1"/>
  <c r="G56" i="1062"/>
  <c r="AG55" i="1062"/>
  <c r="G55" i="1062"/>
  <c r="G203" i="1062" s="1"/>
  <c r="AG54" i="1062"/>
  <c r="G54" i="1062"/>
  <c r="AG53" i="1062"/>
  <c r="T53" i="1062"/>
  <c r="G53" i="1062"/>
  <c r="G202" i="1062" s="1"/>
  <c r="U52" i="1062"/>
  <c r="T52" i="1062"/>
  <c r="K52" i="1062"/>
  <c r="A52" i="1062"/>
  <c r="U51" i="1062"/>
  <c r="T51" i="1062"/>
  <c r="H51" i="1062"/>
  <c r="I51" i="1062" s="1"/>
  <c r="J51" i="1062" s="1"/>
  <c r="V50" i="1062"/>
  <c r="U50" i="1062"/>
  <c r="T50" i="1062"/>
  <c r="H50" i="1062"/>
  <c r="I50" i="1062" s="1"/>
  <c r="J50" i="1062" s="1"/>
  <c r="V49" i="1062"/>
  <c r="U49" i="1062"/>
  <c r="T49" i="1062"/>
  <c r="H49" i="1062"/>
  <c r="I49" i="1062" s="1"/>
  <c r="J49" i="1062" s="1"/>
  <c r="AE48" i="1062"/>
  <c r="AD48" i="1062"/>
  <c r="AC48" i="1062"/>
  <c r="AB48" i="1062"/>
  <c r="AA48" i="1062"/>
  <c r="Z48" i="1062"/>
  <c r="Y48" i="1062"/>
  <c r="X48" i="1062"/>
  <c r="W48" i="1062"/>
  <c r="V48" i="1062"/>
  <c r="U48" i="1062"/>
  <c r="T48" i="1062"/>
  <c r="AE47" i="1062"/>
  <c r="AD47" i="1062"/>
  <c r="AC47" i="1062"/>
  <c r="AB47" i="1062"/>
  <c r="AA47" i="1062"/>
  <c r="Z47" i="1062"/>
  <c r="Y47" i="1062"/>
  <c r="X47" i="1062"/>
  <c r="W47" i="1062"/>
  <c r="V47" i="1062"/>
  <c r="U47" i="1062"/>
  <c r="T47" i="1062"/>
  <c r="AE46" i="1062"/>
  <c r="AD46" i="1062"/>
  <c r="AC46" i="1062"/>
  <c r="AB46" i="1062"/>
  <c r="AA46" i="1062"/>
  <c r="Z46" i="1062"/>
  <c r="Y46" i="1062"/>
  <c r="X46" i="1062"/>
  <c r="W46" i="1062"/>
  <c r="V46" i="1062"/>
  <c r="U46" i="1062"/>
  <c r="T46" i="1062"/>
  <c r="AE45" i="1062"/>
  <c r="AD45" i="1062"/>
  <c r="AC45" i="1062"/>
  <c r="AB45" i="1062"/>
  <c r="AA45" i="1062"/>
  <c r="Z45" i="1062"/>
  <c r="Y45" i="1062"/>
  <c r="X45" i="1062"/>
  <c r="W45" i="1062"/>
  <c r="V45" i="1062"/>
  <c r="U45" i="1062"/>
  <c r="T45" i="1062"/>
  <c r="AE44" i="1062"/>
  <c r="AD44" i="1062"/>
  <c r="AB44" i="1062"/>
  <c r="AB86" i="1062" s="1"/>
  <c r="AA44" i="1062"/>
  <c r="AA86" i="1062" s="1"/>
  <c r="Z44" i="1062"/>
  <c r="Z86" i="1062" s="1"/>
  <c r="Y44" i="1062"/>
  <c r="Y86" i="1062" s="1"/>
  <c r="X44" i="1062"/>
  <c r="W44" i="1062"/>
  <c r="V44" i="1062"/>
  <c r="U44" i="1062"/>
  <c r="AF43" i="1062"/>
  <c r="AE43" i="1062"/>
  <c r="AD43" i="1062"/>
  <c r="AC43" i="1062"/>
  <c r="AB43" i="1062"/>
  <c r="AA43" i="1062"/>
  <c r="Z43" i="1062"/>
  <c r="Y43" i="1062"/>
  <c r="X43" i="1062"/>
  <c r="W43" i="1062"/>
  <c r="V43" i="1062"/>
  <c r="U43" i="1062"/>
  <c r="T43" i="1062"/>
  <c r="AE42" i="1062"/>
  <c r="AD42" i="1062"/>
  <c r="AC42" i="1062"/>
  <c r="AB42" i="1062"/>
  <c r="AA42" i="1062"/>
  <c r="Z42" i="1062"/>
  <c r="Y42" i="1062"/>
  <c r="X42" i="1062"/>
  <c r="W42" i="1062"/>
  <c r="V42" i="1062"/>
  <c r="U42" i="1062"/>
  <c r="T42" i="1062"/>
  <c r="AE41" i="1062"/>
  <c r="AD41" i="1062"/>
  <c r="AD84" i="1062" s="1"/>
  <c r="AC41" i="1062"/>
  <c r="AC84" i="1062" s="1"/>
  <c r="AB41" i="1062"/>
  <c r="AA41" i="1062"/>
  <c r="AA84" i="1062" s="1"/>
  <c r="Z41" i="1062"/>
  <c r="Z84" i="1062" s="1"/>
  <c r="Y41" i="1062"/>
  <c r="Y84" i="1062" s="1"/>
  <c r="X41" i="1062"/>
  <c r="X84" i="1062" s="1"/>
  <c r="W41" i="1062"/>
  <c r="V41" i="1062"/>
  <c r="V84" i="1062" s="1"/>
  <c r="U41" i="1062"/>
  <c r="T41" i="1062"/>
  <c r="T84" i="1062" s="1"/>
  <c r="AE40" i="1062"/>
  <c r="AD40" i="1062"/>
  <c r="AC40" i="1062"/>
  <c r="AB40" i="1062"/>
  <c r="AA40" i="1062"/>
  <c r="Z40" i="1062"/>
  <c r="Y40" i="1062"/>
  <c r="X40" i="1062"/>
  <c r="W40" i="1062"/>
  <c r="V40" i="1062"/>
  <c r="U40" i="1062"/>
  <c r="T40" i="1062"/>
  <c r="AE39" i="1062"/>
  <c r="AD39" i="1062"/>
  <c r="AC39" i="1062"/>
  <c r="AB39" i="1062"/>
  <c r="AA39" i="1062"/>
  <c r="Z39" i="1062"/>
  <c r="Z82" i="1062" s="1"/>
  <c r="Y39" i="1062"/>
  <c r="X39" i="1062"/>
  <c r="W39" i="1062"/>
  <c r="V39" i="1062"/>
  <c r="U39" i="1062"/>
  <c r="T39" i="1062"/>
  <c r="AE38" i="1062"/>
  <c r="AD38" i="1062"/>
  <c r="AC38" i="1062"/>
  <c r="AB38" i="1062"/>
  <c r="AB81" i="1062" s="1"/>
  <c r="AA38" i="1062"/>
  <c r="AA81" i="1062" s="1"/>
  <c r="Z38" i="1062"/>
  <c r="Y38" i="1062"/>
  <c r="X38" i="1062"/>
  <c r="W38" i="1062"/>
  <c r="V38" i="1062"/>
  <c r="U38" i="1062"/>
  <c r="T38" i="1062"/>
  <c r="AE37" i="1062"/>
  <c r="AE79" i="1062" s="1"/>
  <c r="AD37" i="1062"/>
  <c r="AD79" i="1062" s="1"/>
  <c r="AC37" i="1062"/>
  <c r="AB37" i="1062"/>
  <c r="AA37" i="1062"/>
  <c r="Z37" i="1062"/>
  <c r="Z79" i="1062" s="1"/>
  <c r="Y37" i="1062"/>
  <c r="Y79" i="1062" s="1"/>
  <c r="X37" i="1062"/>
  <c r="X79" i="1062" s="1"/>
  <c r="W37" i="1062"/>
  <c r="W79" i="1062" s="1"/>
  <c r="V37" i="1062"/>
  <c r="V79" i="1062" s="1"/>
  <c r="U37" i="1062"/>
  <c r="T37" i="1062"/>
  <c r="AE36" i="1062"/>
  <c r="AD36" i="1062"/>
  <c r="AC36" i="1062"/>
  <c r="AC78" i="1062" s="1"/>
  <c r="AB36" i="1062"/>
  <c r="AA36" i="1062"/>
  <c r="Z36" i="1062"/>
  <c r="Y36" i="1062"/>
  <c r="X36" i="1062"/>
  <c r="W36" i="1062"/>
  <c r="V36" i="1062"/>
  <c r="U36" i="1062"/>
  <c r="T36" i="1062"/>
  <c r="T195" i="1062" s="1"/>
  <c r="AE35" i="1062"/>
  <c r="AD35" i="1062"/>
  <c r="AC35" i="1062"/>
  <c r="AB35" i="1062"/>
  <c r="AA35" i="1062"/>
  <c r="Z35" i="1062"/>
  <c r="Y35" i="1062"/>
  <c r="X35" i="1062"/>
  <c r="W35" i="1062"/>
  <c r="W194" i="1062" s="1"/>
  <c r="V35" i="1062"/>
  <c r="U35" i="1062"/>
  <c r="T35" i="1062"/>
  <c r="T194" i="1062" s="1"/>
  <c r="AE34" i="1062"/>
  <c r="AE191" i="1062" s="1"/>
  <c r="AD34" i="1062"/>
  <c r="AD191" i="1062" s="1"/>
  <c r="AC34" i="1062"/>
  <c r="AB34" i="1062"/>
  <c r="AB191" i="1062" s="1"/>
  <c r="AA34" i="1062"/>
  <c r="AA85" i="1062" s="1"/>
  <c r="Z34" i="1062"/>
  <c r="Y34" i="1062"/>
  <c r="X34" i="1062"/>
  <c r="W34" i="1062"/>
  <c r="V34" i="1062"/>
  <c r="V191" i="1062" s="1"/>
  <c r="U34" i="1062"/>
  <c r="T34" i="1062"/>
  <c r="T191" i="1062" s="1"/>
  <c r="AE33" i="1062"/>
  <c r="AE76" i="1062" s="1"/>
  <c r="AD33" i="1062"/>
  <c r="AC33" i="1062"/>
  <c r="AC76" i="1062" s="1"/>
  <c r="AB33" i="1062"/>
  <c r="AB76" i="1062" s="1"/>
  <c r="AA33" i="1062"/>
  <c r="AA76" i="1062" s="1"/>
  <c r="Z33" i="1062"/>
  <c r="Z76" i="1062" s="1"/>
  <c r="Y33" i="1062"/>
  <c r="X33" i="1062"/>
  <c r="X76" i="1062" s="1"/>
  <c r="W33" i="1062"/>
  <c r="W76" i="1062" s="1"/>
  <c r="V33" i="1062"/>
  <c r="V76" i="1062" s="1"/>
  <c r="U33" i="1062"/>
  <c r="U76" i="1062" s="1"/>
  <c r="T33" i="1062"/>
  <c r="T76" i="1062" s="1"/>
  <c r="AE32" i="1062"/>
  <c r="AD32" i="1062"/>
  <c r="AC32" i="1062"/>
  <c r="AB32" i="1062"/>
  <c r="AB189" i="1062" s="1"/>
  <c r="AA32" i="1062"/>
  <c r="AA189" i="1062" s="1"/>
  <c r="Z32" i="1062"/>
  <c r="Z189" i="1062" s="1"/>
  <c r="Y32" i="1062"/>
  <c r="Y189" i="1062" s="1"/>
  <c r="X32" i="1062"/>
  <c r="W32" i="1062"/>
  <c r="V32" i="1062"/>
  <c r="U32" i="1062"/>
  <c r="U189" i="1062" s="1"/>
  <c r="T32" i="1062"/>
  <c r="T189" i="1062" s="1"/>
  <c r="AE31" i="1062"/>
  <c r="AD31" i="1062"/>
  <c r="AC31" i="1062"/>
  <c r="AC188" i="1062" s="1"/>
  <c r="AB31" i="1062"/>
  <c r="AB188" i="1062" s="1"/>
  <c r="AA31" i="1062"/>
  <c r="AA188" i="1062" s="1"/>
  <c r="Z31" i="1062"/>
  <c r="Y31" i="1062"/>
  <c r="Y188" i="1062" s="1"/>
  <c r="X31" i="1062"/>
  <c r="W31" i="1062"/>
  <c r="V31" i="1062"/>
  <c r="U31" i="1062"/>
  <c r="U188" i="1062" s="1"/>
  <c r="T31" i="1062"/>
  <c r="T188" i="1062" s="1"/>
  <c r="AB30" i="1062"/>
  <c r="AA30" i="1062"/>
  <c r="Z30" i="1062"/>
  <c r="Y30" i="1062"/>
  <c r="T30" i="1062"/>
  <c r="M30" i="1062"/>
  <c r="N30" i="1062" s="1"/>
  <c r="O30" i="1062" s="1"/>
  <c r="P30" i="1062" s="1"/>
  <c r="H30" i="1062"/>
  <c r="U30" i="1062" s="1"/>
  <c r="E30" i="1062"/>
  <c r="D30" i="1062"/>
  <c r="B30" i="1062"/>
  <c r="B31" i="1062" s="1"/>
  <c r="B32" i="1062" s="1"/>
  <c r="B33" i="1062" s="1"/>
  <c r="B34" i="1062" s="1"/>
  <c r="B35" i="1062" s="1"/>
  <c r="B36" i="1062" s="1"/>
  <c r="B37" i="1062" s="1"/>
  <c r="B38" i="1062" s="1"/>
  <c r="B39" i="1062" s="1"/>
  <c r="B40" i="1062" s="1"/>
  <c r="B41" i="1062" s="1"/>
  <c r="B42" i="1062" s="1"/>
  <c r="B43" i="1062" s="1"/>
  <c r="B44" i="1062" s="1"/>
  <c r="B45" i="1062" s="1"/>
  <c r="B46" i="1062" s="1"/>
  <c r="B47" i="1062" s="1"/>
  <c r="B48" i="1062" s="1"/>
  <c r="B49" i="1062" s="1"/>
  <c r="B50" i="1062" s="1"/>
  <c r="B51" i="1062" s="1"/>
  <c r="B52" i="1062" s="1"/>
  <c r="B53" i="1062" s="1"/>
  <c r="B54" i="1062" s="1"/>
  <c r="Z29" i="1062"/>
  <c r="Z228" i="1062" s="1"/>
  <c r="Y29" i="1062"/>
  <c r="Y228" i="1062" s="1"/>
  <c r="T29" i="1062"/>
  <c r="T228" i="1062" s="1"/>
  <c r="N29" i="1062"/>
  <c r="M29" i="1062"/>
  <c r="M228" i="1062" s="1"/>
  <c r="H29" i="1062"/>
  <c r="H228" i="1062" s="1"/>
  <c r="B29" i="1062"/>
  <c r="AE28" i="1062"/>
  <c r="AD28" i="1062"/>
  <c r="AC28" i="1062"/>
  <c r="AB28" i="1062"/>
  <c r="AA28" i="1062"/>
  <c r="Z28" i="1062"/>
  <c r="Y28" i="1062"/>
  <c r="X28" i="1062"/>
  <c r="W28" i="1062"/>
  <c r="V28" i="1062"/>
  <c r="U28" i="1062"/>
  <c r="T28" i="1062"/>
  <c r="AE27" i="1062"/>
  <c r="AE73" i="1062" s="1"/>
  <c r="AD27" i="1062"/>
  <c r="AC27" i="1062"/>
  <c r="AC73" i="1062" s="1"/>
  <c r="AB27" i="1062"/>
  <c r="AA27" i="1062"/>
  <c r="Z27" i="1062"/>
  <c r="Z73" i="1062" s="1"/>
  <c r="Y27" i="1062"/>
  <c r="Y73" i="1062" s="1"/>
  <c r="X27" i="1062"/>
  <c r="X73" i="1062" s="1"/>
  <c r="W27" i="1062"/>
  <c r="W73" i="1062" s="1"/>
  <c r="V27" i="1062"/>
  <c r="U27" i="1062"/>
  <c r="U73" i="1062" s="1"/>
  <c r="T27" i="1062"/>
  <c r="AE26" i="1062"/>
  <c r="AD26" i="1062"/>
  <c r="AD72" i="1062" s="1"/>
  <c r="AC26" i="1062"/>
  <c r="AB26" i="1062"/>
  <c r="AB72" i="1062" s="1"/>
  <c r="AA26" i="1062"/>
  <c r="AA72" i="1062" s="1"/>
  <c r="Z26" i="1062"/>
  <c r="Z72" i="1062" s="1"/>
  <c r="Y26" i="1062"/>
  <c r="Y72" i="1062" s="1"/>
  <c r="X26" i="1062"/>
  <c r="W26" i="1062"/>
  <c r="V26" i="1062"/>
  <c r="V72" i="1062" s="1"/>
  <c r="U26" i="1062"/>
  <c r="T26" i="1062"/>
  <c r="T72" i="1062" s="1"/>
  <c r="AF25" i="1062"/>
  <c r="AE25" i="1062"/>
  <c r="AD25" i="1062"/>
  <c r="AC25" i="1062"/>
  <c r="AB25" i="1062"/>
  <c r="AA25" i="1062"/>
  <c r="Z25" i="1062"/>
  <c r="Y25" i="1062"/>
  <c r="X25" i="1062"/>
  <c r="W25" i="1062"/>
  <c r="V25" i="1062"/>
  <c r="U25" i="1062"/>
  <c r="T25" i="1062"/>
  <c r="AE24" i="1062"/>
  <c r="AD24" i="1062"/>
  <c r="AC24" i="1062"/>
  <c r="X24" i="1062"/>
  <c r="W24" i="1062"/>
  <c r="V24" i="1062"/>
  <c r="U24" i="1062"/>
  <c r="T24" i="1062"/>
  <c r="L24" i="1062"/>
  <c r="M24" i="1062" s="1"/>
  <c r="T23" i="1062"/>
  <c r="T182" i="1062" s="1"/>
  <c r="H23" i="1062"/>
  <c r="U22" i="1062"/>
  <c r="T22" i="1062"/>
  <c r="H22" i="1062"/>
  <c r="I22" i="1062" s="1"/>
  <c r="W21" i="1062"/>
  <c r="U21" i="1062"/>
  <c r="T21" i="1062"/>
  <c r="I21" i="1062"/>
  <c r="J21" i="1062" s="1"/>
  <c r="H21" i="1062"/>
  <c r="H64" i="1062" s="1"/>
  <c r="U20" i="1062"/>
  <c r="T20" i="1062"/>
  <c r="I20" i="1062"/>
  <c r="H20" i="1062"/>
  <c r="U19" i="1062"/>
  <c r="T19" i="1062"/>
  <c r="I19" i="1062"/>
  <c r="V19" i="1062" s="1"/>
  <c r="H19" i="1062"/>
  <c r="T18" i="1062"/>
  <c r="H18" i="1062"/>
  <c r="T17" i="1062"/>
  <c r="T174" i="1062" s="1"/>
  <c r="H17" i="1062"/>
  <c r="T16" i="1062"/>
  <c r="H16" i="1062"/>
  <c r="U16" i="1062" s="1"/>
  <c r="T15" i="1062"/>
  <c r="H15" i="1062"/>
  <c r="U14" i="1062"/>
  <c r="T14" i="1062"/>
  <c r="I14" i="1062"/>
  <c r="H14" i="1062"/>
  <c r="H171" i="1062" s="1"/>
  <c r="X13" i="1062"/>
  <c r="W13" i="1062"/>
  <c r="W56" i="1062" s="1"/>
  <c r="U13" i="1062"/>
  <c r="T13" i="1062"/>
  <c r="M13" i="1062"/>
  <c r="N13" i="1062" s="1"/>
  <c r="I13" i="1062"/>
  <c r="J13" i="1062" s="1"/>
  <c r="K13" i="1062" s="1"/>
  <c r="L13" i="1062" s="1"/>
  <c r="Y13" i="1062" s="1"/>
  <c r="H13" i="1062"/>
  <c r="U12" i="1062"/>
  <c r="T12" i="1062"/>
  <c r="I12" i="1062"/>
  <c r="H12" i="1062"/>
  <c r="T11" i="1062"/>
  <c r="H11" i="1062"/>
  <c r="U11" i="1062" s="1"/>
  <c r="U10" i="1062" s="1"/>
  <c r="T10" i="1062"/>
  <c r="I10" i="1062"/>
  <c r="H10" i="1062"/>
  <c r="H67" i="1062" s="1"/>
  <c r="T9" i="1062"/>
  <c r="T88" i="1062" s="1"/>
  <c r="T109" i="1062" s="1"/>
  <c r="H9" i="1062"/>
  <c r="U8" i="1062"/>
  <c r="T8" i="1062"/>
  <c r="H8" i="1062"/>
  <c r="AC7" i="1062"/>
  <c r="AA7" i="1062"/>
  <c r="Z7" i="1062"/>
  <c r="X7" i="1062"/>
  <c r="V7" i="1062"/>
  <c r="U7" i="1062"/>
  <c r="T7" i="1062"/>
  <c r="R7" i="1062"/>
  <c r="AE7" i="1062" s="1"/>
  <c r="Q7" i="1062"/>
  <c r="AD7" i="1062" s="1"/>
  <c r="P7" i="1062"/>
  <c r="O7" i="1062"/>
  <c r="AB7" i="1062" s="1"/>
  <c r="N7" i="1062"/>
  <c r="M7" i="1062"/>
  <c r="L7" i="1062"/>
  <c r="Y7" i="1062" s="1"/>
  <c r="K7" i="1062"/>
  <c r="J7" i="1062"/>
  <c r="W7" i="1062" s="1"/>
  <c r="I7" i="1062"/>
  <c r="H7" i="1062"/>
  <c r="AF6" i="1062"/>
  <c r="AC6" i="1062"/>
  <c r="AB6" i="1062"/>
  <c r="AB80" i="1062" s="1"/>
  <c r="X6" i="1062"/>
  <c r="W6" i="1062"/>
  <c r="T6" i="1062"/>
  <c r="T63" i="1062" s="1"/>
  <c r="P6" i="1062"/>
  <c r="K6" i="1062"/>
  <c r="K77" i="1062" s="1"/>
  <c r="H6" i="1062"/>
  <c r="H77" i="1062" s="1"/>
  <c r="AD5" i="1062"/>
  <c r="AC5" i="1062"/>
  <c r="AB5" i="1062"/>
  <c r="V5" i="1062"/>
  <c r="T5" i="1062"/>
  <c r="R5" i="1062"/>
  <c r="AE5" i="1062" s="1"/>
  <c r="Q5" i="1062"/>
  <c r="P5" i="1062"/>
  <c r="O5" i="1062"/>
  <c r="O124" i="1062" s="1"/>
  <c r="N5" i="1062"/>
  <c r="M5" i="1062"/>
  <c r="L5" i="1062"/>
  <c r="K5" i="1062"/>
  <c r="J5" i="1062"/>
  <c r="I5" i="1062"/>
  <c r="I107" i="1062" s="1"/>
  <c r="H5" i="1062"/>
  <c r="T4" i="1062"/>
  <c r="I4" i="1062"/>
  <c r="H4" i="1062"/>
  <c r="B3" i="1062"/>
  <c r="B4" i="1062" s="1"/>
  <c r="B5" i="1062" s="1"/>
  <c r="B6" i="1062" s="1"/>
  <c r="B7" i="1062" s="1"/>
  <c r="B10" i="1062" s="1"/>
  <c r="B12" i="1062" s="1"/>
  <c r="B13" i="1062" s="1"/>
  <c r="B14" i="1062" s="1"/>
  <c r="B15" i="1062" s="1"/>
  <c r="B16" i="1062" s="1"/>
  <c r="B17" i="1062" s="1"/>
  <c r="B18" i="1062" s="1"/>
  <c r="B19" i="1062" s="1"/>
  <c r="B20" i="1062" s="1"/>
  <c r="B21" i="1062" s="1"/>
  <c r="B22" i="1062" s="1"/>
  <c r="B23" i="1062" s="1"/>
  <c r="B24" i="1062" s="1"/>
  <c r="B25" i="1062" s="1"/>
  <c r="B26" i="1062" s="1"/>
  <c r="AE2" i="1062"/>
  <c r="AE52" i="1062" s="1"/>
  <c r="AD2" i="1062"/>
  <c r="AD52" i="1062" s="1"/>
  <c r="AC2" i="1062"/>
  <c r="AC52" i="1062" s="1"/>
  <c r="AB2" i="1062"/>
  <c r="AB52" i="1062" s="1"/>
  <c r="AA2" i="1062"/>
  <c r="AA52" i="1062" s="1"/>
  <c r="Z2" i="1062"/>
  <c r="Z52" i="1062" s="1"/>
  <c r="Y2" i="1062"/>
  <c r="Y52" i="1062" s="1"/>
  <c r="X2" i="1062"/>
  <c r="X52" i="1062" s="1"/>
  <c r="W2" i="1062"/>
  <c r="W52" i="1062" s="1"/>
  <c r="V2" i="1062"/>
  <c r="V52" i="1062" s="1"/>
  <c r="U2" i="1062"/>
  <c r="T2" i="1062"/>
  <c r="R2" i="1062"/>
  <c r="R52" i="1062" s="1"/>
  <c r="Q2" i="1062"/>
  <c r="Q52" i="1062" s="1"/>
  <c r="P2" i="1062"/>
  <c r="P52" i="1062" s="1"/>
  <c r="O2" i="1062"/>
  <c r="O52" i="1062" s="1"/>
  <c r="N2" i="1062"/>
  <c r="N52" i="1062" s="1"/>
  <c r="M2" i="1062"/>
  <c r="M52" i="1062" s="1"/>
  <c r="L2" i="1062"/>
  <c r="L52" i="1062" s="1"/>
  <c r="K2" i="1062"/>
  <c r="J2" i="1062"/>
  <c r="J52" i="1062" s="1"/>
  <c r="I2" i="1062"/>
  <c r="I52" i="1062" s="1"/>
  <c r="H2" i="1062"/>
  <c r="H52" i="1062" s="1"/>
  <c r="G2" i="1062"/>
  <c r="G52" i="1062" s="1"/>
  <c r="B2" i="1062"/>
  <c r="V1" i="1062"/>
  <c r="W1" i="1062" s="1"/>
  <c r="X1" i="1062" s="1"/>
  <c r="Y1" i="1062" s="1"/>
  <c r="Z1" i="1062" s="1"/>
  <c r="AA1" i="1062" s="1"/>
  <c r="AB1" i="1062" s="1"/>
  <c r="AC1" i="1062" s="1"/>
  <c r="AD1" i="1062" s="1"/>
  <c r="AE1" i="1062" s="1"/>
  <c r="U1" i="1062"/>
  <c r="H1" i="1062"/>
  <c r="I1" i="1062" s="1"/>
  <c r="J1" i="1062" s="1"/>
  <c r="K1" i="1062" s="1"/>
  <c r="L1" i="1062" s="1"/>
  <c r="M1" i="1062" s="1"/>
  <c r="N1" i="1062" s="1"/>
  <c r="O1" i="1062" s="1"/>
  <c r="P1" i="1062" s="1"/>
  <c r="Q1" i="1062" s="1"/>
  <c r="R1" i="1062" s="1"/>
  <c r="AE238" i="1061"/>
  <c r="AD238" i="1061"/>
  <c r="AC238" i="1061"/>
  <c r="AB238" i="1061"/>
  <c r="AA238" i="1061"/>
  <c r="Z238" i="1061"/>
  <c r="Y238" i="1061"/>
  <c r="X238" i="1061"/>
  <c r="W238" i="1061"/>
  <c r="V238" i="1061"/>
  <c r="U238" i="1061"/>
  <c r="T238" i="1061"/>
  <c r="S238" i="1061"/>
  <c r="R238" i="1061"/>
  <c r="Q238" i="1061"/>
  <c r="P238" i="1061"/>
  <c r="O238" i="1061"/>
  <c r="N238" i="1061"/>
  <c r="M238" i="1061"/>
  <c r="L238" i="1061"/>
  <c r="K238" i="1061"/>
  <c r="J238" i="1061"/>
  <c r="I238" i="1061"/>
  <c r="H238" i="1061"/>
  <c r="G238" i="1061"/>
  <c r="S236" i="1061"/>
  <c r="G236" i="1061"/>
  <c r="AE235" i="1061"/>
  <c r="AD235" i="1061"/>
  <c r="AC235" i="1061"/>
  <c r="AB235" i="1061"/>
  <c r="AA235" i="1061"/>
  <c r="Z235" i="1061"/>
  <c r="Y235" i="1061"/>
  <c r="X235" i="1061"/>
  <c r="W235" i="1061"/>
  <c r="V235" i="1061"/>
  <c r="U235" i="1061"/>
  <c r="T235" i="1061"/>
  <c r="S235" i="1061"/>
  <c r="R235" i="1061"/>
  <c r="Q235" i="1061"/>
  <c r="P235" i="1061"/>
  <c r="O235" i="1061"/>
  <c r="N235" i="1061"/>
  <c r="M235" i="1061"/>
  <c r="L235" i="1061"/>
  <c r="K235" i="1061"/>
  <c r="J235" i="1061"/>
  <c r="I235" i="1061"/>
  <c r="H235" i="1061"/>
  <c r="G235" i="1061"/>
  <c r="AE234" i="1061"/>
  <c r="AD234" i="1061"/>
  <c r="AC234" i="1061"/>
  <c r="AB234" i="1061"/>
  <c r="AA234" i="1061"/>
  <c r="Z234" i="1061"/>
  <c r="Y234" i="1061"/>
  <c r="X234" i="1061"/>
  <c r="W234" i="1061"/>
  <c r="V234" i="1061"/>
  <c r="U234" i="1061"/>
  <c r="T234" i="1061"/>
  <c r="S234" i="1061"/>
  <c r="R234" i="1061"/>
  <c r="Q234" i="1061"/>
  <c r="P234" i="1061"/>
  <c r="O234" i="1061"/>
  <c r="N234" i="1061"/>
  <c r="M234" i="1061"/>
  <c r="L234" i="1061"/>
  <c r="K234" i="1061"/>
  <c r="J234" i="1061"/>
  <c r="I234" i="1061"/>
  <c r="H234" i="1061"/>
  <c r="G234" i="1061"/>
  <c r="AE233" i="1061"/>
  <c r="AD233" i="1061"/>
  <c r="AC233" i="1061"/>
  <c r="AB233" i="1061"/>
  <c r="AA233" i="1061"/>
  <c r="Z233" i="1061"/>
  <c r="Y233" i="1061"/>
  <c r="X233" i="1061"/>
  <c r="W233" i="1061"/>
  <c r="V233" i="1061"/>
  <c r="U233" i="1061"/>
  <c r="T233" i="1061"/>
  <c r="S233" i="1061"/>
  <c r="R233" i="1061"/>
  <c r="Q233" i="1061"/>
  <c r="P233" i="1061"/>
  <c r="O233" i="1061"/>
  <c r="N233" i="1061"/>
  <c r="M233" i="1061"/>
  <c r="L233" i="1061"/>
  <c r="K233" i="1061"/>
  <c r="J233" i="1061"/>
  <c r="I233" i="1061"/>
  <c r="H233" i="1061"/>
  <c r="G233" i="1061"/>
  <c r="AE232" i="1061"/>
  <c r="AD232" i="1061"/>
  <c r="AC232" i="1061"/>
  <c r="AB232" i="1061"/>
  <c r="AA232" i="1061"/>
  <c r="Z232" i="1061"/>
  <c r="Y232" i="1061"/>
  <c r="X232" i="1061"/>
  <c r="W232" i="1061"/>
  <c r="V232" i="1061"/>
  <c r="U232" i="1061"/>
  <c r="T232" i="1061"/>
  <c r="S232" i="1061"/>
  <c r="R232" i="1061"/>
  <c r="Q232" i="1061"/>
  <c r="P232" i="1061"/>
  <c r="O232" i="1061"/>
  <c r="N232" i="1061"/>
  <c r="M232" i="1061"/>
  <c r="L232" i="1061"/>
  <c r="K232" i="1061"/>
  <c r="J232" i="1061"/>
  <c r="I232" i="1061"/>
  <c r="H232" i="1061"/>
  <c r="G232" i="1061"/>
  <c r="B232" i="1061"/>
  <c r="B233" i="1061" s="1"/>
  <c r="B234" i="1061" s="1"/>
  <c r="B235" i="1061" s="1"/>
  <c r="B236" i="1061" s="1"/>
  <c r="B237" i="1061" s="1"/>
  <c r="AE231" i="1061"/>
  <c r="AD231" i="1061"/>
  <c r="AC231" i="1061"/>
  <c r="AB231" i="1061"/>
  <c r="AA231" i="1061"/>
  <c r="Z231" i="1061"/>
  <c r="Y231" i="1061"/>
  <c r="X231" i="1061"/>
  <c r="W231" i="1061"/>
  <c r="V231" i="1061"/>
  <c r="U231" i="1061"/>
  <c r="T231" i="1061"/>
  <c r="S231" i="1061"/>
  <c r="R231" i="1061"/>
  <c r="Q231" i="1061"/>
  <c r="P231" i="1061"/>
  <c r="O231" i="1061"/>
  <c r="N231" i="1061"/>
  <c r="M231" i="1061"/>
  <c r="L231" i="1061"/>
  <c r="K231" i="1061"/>
  <c r="J231" i="1061"/>
  <c r="I231" i="1061"/>
  <c r="H231" i="1061"/>
  <c r="G231" i="1061"/>
  <c r="F230" i="1061"/>
  <c r="F229" i="1061"/>
  <c r="S228" i="1061"/>
  <c r="L228" i="1061"/>
  <c r="G228" i="1061"/>
  <c r="AE227" i="1061"/>
  <c r="AD227" i="1061"/>
  <c r="AC227" i="1061"/>
  <c r="AB227" i="1061"/>
  <c r="AA227" i="1061"/>
  <c r="Z227" i="1061"/>
  <c r="Y227" i="1061"/>
  <c r="X227" i="1061"/>
  <c r="W227" i="1061"/>
  <c r="V227" i="1061"/>
  <c r="U227" i="1061"/>
  <c r="T227" i="1061"/>
  <c r="S227" i="1061"/>
  <c r="R227" i="1061"/>
  <c r="Q227" i="1061"/>
  <c r="P227" i="1061"/>
  <c r="O227" i="1061"/>
  <c r="N227" i="1061"/>
  <c r="M227" i="1061"/>
  <c r="L227" i="1061"/>
  <c r="K227" i="1061"/>
  <c r="J227" i="1061"/>
  <c r="I227" i="1061"/>
  <c r="H227" i="1061"/>
  <c r="G227" i="1061"/>
  <c r="AE226" i="1061"/>
  <c r="AD226" i="1061"/>
  <c r="AC226" i="1061"/>
  <c r="AB226" i="1061"/>
  <c r="AA226" i="1061"/>
  <c r="Z226" i="1061"/>
  <c r="Y226" i="1061"/>
  <c r="X226" i="1061"/>
  <c r="W226" i="1061"/>
  <c r="V226" i="1061"/>
  <c r="U226" i="1061"/>
  <c r="T226" i="1061"/>
  <c r="S226" i="1061"/>
  <c r="R226" i="1061"/>
  <c r="Q226" i="1061"/>
  <c r="P226" i="1061"/>
  <c r="O226" i="1061"/>
  <c r="N226" i="1061"/>
  <c r="M226" i="1061"/>
  <c r="L226" i="1061"/>
  <c r="K226" i="1061"/>
  <c r="J226" i="1061"/>
  <c r="I226" i="1061"/>
  <c r="H226" i="1061"/>
  <c r="G226" i="1061"/>
  <c r="S225" i="1061"/>
  <c r="AE224" i="1061"/>
  <c r="AD224" i="1061"/>
  <c r="AC224" i="1061"/>
  <c r="AB224" i="1061"/>
  <c r="AA224" i="1061"/>
  <c r="Z224" i="1061"/>
  <c r="Y224" i="1061"/>
  <c r="X224" i="1061"/>
  <c r="W224" i="1061"/>
  <c r="V224" i="1061"/>
  <c r="U224" i="1061"/>
  <c r="T224" i="1061"/>
  <c r="S224" i="1061"/>
  <c r="R224" i="1061"/>
  <c r="Q224" i="1061"/>
  <c r="P224" i="1061"/>
  <c r="O224" i="1061"/>
  <c r="N224" i="1061"/>
  <c r="M224" i="1061"/>
  <c r="L224" i="1061"/>
  <c r="K224" i="1061"/>
  <c r="J224" i="1061"/>
  <c r="I224" i="1061"/>
  <c r="H224" i="1061"/>
  <c r="G224" i="1061"/>
  <c r="AE223" i="1061"/>
  <c r="AD223" i="1061"/>
  <c r="AC223" i="1061"/>
  <c r="AB223" i="1061"/>
  <c r="AA223" i="1061"/>
  <c r="Z223" i="1061"/>
  <c r="Y223" i="1061"/>
  <c r="X223" i="1061"/>
  <c r="W223" i="1061"/>
  <c r="V223" i="1061"/>
  <c r="U223" i="1061"/>
  <c r="T223" i="1061"/>
  <c r="S223" i="1061"/>
  <c r="R223" i="1061"/>
  <c r="Q223" i="1061"/>
  <c r="P223" i="1061"/>
  <c r="O223" i="1061"/>
  <c r="N223" i="1061"/>
  <c r="M223" i="1061"/>
  <c r="L223" i="1061"/>
  <c r="K223" i="1061"/>
  <c r="J223" i="1061"/>
  <c r="I223" i="1061"/>
  <c r="H223" i="1061"/>
  <c r="G223" i="1061"/>
  <c r="D222" i="1061"/>
  <c r="S221" i="1061"/>
  <c r="S220" i="1061"/>
  <c r="S219" i="1061"/>
  <c r="D219" i="1061"/>
  <c r="S218" i="1061"/>
  <c r="D218" i="1061"/>
  <c r="S217" i="1061"/>
  <c r="G217" i="1061"/>
  <c r="S216" i="1061"/>
  <c r="S216" i="1061" a="1"/>
  <c r="S215" i="1061"/>
  <c r="S214" i="1061"/>
  <c r="S213" i="1061"/>
  <c r="S212" i="1061"/>
  <c r="S211" i="1061"/>
  <c r="S210" i="1061"/>
  <c r="S209" i="1061"/>
  <c r="S208" i="1061"/>
  <c r="S207" i="1061"/>
  <c r="S206" i="1061"/>
  <c r="S205" i="1061"/>
  <c r="S204" i="1061"/>
  <c r="S203" i="1061"/>
  <c r="S202" i="1061"/>
  <c r="AC199" i="1061"/>
  <c r="S199" i="1061"/>
  <c r="J199" i="1061"/>
  <c r="I199" i="1061"/>
  <c r="S198" i="1061"/>
  <c r="S197" i="1061"/>
  <c r="S196" i="1061"/>
  <c r="S195" i="1061"/>
  <c r="O195" i="1061"/>
  <c r="J195" i="1061"/>
  <c r="I195" i="1061"/>
  <c r="G195" i="1061"/>
  <c r="S194" i="1061"/>
  <c r="O194" i="1061"/>
  <c r="J194" i="1061"/>
  <c r="G194" i="1061"/>
  <c r="S193" i="1061"/>
  <c r="O193" i="1061"/>
  <c r="J193" i="1061"/>
  <c r="G193" i="1061"/>
  <c r="S192" i="1061"/>
  <c r="O192" i="1061"/>
  <c r="J192" i="1061"/>
  <c r="G192" i="1061"/>
  <c r="AD191" i="1061"/>
  <c r="Z191" i="1061"/>
  <c r="S191" i="1061"/>
  <c r="R191" i="1061"/>
  <c r="Q191" i="1061"/>
  <c r="P191" i="1061"/>
  <c r="O191" i="1061"/>
  <c r="N191" i="1061"/>
  <c r="M191" i="1061"/>
  <c r="L191" i="1061"/>
  <c r="K191" i="1061"/>
  <c r="J191" i="1061"/>
  <c r="I191" i="1061"/>
  <c r="H191" i="1061"/>
  <c r="G191" i="1061"/>
  <c r="AE190" i="1061"/>
  <c r="AD190" i="1061"/>
  <c r="AC190" i="1061"/>
  <c r="AB190" i="1061"/>
  <c r="AA190" i="1061"/>
  <c r="Z190" i="1061"/>
  <c r="Y190" i="1061"/>
  <c r="X190" i="1061"/>
  <c r="W190" i="1061"/>
  <c r="V190" i="1061"/>
  <c r="U190" i="1061"/>
  <c r="T190" i="1061"/>
  <c r="S190" i="1061"/>
  <c r="R190" i="1061"/>
  <c r="Q190" i="1061"/>
  <c r="P190" i="1061"/>
  <c r="O190" i="1061"/>
  <c r="N190" i="1061"/>
  <c r="M190" i="1061"/>
  <c r="L190" i="1061"/>
  <c r="K190" i="1061"/>
  <c r="J190" i="1061"/>
  <c r="I190" i="1061"/>
  <c r="H190" i="1061"/>
  <c r="G190" i="1061"/>
  <c r="S189" i="1061"/>
  <c r="R189" i="1061"/>
  <c r="Q189" i="1061"/>
  <c r="P189" i="1061"/>
  <c r="O189" i="1061"/>
  <c r="N189" i="1061"/>
  <c r="M189" i="1061"/>
  <c r="L189" i="1061"/>
  <c r="K189" i="1061"/>
  <c r="J189" i="1061"/>
  <c r="I189" i="1061"/>
  <c r="H189" i="1061"/>
  <c r="G189" i="1061"/>
  <c r="X188" i="1061"/>
  <c r="S188" i="1061"/>
  <c r="R188" i="1061"/>
  <c r="Q188" i="1061"/>
  <c r="P188" i="1061"/>
  <c r="O188" i="1061"/>
  <c r="N188" i="1061"/>
  <c r="M188" i="1061"/>
  <c r="L188" i="1061"/>
  <c r="K188" i="1061"/>
  <c r="J188" i="1061"/>
  <c r="I188" i="1061"/>
  <c r="H188" i="1061"/>
  <c r="G188" i="1061"/>
  <c r="S185" i="1061"/>
  <c r="AE183" i="1061"/>
  <c r="AD183" i="1061"/>
  <c r="AC183" i="1061"/>
  <c r="AB183" i="1061"/>
  <c r="AA183" i="1061"/>
  <c r="Z183" i="1061"/>
  <c r="Y183" i="1061"/>
  <c r="X183" i="1061"/>
  <c r="W183" i="1061"/>
  <c r="V183" i="1061"/>
  <c r="U183" i="1061"/>
  <c r="T183" i="1061"/>
  <c r="S183" i="1061"/>
  <c r="R183" i="1061"/>
  <c r="Q183" i="1061"/>
  <c r="P183" i="1061"/>
  <c r="O183" i="1061"/>
  <c r="N183" i="1061"/>
  <c r="M183" i="1061"/>
  <c r="L183" i="1061"/>
  <c r="K183" i="1061"/>
  <c r="J183" i="1061"/>
  <c r="I183" i="1061"/>
  <c r="H183" i="1061"/>
  <c r="G183" i="1061"/>
  <c r="S182" i="1061"/>
  <c r="G182" i="1061"/>
  <c r="S181" i="1061"/>
  <c r="G181" i="1061"/>
  <c r="S180" i="1061"/>
  <c r="H180" i="1061"/>
  <c r="G180" i="1061"/>
  <c r="S179" i="1061"/>
  <c r="G179" i="1061"/>
  <c r="S178" i="1061"/>
  <c r="G178" i="1061"/>
  <c r="S177" i="1061"/>
  <c r="G177" i="1061"/>
  <c r="H175" i="1061"/>
  <c r="G175" i="1061"/>
  <c r="G173" i="1061"/>
  <c r="S169" i="1061"/>
  <c r="H169" i="1061"/>
  <c r="S168" i="1061"/>
  <c r="G168" i="1061"/>
  <c r="B168" i="1061"/>
  <c r="B169" i="1061" s="1"/>
  <c r="B170" i="1061" s="1"/>
  <c r="B171" i="1061" s="1"/>
  <c r="B172" i="1061" s="1"/>
  <c r="B173" i="1061" s="1"/>
  <c r="B174" i="1061" s="1"/>
  <c r="B175" i="1061" s="1"/>
  <c r="B176" i="1061" s="1"/>
  <c r="B177" i="1061" s="1"/>
  <c r="B178" i="1061" s="1"/>
  <c r="B179" i="1061" s="1"/>
  <c r="B180" i="1061" s="1"/>
  <c r="B181" i="1061" s="1"/>
  <c r="B182" i="1061" s="1"/>
  <c r="B183" i="1061" s="1"/>
  <c r="B184" i="1061" s="1"/>
  <c r="B185" i="1061" s="1"/>
  <c r="B186" i="1061" s="1"/>
  <c r="S167" i="1061"/>
  <c r="H167" i="1061"/>
  <c r="G167" i="1061"/>
  <c r="H166" i="1061"/>
  <c r="G166" i="1061"/>
  <c r="H165" i="1061"/>
  <c r="G165" i="1061"/>
  <c r="G169" i="1061" s="1"/>
  <c r="T162" i="1061"/>
  <c r="G162" i="1061"/>
  <c r="G139" i="1061"/>
  <c r="G134" i="1061"/>
  <c r="G133" i="1061"/>
  <c r="G132" i="1061"/>
  <c r="G131" i="1061"/>
  <c r="G55" i="1061" s="1"/>
  <c r="G130" i="1061"/>
  <c r="G164" i="1061" s="1"/>
  <c r="G130" i="1061" a="1"/>
  <c r="U129" i="1061"/>
  <c r="U163" i="1061" s="1"/>
  <c r="G129" i="1061"/>
  <c r="G163" i="1061" s="1"/>
  <c r="F128" i="1061"/>
  <c r="F127" i="1061"/>
  <c r="H125" i="1061"/>
  <c r="G125" i="1061"/>
  <c r="G124" i="1061"/>
  <c r="U123" i="1061"/>
  <c r="U121" i="1061" s="1"/>
  <c r="G123" i="1061"/>
  <c r="G121" i="1061" s="1"/>
  <c r="U111" i="1061"/>
  <c r="G111" i="1061"/>
  <c r="B111" i="1061"/>
  <c r="D223" i="1061" s="1"/>
  <c r="G109" i="1061"/>
  <c r="G108" i="1061"/>
  <c r="M107" i="1061"/>
  <c r="L107" i="1061"/>
  <c r="B107" i="1061"/>
  <c r="D220" i="1061" s="1"/>
  <c r="S106" i="1061"/>
  <c r="Y105" i="1061"/>
  <c r="P105" i="1061"/>
  <c r="P218" i="1061" s="1"/>
  <c r="I105" i="1061"/>
  <c r="I218" i="1061" s="1"/>
  <c r="H105" i="1061"/>
  <c r="H218" i="1061" s="1"/>
  <c r="G105" i="1061"/>
  <c r="G218" i="1061" s="1"/>
  <c r="G102" i="1061"/>
  <c r="D98" i="1061"/>
  <c r="D97" i="1061"/>
  <c r="D96" i="1061"/>
  <c r="D95" i="1061"/>
  <c r="D94" i="1061"/>
  <c r="D93" i="1061"/>
  <c r="I88" i="1061" a="1"/>
  <c r="I88" i="1061" s="1"/>
  <c r="G88" i="1061"/>
  <c r="G221" i="1061" s="1"/>
  <c r="G88" i="1061" a="1"/>
  <c r="R87" i="1061"/>
  <c r="R199" i="1061" s="1"/>
  <c r="Q87" i="1061"/>
  <c r="Q199" i="1061" s="1"/>
  <c r="P87" i="1061"/>
  <c r="P199" i="1061" s="1"/>
  <c r="O87" i="1061"/>
  <c r="O199" i="1061" s="1"/>
  <c r="N87" i="1061"/>
  <c r="N199" i="1061" s="1"/>
  <c r="M87" i="1061"/>
  <c r="M199" i="1061" s="1"/>
  <c r="L87" i="1061"/>
  <c r="L199" i="1061" s="1"/>
  <c r="K87" i="1061"/>
  <c r="K199" i="1061" s="1"/>
  <c r="J87" i="1061"/>
  <c r="I87" i="1061"/>
  <c r="H87" i="1061"/>
  <c r="H199" i="1061" s="1"/>
  <c r="G87" i="1061"/>
  <c r="G199" i="1061" s="1"/>
  <c r="AE86" i="1061"/>
  <c r="X86" i="1061"/>
  <c r="W86" i="1061"/>
  <c r="V86" i="1061"/>
  <c r="R86" i="1061"/>
  <c r="Q86" i="1061"/>
  <c r="O86" i="1061"/>
  <c r="N86" i="1061"/>
  <c r="M86" i="1061"/>
  <c r="L86" i="1061"/>
  <c r="K86" i="1061"/>
  <c r="J86" i="1061"/>
  <c r="I86" i="1061"/>
  <c r="H86" i="1061"/>
  <c r="Y85" i="1061"/>
  <c r="R85" i="1061"/>
  <c r="Q85" i="1061"/>
  <c r="P85" i="1061"/>
  <c r="O85" i="1061"/>
  <c r="N85" i="1061"/>
  <c r="M85" i="1061"/>
  <c r="L85" i="1061"/>
  <c r="K85" i="1061"/>
  <c r="J85" i="1061"/>
  <c r="I85" i="1061"/>
  <c r="H85" i="1061"/>
  <c r="G85" i="1061"/>
  <c r="Z84" i="1061"/>
  <c r="Y84" i="1061"/>
  <c r="R84" i="1061"/>
  <c r="Q84" i="1061"/>
  <c r="P84" i="1061"/>
  <c r="O84" i="1061"/>
  <c r="N84" i="1061"/>
  <c r="M84" i="1061"/>
  <c r="L84" i="1061"/>
  <c r="K84" i="1061"/>
  <c r="J84" i="1061"/>
  <c r="I84" i="1061"/>
  <c r="H84" i="1061"/>
  <c r="G84" i="1061"/>
  <c r="AE83" i="1061"/>
  <c r="AA83" i="1061"/>
  <c r="W83" i="1061"/>
  <c r="R83" i="1061"/>
  <c r="Q83" i="1061"/>
  <c r="P83" i="1061"/>
  <c r="O83" i="1061"/>
  <c r="N83" i="1061"/>
  <c r="M83" i="1061"/>
  <c r="L83" i="1061"/>
  <c r="K83" i="1061"/>
  <c r="J83" i="1061"/>
  <c r="I83" i="1061"/>
  <c r="H83" i="1061"/>
  <c r="G83" i="1061"/>
  <c r="AB82" i="1061"/>
  <c r="T82" i="1061"/>
  <c r="R82" i="1061"/>
  <c r="Q82" i="1061"/>
  <c r="P82" i="1061"/>
  <c r="O82" i="1061"/>
  <c r="N82" i="1061"/>
  <c r="M82" i="1061"/>
  <c r="L82" i="1061"/>
  <c r="K82" i="1061"/>
  <c r="J82" i="1061"/>
  <c r="I82" i="1061"/>
  <c r="H82" i="1061"/>
  <c r="G82" i="1061"/>
  <c r="AF82" i="1061" s="1"/>
  <c r="AD81" i="1061"/>
  <c r="X81" i="1061"/>
  <c r="V81" i="1061"/>
  <c r="R81" i="1061"/>
  <c r="Q81" i="1061"/>
  <c r="P81" i="1061"/>
  <c r="O81" i="1061"/>
  <c r="N81" i="1061"/>
  <c r="M81" i="1061"/>
  <c r="L81" i="1061"/>
  <c r="K81" i="1061"/>
  <c r="J81" i="1061"/>
  <c r="I81" i="1061"/>
  <c r="H81" i="1061"/>
  <c r="G81" i="1061"/>
  <c r="R80" i="1061"/>
  <c r="Q80" i="1061"/>
  <c r="P80" i="1061"/>
  <c r="O80" i="1061"/>
  <c r="N80" i="1061"/>
  <c r="M80" i="1061"/>
  <c r="L80" i="1061"/>
  <c r="K80" i="1061"/>
  <c r="J80" i="1061"/>
  <c r="I80" i="1061"/>
  <c r="H80" i="1061"/>
  <c r="AF80" i="1061" s="1"/>
  <c r="G80" i="1061"/>
  <c r="AD79" i="1061"/>
  <c r="Z79" i="1061"/>
  <c r="Y79" i="1061"/>
  <c r="V79" i="1061"/>
  <c r="R79" i="1061"/>
  <c r="Q79" i="1061"/>
  <c r="P79" i="1061"/>
  <c r="O79" i="1061"/>
  <c r="N79" i="1061"/>
  <c r="M79" i="1061"/>
  <c r="L79" i="1061"/>
  <c r="K79" i="1061"/>
  <c r="J79" i="1061"/>
  <c r="I79" i="1061"/>
  <c r="H79" i="1061"/>
  <c r="G79" i="1061"/>
  <c r="AE78" i="1061"/>
  <c r="AA78" i="1061"/>
  <c r="Z78" i="1061"/>
  <c r="W78" i="1061"/>
  <c r="R78" i="1061"/>
  <c r="Q78" i="1061"/>
  <c r="P78" i="1061"/>
  <c r="O78" i="1061"/>
  <c r="N78" i="1061"/>
  <c r="M78" i="1061"/>
  <c r="L78" i="1061"/>
  <c r="K78" i="1061"/>
  <c r="J78" i="1061"/>
  <c r="I78" i="1061"/>
  <c r="H78" i="1061"/>
  <c r="G78" i="1061"/>
  <c r="O77" i="1061"/>
  <c r="K77" i="1061"/>
  <c r="J77" i="1061"/>
  <c r="G77" i="1061"/>
  <c r="AE76" i="1061"/>
  <c r="AD76" i="1061"/>
  <c r="W76" i="1061"/>
  <c r="V76" i="1061"/>
  <c r="R76" i="1061"/>
  <c r="Q76" i="1061"/>
  <c r="P76" i="1061"/>
  <c r="O76" i="1061"/>
  <c r="N76" i="1061"/>
  <c r="M76" i="1061"/>
  <c r="L76" i="1061"/>
  <c r="K76" i="1061"/>
  <c r="J76" i="1061"/>
  <c r="I76" i="1061"/>
  <c r="H76" i="1061"/>
  <c r="G76" i="1061"/>
  <c r="AF75" i="1061"/>
  <c r="X75" i="1061"/>
  <c r="R75" i="1061"/>
  <c r="Q75" i="1061"/>
  <c r="P75" i="1061"/>
  <c r="O75" i="1061"/>
  <c r="N75" i="1061"/>
  <c r="M75" i="1061"/>
  <c r="L75" i="1061"/>
  <c r="K75" i="1061"/>
  <c r="J75" i="1061"/>
  <c r="I75" i="1061"/>
  <c r="H75" i="1061"/>
  <c r="G75" i="1061"/>
  <c r="AB74" i="1061"/>
  <c r="AA74" i="1061"/>
  <c r="T74" i="1061"/>
  <c r="R74" i="1061"/>
  <c r="Q74" i="1061"/>
  <c r="P74" i="1061"/>
  <c r="O74" i="1061"/>
  <c r="N74" i="1061"/>
  <c r="M74" i="1061"/>
  <c r="L74" i="1061"/>
  <c r="K74" i="1061"/>
  <c r="J74" i="1061"/>
  <c r="I74" i="1061"/>
  <c r="H74" i="1061"/>
  <c r="G74" i="1061"/>
  <c r="AC73" i="1061"/>
  <c r="AB73" i="1061"/>
  <c r="Y73" i="1061"/>
  <c r="U73" i="1061"/>
  <c r="T73" i="1061"/>
  <c r="R73" i="1061"/>
  <c r="Q73" i="1061"/>
  <c r="P73" i="1061"/>
  <c r="O73" i="1061"/>
  <c r="N73" i="1061"/>
  <c r="M73" i="1061"/>
  <c r="L73" i="1061"/>
  <c r="K73" i="1061"/>
  <c r="J73" i="1061"/>
  <c r="I73" i="1061"/>
  <c r="H73" i="1061"/>
  <c r="G73" i="1061"/>
  <c r="AD72" i="1061"/>
  <c r="AD220" i="1061" s="1"/>
  <c r="W72" i="1061"/>
  <c r="V72" i="1061"/>
  <c r="R72" i="1061"/>
  <c r="R220" i="1061" s="1"/>
  <c r="Q72" i="1061"/>
  <c r="Q220" i="1061" s="1"/>
  <c r="P72" i="1061"/>
  <c r="P220" i="1061" s="1"/>
  <c r="O72" i="1061"/>
  <c r="O220" i="1061" s="1"/>
  <c r="N72" i="1061"/>
  <c r="M72" i="1061"/>
  <c r="M220" i="1061" s="1"/>
  <c r="L72" i="1061"/>
  <c r="L220" i="1061" s="1"/>
  <c r="K72" i="1061"/>
  <c r="K107" i="1061" s="1"/>
  <c r="J72" i="1061"/>
  <c r="J220" i="1061" s="1"/>
  <c r="I72" i="1061"/>
  <c r="I220" i="1061" s="1"/>
  <c r="H72" i="1061"/>
  <c r="H220" i="1061" s="1"/>
  <c r="G72" i="1061"/>
  <c r="G220" i="1061" s="1"/>
  <c r="U69" i="1061"/>
  <c r="G69" i="1061"/>
  <c r="AG68" i="1061"/>
  <c r="U68" i="1061"/>
  <c r="U215" i="1061" s="1"/>
  <c r="H68" i="1061"/>
  <c r="G68" i="1061"/>
  <c r="E68" i="1061"/>
  <c r="D68" i="1061"/>
  <c r="C68" i="1061"/>
  <c r="AG67" i="1061"/>
  <c r="G67" i="1061"/>
  <c r="G214" i="1061" s="1"/>
  <c r="AG66" i="1061"/>
  <c r="H66" i="1061"/>
  <c r="H213" i="1061" s="1"/>
  <c r="G66" i="1061"/>
  <c r="G213" i="1061" s="1"/>
  <c r="AG65" i="1061"/>
  <c r="G65" i="1061"/>
  <c r="AG64" i="1061"/>
  <c r="G64" i="1061"/>
  <c r="AG63" i="1061"/>
  <c r="G63" i="1061"/>
  <c r="G211" i="1061" s="1"/>
  <c r="AG62" i="1061"/>
  <c r="E62" i="1061"/>
  <c r="D62" i="1061"/>
  <c r="C62" i="1061"/>
  <c r="AG61" i="1061"/>
  <c r="G61" i="1061"/>
  <c r="G209" i="1061" s="1"/>
  <c r="E61" i="1061"/>
  <c r="D61" i="1061"/>
  <c r="S175" i="1061" s="1"/>
  <c r="C61" i="1061"/>
  <c r="AG60" i="1061"/>
  <c r="E60" i="1061"/>
  <c r="D60" i="1061"/>
  <c r="I162" i="1061" s="1"/>
  <c r="C60" i="1061"/>
  <c r="AG59" i="1061"/>
  <c r="G59" i="1061"/>
  <c r="G207" i="1061" s="1"/>
  <c r="E59" i="1061"/>
  <c r="D59" i="1061"/>
  <c r="S173" i="1061" s="1"/>
  <c r="C59" i="1061"/>
  <c r="AG58" i="1061"/>
  <c r="U58" i="1061"/>
  <c r="E58" i="1061"/>
  <c r="D58" i="1061"/>
  <c r="C58" i="1061"/>
  <c r="AG57" i="1061"/>
  <c r="G57" i="1061"/>
  <c r="E57" i="1061"/>
  <c r="D57" i="1061"/>
  <c r="C57" i="1061"/>
  <c r="AG56" i="1061"/>
  <c r="H56" i="1061"/>
  <c r="G56" i="1061"/>
  <c r="G204" i="1061" s="1"/>
  <c r="AG55" i="1061"/>
  <c r="AG54" i="1061"/>
  <c r="T54" i="1061"/>
  <c r="G54" i="1061"/>
  <c r="AG53" i="1061"/>
  <c r="G53" i="1061"/>
  <c r="X52" i="1061"/>
  <c r="T52" i="1061"/>
  <c r="O52" i="1061"/>
  <c r="G52" i="1061"/>
  <c r="A52" i="1061"/>
  <c r="V51" i="1061"/>
  <c r="U51" i="1061"/>
  <c r="T51" i="1061"/>
  <c r="I51" i="1061"/>
  <c r="J51" i="1061" s="1"/>
  <c r="K51" i="1061" s="1"/>
  <c r="X51" i="1061" s="1"/>
  <c r="H51" i="1061"/>
  <c r="U50" i="1061"/>
  <c r="T50" i="1061"/>
  <c r="I50" i="1061"/>
  <c r="H50" i="1061"/>
  <c r="U49" i="1061"/>
  <c r="T49" i="1061"/>
  <c r="I49" i="1061"/>
  <c r="J49" i="1061" s="1"/>
  <c r="K49" i="1061" s="1"/>
  <c r="H49" i="1061"/>
  <c r="AE48" i="1061"/>
  <c r="AD48" i="1061"/>
  <c r="AC48" i="1061"/>
  <c r="AB48" i="1061"/>
  <c r="AA48" i="1061"/>
  <c r="Z48" i="1061"/>
  <c r="Y48" i="1061"/>
  <c r="X48" i="1061"/>
  <c r="W48" i="1061"/>
  <c r="V48" i="1061"/>
  <c r="U48" i="1061"/>
  <c r="T48" i="1061"/>
  <c r="AE47" i="1061"/>
  <c r="AD47" i="1061"/>
  <c r="AC47" i="1061"/>
  <c r="AB47" i="1061"/>
  <c r="AA47" i="1061"/>
  <c r="Z47" i="1061"/>
  <c r="Y47" i="1061"/>
  <c r="X47" i="1061"/>
  <c r="W47" i="1061"/>
  <c r="V47" i="1061"/>
  <c r="U47" i="1061"/>
  <c r="T47" i="1061"/>
  <c r="AE46" i="1061"/>
  <c r="AD46" i="1061"/>
  <c r="AC46" i="1061"/>
  <c r="AB46" i="1061"/>
  <c r="AA46" i="1061"/>
  <c r="Z46" i="1061"/>
  <c r="Y46" i="1061"/>
  <c r="X46" i="1061"/>
  <c r="W46" i="1061"/>
  <c r="V46" i="1061"/>
  <c r="U46" i="1061"/>
  <c r="T46" i="1061"/>
  <c r="AE45" i="1061"/>
  <c r="AD45" i="1061"/>
  <c r="AC45" i="1061"/>
  <c r="AB45" i="1061"/>
  <c r="AA45" i="1061"/>
  <c r="Z45" i="1061"/>
  <c r="Y45" i="1061"/>
  <c r="X45" i="1061"/>
  <c r="W45" i="1061"/>
  <c r="V45" i="1061"/>
  <c r="U45" i="1061"/>
  <c r="T45" i="1061"/>
  <c r="AE44" i="1061"/>
  <c r="AD44" i="1061"/>
  <c r="AD86" i="1061" s="1"/>
  <c r="AB44" i="1061"/>
  <c r="AB86" i="1061" s="1"/>
  <c r="AA44" i="1061"/>
  <c r="AA86" i="1061" s="1"/>
  <c r="Z44" i="1061"/>
  <c r="Z86" i="1061" s="1"/>
  <c r="Y44" i="1061"/>
  <c r="Y86" i="1061" s="1"/>
  <c r="X44" i="1061"/>
  <c r="W44" i="1061"/>
  <c r="V44" i="1061"/>
  <c r="U44" i="1061"/>
  <c r="U86" i="1061" s="1"/>
  <c r="AF43" i="1061"/>
  <c r="AE43" i="1061"/>
  <c r="AD43" i="1061"/>
  <c r="AC43" i="1061"/>
  <c r="AB43" i="1061"/>
  <c r="AA43" i="1061"/>
  <c r="Z43" i="1061"/>
  <c r="Y43" i="1061"/>
  <c r="X43" i="1061"/>
  <c r="W43" i="1061"/>
  <c r="V43" i="1061"/>
  <c r="U43" i="1061"/>
  <c r="T43" i="1061"/>
  <c r="AE42" i="1061"/>
  <c r="AD42" i="1061"/>
  <c r="AC42" i="1061"/>
  <c r="AB42" i="1061"/>
  <c r="AA42" i="1061"/>
  <c r="Z42" i="1061"/>
  <c r="Y42" i="1061"/>
  <c r="X42" i="1061"/>
  <c r="W42" i="1061"/>
  <c r="V42" i="1061"/>
  <c r="U42" i="1061"/>
  <c r="T42" i="1061"/>
  <c r="AE41" i="1061"/>
  <c r="AE84" i="1061" s="1"/>
  <c r="AD41" i="1061"/>
  <c r="AD84" i="1061" s="1"/>
  <c r="AC41" i="1061"/>
  <c r="AC84" i="1061" s="1"/>
  <c r="AB41" i="1061"/>
  <c r="AB84" i="1061" s="1"/>
  <c r="AA41" i="1061"/>
  <c r="AA84" i="1061" s="1"/>
  <c r="Z41" i="1061"/>
  <c r="Y41" i="1061"/>
  <c r="X41" i="1061"/>
  <c r="X84" i="1061" s="1"/>
  <c r="W41" i="1061"/>
  <c r="W84" i="1061" s="1"/>
  <c r="V41" i="1061"/>
  <c r="V84" i="1061" s="1"/>
  <c r="U41" i="1061"/>
  <c r="U84" i="1061" s="1"/>
  <c r="T41" i="1061"/>
  <c r="T84" i="1061" s="1"/>
  <c r="T104" i="1061" s="1"/>
  <c r="AE40" i="1061"/>
  <c r="AD40" i="1061"/>
  <c r="AC40" i="1061"/>
  <c r="AB40" i="1061"/>
  <c r="AB83" i="1061" s="1"/>
  <c r="AA40" i="1061"/>
  <c r="Z40" i="1061"/>
  <c r="Y40" i="1061"/>
  <c r="X40" i="1061"/>
  <c r="W40" i="1061"/>
  <c r="V40" i="1061"/>
  <c r="V83" i="1061" s="1"/>
  <c r="U40" i="1061"/>
  <c r="T40" i="1061"/>
  <c r="AE39" i="1061"/>
  <c r="AD39" i="1061"/>
  <c r="AC39" i="1061"/>
  <c r="AB39" i="1061"/>
  <c r="AA39" i="1061"/>
  <c r="Z39" i="1061"/>
  <c r="Y39" i="1061"/>
  <c r="Y82" i="1061" s="1"/>
  <c r="X39" i="1061"/>
  <c r="X82" i="1061" s="1"/>
  <c r="W39" i="1061"/>
  <c r="V39" i="1061"/>
  <c r="U39" i="1061"/>
  <c r="U197" i="1061" s="1"/>
  <c r="T39" i="1061"/>
  <c r="AE38" i="1061"/>
  <c r="AD38" i="1061"/>
  <c r="AC38" i="1061"/>
  <c r="AC81" i="1061" s="1"/>
  <c r="AB38" i="1061"/>
  <c r="AA38" i="1061"/>
  <c r="Z38" i="1061"/>
  <c r="Y38" i="1061"/>
  <c r="Y81" i="1061" s="1"/>
  <c r="X38" i="1061"/>
  <c r="W38" i="1061"/>
  <c r="W81" i="1061" s="1"/>
  <c r="V38" i="1061"/>
  <c r="U38" i="1061"/>
  <c r="T38" i="1061"/>
  <c r="AE37" i="1061"/>
  <c r="AE79" i="1061" s="1"/>
  <c r="AD37" i="1061"/>
  <c r="AC37" i="1061"/>
  <c r="AC79" i="1061" s="1"/>
  <c r="AB37" i="1061"/>
  <c r="AB79" i="1061" s="1"/>
  <c r="AA37" i="1061"/>
  <c r="AA79" i="1061" s="1"/>
  <c r="Z37" i="1061"/>
  <c r="Y37" i="1061"/>
  <c r="X37" i="1061"/>
  <c r="X79" i="1061" s="1"/>
  <c r="W37" i="1061"/>
  <c r="W79" i="1061" s="1"/>
  <c r="V37" i="1061"/>
  <c r="U37" i="1061"/>
  <c r="U79" i="1061" s="1"/>
  <c r="T37" i="1061"/>
  <c r="T79" i="1061" s="1"/>
  <c r="AE36" i="1061"/>
  <c r="AD36" i="1061"/>
  <c r="AC36" i="1061"/>
  <c r="AC78" i="1061" s="1"/>
  <c r="AB36" i="1061"/>
  <c r="AB78" i="1061" s="1"/>
  <c r="AA36" i="1061"/>
  <c r="Z36" i="1061"/>
  <c r="Y36" i="1061"/>
  <c r="X36" i="1061"/>
  <c r="W36" i="1061"/>
  <c r="W195" i="1061" s="1"/>
  <c r="V36" i="1061"/>
  <c r="U36" i="1061"/>
  <c r="T36" i="1061"/>
  <c r="AE35" i="1061"/>
  <c r="AD35" i="1061"/>
  <c r="AC35" i="1061"/>
  <c r="AB35" i="1061"/>
  <c r="AB194" i="1061" s="1"/>
  <c r="AA35" i="1061"/>
  <c r="Z35" i="1061"/>
  <c r="Y35" i="1061"/>
  <c r="X35" i="1061"/>
  <c r="W35" i="1061"/>
  <c r="W80" i="1061" s="1"/>
  <c r="V35" i="1061"/>
  <c r="U35" i="1061"/>
  <c r="T35" i="1061"/>
  <c r="AE34" i="1061"/>
  <c r="AD34" i="1061"/>
  <c r="AC34" i="1061"/>
  <c r="AC191" i="1061" s="1"/>
  <c r="AB34" i="1061"/>
  <c r="AB191" i="1061" s="1"/>
  <c r="AA34" i="1061"/>
  <c r="Z34" i="1061"/>
  <c r="Y34" i="1061"/>
  <c r="Y191" i="1061" s="1"/>
  <c r="X34" i="1061"/>
  <c r="W34" i="1061"/>
  <c r="V34" i="1061"/>
  <c r="U34" i="1061"/>
  <c r="U191" i="1061" s="1"/>
  <c r="T34" i="1061"/>
  <c r="T191" i="1061" s="1"/>
  <c r="AE33" i="1061"/>
  <c r="AD33" i="1061"/>
  <c r="AC33" i="1061"/>
  <c r="AC76" i="1061" s="1"/>
  <c r="AB33" i="1061"/>
  <c r="AB76" i="1061" s="1"/>
  <c r="AA33" i="1061"/>
  <c r="AA76" i="1061" s="1"/>
  <c r="Z33" i="1061"/>
  <c r="Z76" i="1061" s="1"/>
  <c r="Y33" i="1061"/>
  <c r="Y76" i="1061" s="1"/>
  <c r="X33" i="1061"/>
  <c r="X76" i="1061" s="1"/>
  <c r="W33" i="1061"/>
  <c r="V33" i="1061"/>
  <c r="U33" i="1061"/>
  <c r="U76" i="1061" s="1"/>
  <c r="T33" i="1061"/>
  <c r="T76" i="1061" s="1"/>
  <c r="AE32" i="1061"/>
  <c r="AE189" i="1061" s="1"/>
  <c r="AD32" i="1061"/>
  <c r="AD189" i="1061" s="1"/>
  <c r="AC32" i="1061"/>
  <c r="AB32" i="1061"/>
  <c r="AB189" i="1061" s="1"/>
  <c r="AA32" i="1061"/>
  <c r="AA189" i="1061" s="1"/>
  <c r="Z32" i="1061"/>
  <c r="Y32" i="1061"/>
  <c r="X32" i="1061"/>
  <c r="X189" i="1061" s="1"/>
  <c r="W32" i="1061"/>
  <c r="W189" i="1061" s="1"/>
  <c r="V32" i="1061"/>
  <c r="V189" i="1061" s="1"/>
  <c r="U32" i="1061"/>
  <c r="T32" i="1061"/>
  <c r="T75" i="1061" s="1"/>
  <c r="AE31" i="1061"/>
  <c r="AD31" i="1061"/>
  <c r="AC31" i="1061"/>
  <c r="AB31" i="1061"/>
  <c r="AB188" i="1061" s="1"/>
  <c r="AA31" i="1061"/>
  <c r="AA188" i="1061" s="1"/>
  <c r="Z31" i="1061"/>
  <c r="Z188" i="1061" s="1"/>
  <c r="Y31" i="1061"/>
  <c r="Y188" i="1061" s="1"/>
  <c r="X31" i="1061"/>
  <c r="X74" i="1061" s="1"/>
  <c r="W31" i="1061"/>
  <c r="V31" i="1061"/>
  <c r="U31" i="1061"/>
  <c r="T31" i="1061"/>
  <c r="T188" i="1061" s="1"/>
  <c r="AA30" i="1061"/>
  <c r="Z30" i="1061"/>
  <c r="Y30" i="1061"/>
  <c r="T30" i="1061"/>
  <c r="N30" i="1061"/>
  <c r="O30" i="1061" s="1"/>
  <c r="P30" i="1061" s="1"/>
  <c r="AC30" i="1061" s="1"/>
  <c r="M30" i="1061"/>
  <c r="H30" i="1061"/>
  <c r="U30" i="1061" s="1"/>
  <c r="E30" i="1061"/>
  <c r="D30" i="1061"/>
  <c r="B30" i="1061"/>
  <c r="B31" i="1061" s="1"/>
  <c r="B32" i="1061" s="1"/>
  <c r="B33" i="1061" s="1"/>
  <c r="B34" i="1061" s="1"/>
  <c r="B35" i="1061" s="1"/>
  <c r="B36" i="1061" s="1"/>
  <c r="B37" i="1061" s="1"/>
  <c r="B38" i="1061" s="1"/>
  <c r="B39" i="1061" s="1"/>
  <c r="B40" i="1061" s="1"/>
  <c r="B41" i="1061" s="1"/>
  <c r="B42" i="1061" s="1"/>
  <c r="B43" i="1061" s="1"/>
  <c r="B44" i="1061" s="1"/>
  <c r="B45" i="1061" s="1"/>
  <c r="B46" i="1061" s="1"/>
  <c r="B47" i="1061" s="1"/>
  <c r="B48" i="1061" s="1"/>
  <c r="B49" i="1061" s="1"/>
  <c r="B50" i="1061" s="1"/>
  <c r="B51" i="1061" s="1"/>
  <c r="B52" i="1061" s="1"/>
  <c r="B53" i="1061" s="1"/>
  <c r="B54" i="1061" s="1"/>
  <c r="AA29" i="1061"/>
  <c r="AA228" i="1061" s="1"/>
  <c r="Z29" i="1061"/>
  <c r="Z228" i="1061" s="1"/>
  <c r="Y29" i="1061"/>
  <c r="Y228" i="1061" s="1"/>
  <c r="U29" i="1061"/>
  <c r="U228" i="1061" s="1"/>
  <c r="T29" i="1061"/>
  <c r="T228" i="1061" s="1"/>
  <c r="O29" i="1061"/>
  <c r="N29" i="1061"/>
  <c r="N228" i="1061" s="1"/>
  <c r="M29" i="1061"/>
  <c r="M228" i="1061" s="1"/>
  <c r="J29" i="1061"/>
  <c r="I29" i="1061"/>
  <c r="H29" i="1061"/>
  <c r="H228" i="1061" s="1"/>
  <c r="B29" i="1061"/>
  <c r="AE28" i="1061"/>
  <c r="AD28" i="1061"/>
  <c r="AC28" i="1061"/>
  <c r="AB28" i="1061"/>
  <c r="AA28" i="1061"/>
  <c r="Z28" i="1061"/>
  <c r="Y28" i="1061"/>
  <c r="X28" i="1061"/>
  <c r="W28" i="1061"/>
  <c r="V28" i="1061"/>
  <c r="U28" i="1061"/>
  <c r="T28" i="1061"/>
  <c r="AE27" i="1061"/>
  <c r="AE73" i="1061" s="1"/>
  <c r="AD27" i="1061"/>
  <c r="AD73" i="1061" s="1"/>
  <c r="AC27" i="1061"/>
  <c r="AB27" i="1061"/>
  <c r="AA27" i="1061"/>
  <c r="AA73" i="1061" s="1"/>
  <c r="Z27" i="1061"/>
  <c r="Z73" i="1061" s="1"/>
  <c r="Y27" i="1061"/>
  <c r="X27" i="1061"/>
  <c r="X73" i="1061" s="1"/>
  <c r="W27" i="1061"/>
  <c r="W73" i="1061" s="1"/>
  <c r="V27" i="1061"/>
  <c r="V73" i="1061" s="1"/>
  <c r="U27" i="1061"/>
  <c r="T27" i="1061"/>
  <c r="AE26" i="1061"/>
  <c r="AE72" i="1061" s="1"/>
  <c r="AD26" i="1061"/>
  <c r="AC26" i="1061"/>
  <c r="AC72" i="1061" s="1"/>
  <c r="AB26" i="1061"/>
  <c r="AB72" i="1061" s="1"/>
  <c r="AA26" i="1061"/>
  <c r="AA72" i="1061" s="1"/>
  <c r="Z26" i="1061"/>
  <c r="Z72" i="1061" s="1"/>
  <c r="Y26" i="1061"/>
  <c r="Y72" i="1061" s="1"/>
  <c r="X26" i="1061"/>
  <c r="X72" i="1061" s="1"/>
  <c r="W26" i="1061"/>
  <c r="V26" i="1061"/>
  <c r="U26" i="1061"/>
  <c r="U72" i="1061" s="1"/>
  <c r="T26" i="1061"/>
  <c r="T72" i="1061" s="1"/>
  <c r="B26" i="1061"/>
  <c r="AF25" i="1061"/>
  <c r="AE25" i="1061"/>
  <c r="AD25" i="1061"/>
  <c r="AC25" i="1061"/>
  <c r="AB25" i="1061"/>
  <c r="AA25" i="1061"/>
  <c r="Z25" i="1061"/>
  <c r="Y25" i="1061"/>
  <c r="X25" i="1061"/>
  <c r="W25" i="1061"/>
  <c r="V25" i="1061"/>
  <c r="U25" i="1061"/>
  <c r="T25" i="1061"/>
  <c r="AE24" i="1061"/>
  <c r="AD24" i="1061"/>
  <c r="AC24" i="1061"/>
  <c r="Z24" i="1061"/>
  <c r="Y24" i="1061"/>
  <c r="X24" i="1061"/>
  <c r="W24" i="1061"/>
  <c r="V24" i="1061"/>
  <c r="U24" i="1061"/>
  <c r="T24" i="1061"/>
  <c r="N24" i="1061"/>
  <c r="M24" i="1061"/>
  <c r="L24" i="1061"/>
  <c r="W23" i="1061"/>
  <c r="V23" i="1061"/>
  <c r="U23" i="1061"/>
  <c r="U182" i="1061" s="1"/>
  <c r="T23" i="1061"/>
  <c r="T182" i="1061" s="1"/>
  <c r="J23" i="1061"/>
  <c r="I23" i="1061"/>
  <c r="I182" i="1061" s="1"/>
  <c r="H23" i="1061"/>
  <c r="H182" i="1061" s="1"/>
  <c r="X22" i="1061"/>
  <c r="W22" i="1061"/>
  <c r="V22" i="1061"/>
  <c r="U22" i="1061"/>
  <c r="T22" i="1061"/>
  <c r="J22" i="1061"/>
  <c r="K22" i="1061" s="1"/>
  <c r="L22" i="1061" s="1"/>
  <c r="Y22" i="1061" s="1"/>
  <c r="I22" i="1061"/>
  <c r="H22" i="1061"/>
  <c r="W21" i="1061"/>
  <c r="V21" i="1061"/>
  <c r="U21" i="1061"/>
  <c r="T21" i="1061"/>
  <c r="J21" i="1061"/>
  <c r="I21" i="1061"/>
  <c r="H21" i="1061"/>
  <c r="H178" i="1061" s="1"/>
  <c r="W20" i="1061"/>
  <c r="V20" i="1061"/>
  <c r="U20" i="1061"/>
  <c r="T20" i="1061"/>
  <c r="J20" i="1061"/>
  <c r="I20" i="1061"/>
  <c r="H20" i="1061"/>
  <c r="V19" i="1061"/>
  <c r="U19" i="1061"/>
  <c r="T19" i="1061"/>
  <c r="J19" i="1061"/>
  <c r="I19" i="1061"/>
  <c r="H19" i="1061"/>
  <c r="W18" i="1061"/>
  <c r="V18" i="1061"/>
  <c r="U18" i="1061"/>
  <c r="T18" i="1061"/>
  <c r="J18" i="1061"/>
  <c r="I18" i="1061"/>
  <c r="H18" i="1061"/>
  <c r="W17" i="1061"/>
  <c r="V17" i="1061"/>
  <c r="U17" i="1061"/>
  <c r="T17" i="1061"/>
  <c r="J17" i="1061"/>
  <c r="I17" i="1061"/>
  <c r="H17" i="1061"/>
  <c r="V16" i="1061"/>
  <c r="U16" i="1061"/>
  <c r="T16" i="1061"/>
  <c r="J16" i="1061"/>
  <c r="I16" i="1061"/>
  <c r="H16" i="1061"/>
  <c r="H173" i="1061" s="1"/>
  <c r="W15" i="1061"/>
  <c r="V15" i="1061"/>
  <c r="U15" i="1061"/>
  <c r="T15" i="1061"/>
  <c r="J15" i="1061"/>
  <c r="I15" i="1061"/>
  <c r="H15" i="1061"/>
  <c r="W14" i="1061"/>
  <c r="V14" i="1061"/>
  <c r="U14" i="1061"/>
  <c r="T14" i="1061"/>
  <c r="J14" i="1061"/>
  <c r="I14" i="1061"/>
  <c r="H14" i="1061"/>
  <c r="H171" i="1061" s="1"/>
  <c r="X13" i="1061"/>
  <c r="W13" i="1061"/>
  <c r="W56" i="1061" s="1"/>
  <c r="V13" i="1061"/>
  <c r="V56" i="1061" s="1"/>
  <c r="U13" i="1061"/>
  <c r="T13" i="1061"/>
  <c r="N13" i="1061"/>
  <c r="M13" i="1061"/>
  <c r="Z13" i="1061" s="1"/>
  <c r="J13" i="1061"/>
  <c r="K13" i="1061" s="1"/>
  <c r="L13" i="1061" s="1"/>
  <c r="Y13" i="1061" s="1"/>
  <c r="I13" i="1061"/>
  <c r="H13" i="1061"/>
  <c r="W12" i="1061"/>
  <c r="V12" i="1061"/>
  <c r="U12" i="1061"/>
  <c r="T12" i="1061"/>
  <c r="J12" i="1061"/>
  <c r="I12" i="1061"/>
  <c r="H12" i="1061"/>
  <c r="V11" i="1061"/>
  <c r="U11" i="1061"/>
  <c r="T11" i="1061"/>
  <c r="T10" i="1061" s="1"/>
  <c r="J11" i="1061"/>
  <c r="I11" i="1061"/>
  <c r="H11" i="1061"/>
  <c r="V10" i="1061"/>
  <c r="U10" i="1061"/>
  <c r="I10" i="1061"/>
  <c r="H10" i="1061"/>
  <c r="H130" i="1061" s="1" a="1"/>
  <c r="H130" i="1061" s="1"/>
  <c r="H164" i="1061" s="1"/>
  <c r="U9" i="1061"/>
  <c r="U88" i="1061" s="1"/>
  <c r="U109" i="1061" s="1"/>
  <c r="T9" i="1061"/>
  <c r="T88" i="1061" s="1"/>
  <c r="T109" i="1061" s="1"/>
  <c r="I9" i="1061"/>
  <c r="J9" i="1061" s="1"/>
  <c r="H9" i="1061"/>
  <c r="H88" i="1061" s="1" a="1"/>
  <c r="H88" i="1061" s="1"/>
  <c r="U8" i="1061"/>
  <c r="T8" i="1061"/>
  <c r="H8" i="1061"/>
  <c r="AC7" i="1061"/>
  <c r="AA7" i="1061"/>
  <c r="Z7" i="1061"/>
  <c r="U7" i="1061"/>
  <c r="T7" i="1061"/>
  <c r="R7" i="1061"/>
  <c r="AE7" i="1061" s="1"/>
  <c r="Q7" i="1061"/>
  <c r="AD7" i="1061" s="1"/>
  <c r="P7" i="1061"/>
  <c r="O7" i="1061"/>
  <c r="AB7" i="1061" s="1"/>
  <c r="N7" i="1061"/>
  <c r="M7" i="1061"/>
  <c r="L7" i="1061"/>
  <c r="Y7" i="1061" s="1"/>
  <c r="K7" i="1061"/>
  <c r="X7" i="1061" s="1"/>
  <c r="J7" i="1061"/>
  <c r="W7" i="1061" s="1"/>
  <c r="I7" i="1061"/>
  <c r="V7" i="1061" s="1"/>
  <c r="H7" i="1061"/>
  <c r="AF6" i="1061"/>
  <c r="AB6" i="1061"/>
  <c r="W6" i="1061"/>
  <c r="V6" i="1061"/>
  <c r="V58" i="1061" s="1"/>
  <c r="U6" i="1061"/>
  <c r="T6" i="1061"/>
  <c r="P6" i="1061"/>
  <c r="K6" i="1061"/>
  <c r="I6" i="1061"/>
  <c r="I166" i="1061" s="1"/>
  <c r="H6" i="1061"/>
  <c r="H77" i="1061" s="1"/>
  <c r="AB5" i="1061"/>
  <c r="AA5" i="1061"/>
  <c r="Y5" i="1061"/>
  <c r="Y124" i="1061" s="1"/>
  <c r="T5" i="1061"/>
  <c r="R5" i="1061"/>
  <c r="Q5" i="1061"/>
  <c r="AD5" i="1061" s="1"/>
  <c r="P5" i="1061"/>
  <c r="P124" i="1061" s="1"/>
  <c r="O5" i="1061"/>
  <c r="O124" i="1061" s="1"/>
  <c r="N5" i="1061"/>
  <c r="M5" i="1061"/>
  <c r="L5" i="1061"/>
  <c r="L124" i="1061" s="1"/>
  <c r="K5" i="1061"/>
  <c r="J5" i="1061"/>
  <c r="J124" i="1061" s="1"/>
  <c r="I5" i="1061"/>
  <c r="H5" i="1061"/>
  <c r="H236" i="1061" s="1"/>
  <c r="V4" i="1061"/>
  <c r="T4" i="1061"/>
  <c r="J4" i="1061"/>
  <c r="I4" i="1061"/>
  <c r="H4" i="1061"/>
  <c r="H179" i="1061" s="1"/>
  <c r="AE2" i="1061"/>
  <c r="AE52" i="1061" s="1"/>
  <c r="AD2" i="1061"/>
  <c r="AD52" i="1061" s="1"/>
  <c r="AC2" i="1061"/>
  <c r="AC52" i="1061" s="1"/>
  <c r="AB2" i="1061"/>
  <c r="AB52" i="1061" s="1"/>
  <c r="AA2" i="1061"/>
  <c r="AA52" i="1061" s="1"/>
  <c r="Z2" i="1061"/>
  <c r="Z52" i="1061" s="1"/>
  <c r="Y2" i="1061"/>
  <c r="Y52" i="1061" s="1"/>
  <c r="X2" i="1061"/>
  <c r="W2" i="1061"/>
  <c r="W52" i="1061" s="1"/>
  <c r="V2" i="1061"/>
  <c r="V52" i="1061" s="1"/>
  <c r="U2" i="1061"/>
  <c r="U52" i="1061" s="1"/>
  <c r="T2" i="1061"/>
  <c r="R2" i="1061"/>
  <c r="R52" i="1061" s="1"/>
  <c r="Q2" i="1061"/>
  <c r="Q52" i="1061" s="1"/>
  <c r="P2" i="1061"/>
  <c r="P52" i="1061" s="1"/>
  <c r="O2" i="1061"/>
  <c r="N2" i="1061"/>
  <c r="N52" i="1061" s="1"/>
  <c r="M2" i="1061"/>
  <c r="M52" i="1061" s="1"/>
  <c r="L2" i="1061"/>
  <c r="L52" i="1061" s="1"/>
  <c r="K2" i="1061"/>
  <c r="K52" i="1061" s="1"/>
  <c r="J2" i="1061"/>
  <c r="J52" i="1061" s="1"/>
  <c r="I2" i="1061"/>
  <c r="I52" i="1061" s="1"/>
  <c r="H2" i="1061"/>
  <c r="H52" i="1061" s="1"/>
  <c r="G2" i="1061"/>
  <c r="B2" i="1061"/>
  <c r="B3" i="1061" s="1"/>
  <c r="B4" i="1061" s="1"/>
  <c r="B5" i="1061" s="1"/>
  <c r="B6" i="1061" s="1"/>
  <c r="B7" i="1061" s="1"/>
  <c r="B10" i="1061" s="1"/>
  <c r="B12" i="1061" s="1"/>
  <c r="B13" i="1061" s="1"/>
  <c r="B14" i="1061" s="1"/>
  <c r="B15" i="1061" s="1"/>
  <c r="B16" i="1061" s="1"/>
  <c r="B17" i="1061" s="1"/>
  <c r="B18" i="1061" s="1"/>
  <c r="B19" i="1061" s="1"/>
  <c r="B20" i="1061" s="1"/>
  <c r="B21" i="1061" s="1"/>
  <c r="B22" i="1061" s="1"/>
  <c r="B23" i="1061" s="1"/>
  <c r="B24" i="1061" s="1"/>
  <c r="B25" i="1061" s="1"/>
  <c r="U1" i="1061"/>
  <c r="V1" i="1061" s="1"/>
  <c r="W1" i="1061" s="1"/>
  <c r="X1" i="1061" s="1"/>
  <c r="Y1" i="1061" s="1"/>
  <c r="Z1" i="1061" s="1"/>
  <c r="AA1" i="1061" s="1"/>
  <c r="AB1" i="1061" s="1"/>
  <c r="AC1" i="1061" s="1"/>
  <c r="AD1" i="1061" s="1"/>
  <c r="AE1" i="1061" s="1"/>
  <c r="H1" i="1061"/>
  <c r="I1" i="1061" s="1"/>
  <c r="J1" i="1061" s="1"/>
  <c r="K1" i="1061" s="1"/>
  <c r="L1" i="1061" s="1"/>
  <c r="M1" i="1061" s="1"/>
  <c r="N1" i="1061" s="1"/>
  <c r="O1" i="1061" s="1"/>
  <c r="P1" i="1061" s="1"/>
  <c r="Q1" i="1061" s="1"/>
  <c r="R1" i="1061" s="1"/>
  <c r="AE238" i="1060"/>
  <c r="AD238" i="1060"/>
  <c r="AC238" i="1060"/>
  <c r="AB238" i="1060"/>
  <c r="AA238" i="1060"/>
  <c r="Z238" i="1060"/>
  <c r="Y238" i="1060"/>
  <c r="X238" i="1060"/>
  <c r="W238" i="1060"/>
  <c r="V238" i="1060"/>
  <c r="U238" i="1060"/>
  <c r="T238" i="1060"/>
  <c r="S238" i="1060"/>
  <c r="R238" i="1060"/>
  <c r="Q238" i="1060"/>
  <c r="P238" i="1060"/>
  <c r="O238" i="1060"/>
  <c r="N238" i="1060"/>
  <c r="M238" i="1060"/>
  <c r="L238" i="1060"/>
  <c r="K238" i="1060"/>
  <c r="J238" i="1060"/>
  <c r="I238" i="1060"/>
  <c r="H238" i="1060"/>
  <c r="G238" i="1060"/>
  <c r="S236" i="1060"/>
  <c r="G236" i="1060"/>
  <c r="AE235" i="1060"/>
  <c r="AD235" i="1060"/>
  <c r="AC235" i="1060"/>
  <c r="AB235" i="1060"/>
  <c r="AA235" i="1060"/>
  <c r="Z235" i="1060"/>
  <c r="Y235" i="1060"/>
  <c r="X235" i="1060"/>
  <c r="W235" i="1060"/>
  <c r="V235" i="1060"/>
  <c r="U235" i="1060"/>
  <c r="T235" i="1060"/>
  <c r="S235" i="1060"/>
  <c r="R235" i="1060"/>
  <c r="Q235" i="1060"/>
  <c r="P235" i="1060"/>
  <c r="O235" i="1060"/>
  <c r="N235" i="1060"/>
  <c r="M235" i="1060"/>
  <c r="L235" i="1060"/>
  <c r="K235" i="1060"/>
  <c r="J235" i="1060"/>
  <c r="I235" i="1060"/>
  <c r="H235" i="1060"/>
  <c r="G235" i="1060"/>
  <c r="AE234" i="1060"/>
  <c r="AD234" i="1060"/>
  <c r="AC234" i="1060"/>
  <c r="AB234" i="1060"/>
  <c r="AA234" i="1060"/>
  <c r="Z234" i="1060"/>
  <c r="Y234" i="1060"/>
  <c r="X234" i="1060"/>
  <c r="W234" i="1060"/>
  <c r="V234" i="1060"/>
  <c r="U234" i="1060"/>
  <c r="T234" i="1060"/>
  <c r="S234" i="1060"/>
  <c r="R234" i="1060"/>
  <c r="Q234" i="1060"/>
  <c r="P234" i="1060"/>
  <c r="O234" i="1060"/>
  <c r="N234" i="1060"/>
  <c r="M234" i="1060"/>
  <c r="L234" i="1060"/>
  <c r="K234" i="1060"/>
  <c r="J234" i="1060"/>
  <c r="I234" i="1060"/>
  <c r="H234" i="1060"/>
  <c r="G234" i="1060"/>
  <c r="B234" i="1060"/>
  <c r="B235" i="1060" s="1"/>
  <c r="B236" i="1060" s="1"/>
  <c r="B237" i="1060" s="1"/>
  <c r="AE233" i="1060"/>
  <c r="AD233" i="1060"/>
  <c r="AC233" i="1060"/>
  <c r="AB233" i="1060"/>
  <c r="AA233" i="1060"/>
  <c r="Z233" i="1060"/>
  <c r="Y233" i="1060"/>
  <c r="X233" i="1060"/>
  <c r="W233" i="1060"/>
  <c r="V233" i="1060"/>
  <c r="U233" i="1060"/>
  <c r="T233" i="1060"/>
  <c r="S233" i="1060"/>
  <c r="R233" i="1060"/>
  <c r="Q233" i="1060"/>
  <c r="P233" i="1060"/>
  <c r="O233" i="1060"/>
  <c r="N233" i="1060"/>
  <c r="M233" i="1060"/>
  <c r="L233" i="1060"/>
  <c r="K233" i="1060"/>
  <c r="J233" i="1060"/>
  <c r="I233" i="1060"/>
  <c r="H233" i="1060"/>
  <c r="G233" i="1060"/>
  <c r="B233" i="1060"/>
  <c r="AE232" i="1060"/>
  <c r="AD232" i="1060"/>
  <c r="AC232" i="1060"/>
  <c r="AB232" i="1060"/>
  <c r="AA232" i="1060"/>
  <c r="Z232" i="1060"/>
  <c r="Y232" i="1060"/>
  <c r="X232" i="1060"/>
  <c r="W232" i="1060"/>
  <c r="V232" i="1060"/>
  <c r="U232" i="1060"/>
  <c r="T232" i="1060"/>
  <c r="S232" i="1060"/>
  <c r="R232" i="1060"/>
  <c r="Q232" i="1060"/>
  <c r="P232" i="1060"/>
  <c r="O232" i="1060"/>
  <c r="N232" i="1060"/>
  <c r="M232" i="1060"/>
  <c r="L232" i="1060"/>
  <c r="K232" i="1060"/>
  <c r="J232" i="1060"/>
  <c r="I232" i="1060"/>
  <c r="H232" i="1060"/>
  <c r="G232" i="1060"/>
  <c r="B232" i="1060"/>
  <c r="AE231" i="1060"/>
  <c r="AD231" i="1060"/>
  <c r="AC231" i="1060"/>
  <c r="AB231" i="1060"/>
  <c r="AA231" i="1060"/>
  <c r="Z231" i="1060"/>
  <c r="Y231" i="1060"/>
  <c r="X231" i="1060"/>
  <c r="W231" i="1060"/>
  <c r="V231" i="1060"/>
  <c r="U231" i="1060"/>
  <c r="T231" i="1060"/>
  <c r="S231" i="1060"/>
  <c r="R231" i="1060"/>
  <c r="Q231" i="1060"/>
  <c r="P231" i="1060"/>
  <c r="O231" i="1060"/>
  <c r="N231" i="1060"/>
  <c r="M231" i="1060"/>
  <c r="L231" i="1060"/>
  <c r="K231" i="1060"/>
  <c r="J231" i="1060"/>
  <c r="I231" i="1060"/>
  <c r="H231" i="1060"/>
  <c r="G231" i="1060"/>
  <c r="F230" i="1060"/>
  <c r="F229" i="1060"/>
  <c r="S228" i="1060"/>
  <c r="M228" i="1060"/>
  <c r="L228" i="1060"/>
  <c r="G228" i="1060"/>
  <c r="AE227" i="1060"/>
  <c r="AD227" i="1060"/>
  <c r="AC227" i="1060"/>
  <c r="AB227" i="1060"/>
  <c r="AA227" i="1060"/>
  <c r="Z227" i="1060"/>
  <c r="Y227" i="1060"/>
  <c r="X227" i="1060"/>
  <c r="W227" i="1060"/>
  <c r="V227" i="1060"/>
  <c r="U227" i="1060"/>
  <c r="T227" i="1060"/>
  <c r="S227" i="1060"/>
  <c r="R227" i="1060"/>
  <c r="Q227" i="1060"/>
  <c r="P227" i="1060"/>
  <c r="O227" i="1060"/>
  <c r="N227" i="1060"/>
  <c r="M227" i="1060"/>
  <c r="L227" i="1060"/>
  <c r="K227" i="1060"/>
  <c r="J227" i="1060"/>
  <c r="I227" i="1060"/>
  <c r="H227" i="1060"/>
  <c r="G227" i="1060"/>
  <c r="AE226" i="1060"/>
  <c r="AD226" i="1060"/>
  <c r="AC226" i="1060"/>
  <c r="AB226" i="1060"/>
  <c r="AA226" i="1060"/>
  <c r="Z226" i="1060"/>
  <c r="Y226" i="1060"/>
  <c r="X226" i="1060"/>
  <c r="W226" i="1060"/>
  <c r="V226" i="1060"/>
  <c r="U226" i="1060"/>
  <c r="T226" i="1060"/>
  <c r="S226" i="1060"/>
  <c r="R226" i="1060"/>
  <c r="Q226" i="1060"/>
  <c r="P226" i="1060"/>
  <c r="O226" i="1060"/>
  <c r="N226" i="1060"/>
  <c r="M226" i="1060"/>
  <c r="L226" i="1060"/>
  <c r="K226" i="1060"/>
  <c r="J226" i="1060"/>
  <c r="I226" i="1060"/>
  <c r="H226" i="1060"/>
  <c r="G226" i="1060"/>
  <c r="S225" i="1060"/>
  <c r="AE224" i="1060"/>
  <c r="AD224" i="1060"/>
  <c r="AC224" i="1060"/>
  <c r="AB224" i="1060"/>
  <c r="AA224" i="1060"/>
  <c r="Z224" i="1060"/>
  <c r="Y224" i="1060"/>
  <c r="X224" i="1060"/>
  <c r="W224" i="1060"/>
  <c r="V224" i="1060"/>
  <c r="U224" i="1060"/>
  <c r="T224" i="1060"/>
  <c r="S224" i="1060"/>
  <c r="R224" i="1060"/>
  <c r="Q224" i="1060"/>
  <c r="P224" i="1060"/>
  <c r="O224" i="1060"/>
  <c r="N224" i="1060"/>
  <c r="M224" i="1060"/>
  <c r="L224" i="1060"/>
  <c r="K224" i="1060"/>
  <c r="J224" i="1060"/>
  <c r="I224" i="1060"/>
  <c r="H224" i="1060"/>
  <c r="G224" i="1060"/>
  <c r="AE223" i="1060"/>
  <c r="AD223" i="1060"/>
  <c r="AC223" i="1060"/>
  <c r="AB223" i="1060"/>
  <c r="AA223" i="1060"/>
  <c r="Z223" i="1060"/>
  <c r="Y223" i="1060"/>
  <c r="X223" i="1060"/>
  <c r="W223" i="1060"/>
  <c r="V223" i="1060"/>
  <c r="U223" i="1060"/>
  <c r="T223" i="1060"/>
  <c r="S223" i="1060"/>
  <c r="R223" i="1060"/>
  <c r="Q223" i="1060"/>
  <c r="P223" i="1060"/>
  <c r="O223" i="1060"/>
  <c r="N223" i="1060"/>
  <c r="M223" i="1060"/>
  <c r="L223" i="1060"/>
  <c r="K223" i="1060"/>
  <c r="J223" i="1060"/>
  <c r="I223" i="1060"/>
  <c r="H223" i="1060"/>
  <c r="G223" i="1060"/>
  <c r="D222" i="1060"/>
  <c r="S221" i="1060"/>
  <c r="S220" i="1060"/>
  <c r="N220" i="1060"/>
  <c r="S219" i="1060"/>
  <c r="D219" i="1060"/>
  <c r="S218" i="1060"/>
  <c r="D218" i="1060"/>
  <c r="S217" i="1060"/>
  <c r="G217" i="1060"/>
  <c r="S216" i="1060"/>
  <c r="S216" i="1060" a="1"/>
  <c r="S215" i="1060"/>
  <c r="S214" i="1060"/>
  <c r="S213" i="1060"/>
  <c r="S212" i="1060"/>
  <c r="S211" i="1060"/>
  <c r="S210" i="1060"/>
  <c r="G210" i="1060"/>
  <c r="S209" i="1060"/>
  <c r="S208" i="1060"/>
  <c r="S207" i="1060"/>
  <c r="S206" i="1060"/>
  <c r="S205" i="1060"/>
  <c r="S204" i="1060"/>
  <c r="S203" i="1060"/>
  <c r="S202" i="1060"/>
  <c r="AC199" i="1060"/>
  <c r="S199" i="1060"/>
  <c r="Q199" i="1060"/>
  <c r="P199" i="1060"/>
  <c r="I199" i="1060"/>
  <c r="H199" i="1060"/>
  <c r="S198" i="1060"/>
  <c r="S197" i="1060"/>
  <c r="S196" i="1060"/>
  <c r="S195" i="1060"/>
  <c r="P195" i="1060"/>
  <c r="O195" i="1060"/>
  <c r="J195" i="1060"/>
  <c r="G195" i="1060"/>
  <c r="T194" i="1060"/>
  <c r="S194" i="1060"/>
  <c r="O194" i="1060"/>
  <c r="K194" i="1060"/>
  <c r="J194" i="1060"/>
  <c r="G194" i="1060"/>
  <c r="S193" i="1060"/>
  <c r="P193" i="1060"/>
  <c r="O193" i="1060"/>
  <c r="J193" i="1060"/>
  <c r="G193" i="1060"/>
  <c r="S192" i="1060"/>
  <c r="O192" i="1060"/>
  <c r="J192" i="1060"/>
  <c r="G192" i="1060"/>
  <c r="AE191" i="1060"/>
  <c r="AD191" i="1060"/>
  <c r="X191" i="1060"/>
  <c r="W191" i="1060"/>
  <c r="S191" i="1060"/>
  <c r="R191" i="1060"/>
  <c r="Q191" i="1060"/>
  <c r="P191" i="1060"/>
  <c r="O191" i="1060"/>
  <c r="N191" i="1060"/>
  <c r="M191" i="1060"/>
  <c r="L191" i="1060"/>
  <c r="K191" i="1060"/>
  <c r="J191" i="1060"/>
  <c r="I191" i="1060"/>
  <c r="H191" i="1060"/>
  <c r="G191" i="1060"/>
  <c r="AE190" i="1060"/>
  <c r="AD190" i="1060"/>
  <c r="AC190" i="1060"/>
  <c r="AB190" i="1060"/>
  <c r="AA190" i="1060"/>
  <c r="Z190" i="1060"/>
  <c r="Y190" i="1060"/>
  <c r="X190" i="1060"/>
  <c r="W190" i="1060"/>
  <c r="V190" i="1060"/>
  <c r="U190" i="1060"/>
  <c r="T190" i="1060"/>
  <c r="S190" i="1060"/>
  <c r="R190" i="1060"/>
  <c r="Q190" i="1060"/>
  <c r="P190" i="1060"/>
  <c r="O190" i="1060"/>
  <c r="N190" i="1060"/>
  <c r="M190" i="1060"/>
  <c r="L190" i="1060"/>
  <c r="K190" i="1060"/>
  <c r="J190" i="1060"/>
  <c r="I190" i="1060"/>
  <c r="H190" i="1060"/>
  <c r="G190" i="1060"/>
  <c r="AB189" i="1060"/>
  <c r="T189" i="1060"/>
  <c r="S189" i="1060"/>
  <c r="R189" i="1060"/>
  <c r="Q189" i="1060"/>
  <c r="P189" i="1060"/>
  <c r="O189" i="1060"/>
  <c r="N189" i="1060"/>
  <c r="M189" i="1060"/>
  <c r="L189" i="1060"/>
  <c r="K189" i="1060"/>
  <c r="J189" i="1060"/>
  <c r="I189" i="1060"/>
  <c r="H189" i="1060"/>
  <c r="G189" i="1060"/>
  <c r="AD188" i="1060"/>
  <c r="V188" i="1060"/>
  <c r="T188" i="1060"/>
  <c r="S188" i="1060"/>
  <c r="R188" i="1060"/>
  <c r="Q188" i="1060"/>
  <c r="P188" i="1060"/>
  <c r="O188" i="1060"/>
  <c r="N188" i="1060"/>
  <c r="M188" i="1060"/>
  <c r="L188" i="1060"/>
  <c r="K188" i="1060"/>
  <c r="J188" i="1060"/>
  <c r="I188" i="1060"/>
  <c r="H188" i="1060"/>
  <c r="G188" i="1060"/>
  <c r="S185" i="1060"/>
  <c r="AE183" i="1060"/>
  <c r="AD183" i="1060"/>
  <c r="AC183" i="1060"/>
  <c r="AB183" i="1060"/>
  <c r="AA183" i="1060"/>
  <c r="Z183" i="1060"/>
  <c r="Y183" i="1060"/>
  <c r="X183" i="1060"/>
  <c r="W183" i="1060"/>
  <c r="V183" i="1060"/>
  <c r="U183" i="1060"/>
  <c r="T183" i="1060"/>
  <c r="S183" i="1060"/>
  <c r="R183" i="1060"/>
  <c r="Q183" i="1060"/>
  <c r="P183" i="1060"/>
  <c r="O183" i="1060"/>
  <c r="N183" i="1060"/>
  <c r="M183" i="1060"/>
  <c r="L183" i="1060"/>
  <c r="K183" i="1060"/>
  <c r="J183" i="1060"/>
  <c r="I183" i="1060"/>
  <c r="H183" i="1060"/>
  <c r="G183" i="1060"/>
  <c r="S182" i="1060"/>
  <c r="G182" i="1060"/>
  <c r="S181" i="1060"/>
  <c r="G181" i="1060"/>
  <c r="S180" i="1060"/>
  <c r="G180" i="1060"/>
  <c r="S179" i="1060"/>
  <c r="G179" i="1060"/>
  <c r="S178" i="1060"/>
  <c r="G178" i="1060"/>
  <c r="S177" i="1060"/>
  <c r="G177" i="1060"/>
  <c r="G175" i="1060"/>
  <c r="S174" i="1060"/>
  <c r="G174" i="1060"/>
  <c r="S171" i="1060"/>
  <c r="B170" i="1060"/>
  <c r="B171" i="1060" s="1"/>
  <c r="B172" i="1060" s="1"/>
  <c r="B173" i="1060" s="1"/>
  <c r="B174" i="1060" s="1"/>
  <c r="B175" i="1060" s="1"/>
  <c r="B176" i="1060" s="1"/>
  <c r="B177" i="1060" s="1"/>
  <c r="B178" i="1060" s="1"/>
  <c r="B179" i="1060" s="1"/>
  <c r="B180" i="1060" s="1"/>
  <c r="B181" i="1060" s="1"/>
  <c r="B182" i="1060" s="1"/>
  <c r="B183" i="1060" s="1"/>
  <c r="B184" i="1060" s="1"/>
  <c r="B185" i="1060" s="1"/>
  <c r="B186" i="1060" s="1"/>
  <c r="S169" i="1060"/>
  <c r="B169" i="1060"/>
  <c r="S168" i="1060"/>
  <c r="G168" i="1060"/>
  <c r="B168" i="1060"/>
  <c r="S167" i="1060"/>
  <c r="G167" i="1060"/>
  <c r="G166" i="1060"/>
  <c r="G165" i="1060"/>
  <c r="G169" i="1060" s="1"/>
  <c r="G163" i="1060"/>
  <c r="T162" i="1060"/>
  <c r="R162" i="1060"/>
  <c r="G162" i="1060"/>
  <c r="G139" i="1060"/>
  <c r="G135" i="1060"/>
  <c r="G134" i="1060"/>
  <c r="G133" i="1060"/>
  <c r="G132" i="1060"/>
  <c r="G55" i="1060" s="1"/>
  <c r="G131" i="1060"/>
  <c r="G130" i="1060" a="1"/>
  <c r="G130" i="1060" s="1"/>
  <c r="G164" i="1060" s="1"/>
  <c r="G129" i="1060"/>
  <c r="F128" i="1060"/>
  <c r="F127" i="1060"/>
  <c r="H125" i="1060"/>
  <c r="G125" i="1060"/>
  <c r="AA124" i="1060"/>
  <c r="V124" i="1060"/>
  <c r="R124" i="1060"/>
  <c r="N124" i="1060"/>
  <c r="J124" i="1060"/>
  <c r="I124" i="1060"/>
  <c r="G124" i="1060"/>
  <c r="G123" i="1060"/>
  <c r="G121" i="1060"/>
  <c r="G111" i="1060"/>
  <c r="B111" i="1060"/>
  <c r="B112" i="1060" s="1"/>
  <c r="D224" i="1060" s="1"/>
  <c r="G108" i="1060"/>
  <c r="AE107" i="1060"/>
  <c r="W107" i="1060"/>
  <c r="R107" i="1060"/>
  <c r="N107" i="1060"/>
  <c r="J107" i="1060"/>
  <c r="B107" i="1060"/>
  <c r="S106" i="1060"/>
  <c r="AA105" i="1060"/>
  <c r="W105" i="1060"/>
  <c r="R105" i="1060"/>
  <c r="R218" i="1060" s="1"/>
  <c r="N105" i="1060"/>
  <c r="N218" i="1060" s="1"/>
  <c r="J105" i="1060"/>
  <c r="J218" i="1060" s="1"/>
  <c r="H105" i="1060"/>
  <c r="H218" i="1060" s="1"/>
  <c r="G105" i="1060"/>
  <c r="D98" i="1060"/>
  <c r="D97" i="1060"/>
  <c r="D96" i="1060"/>
  <c r="D95" i="1060"/>
  <c r="D94" i="1060"/>
  <c r="D93" i="1060"/>
  <c r="G88" i="1060" a="1"/>
  <c r="G88" i="1060" s="1"/>
  <c r="AA87" i="1060"/>
  <c r="AA199" i="1060" s="1"/>
  <c r="R87" i="1060"/>
  <c r="R199" i="1060" s="1"/>
  <c r="Q87" i="1060"/>
  <c r="P87" i="1060"/>
  <c r="O87" i="1060"/>
  <c r="O199" i="1060" s="1"/>
  <c r="N87" i="1060"/>
  <c r="N199" i="1060" s="1"/>
  <c r="M87" i="1060"/>
  <c r="M199" i="1060" s="1"/>
  <c r="L87" i="1060"/>
  <c r="L199" i="1060" s="1"/>
  <c r="K87" i="1060"/>
  <c r="K199" i="1060" s="1"/>
  <c r="J87" i="1060"/>
  <c r="J199" i="1060" s="1"/>
  <c r="I87" i="1060"/>
  <c r="H87" i="1060"/>
  <c r="G87" i="1060"/>
  <c r="AD86" i="1060"/>
  <c r="Y86" i="1060"/>
  <c r="V86" i="1060"/>
  <c r="U86" i="1060"/>
  <c r="R86" i="1060"/>
  <c r="Q86" i="1060"/>
  <c r="O86" i="1060"/>
  <c r="N86" i="1060"/>
  <c r="M86" i="1060"/>
  <c r="L86" i="1060"/>
  <c r="K86" i="1060"/>
  <c r="J86" i="1060"/>
  <c r="I86" i="1060"/>
  <c r="H86" i="1060"/>
  <c r="AE85" i="1060"/>
  <c r="AA85" i="1060"/>
  <c r="Z85" i="1060"/>
  <c r="W85" i="1060"/>
  <c r="R85" i="1060"/>
  <c r="Q85" i="1060"/>
  <c r="P85" i="1060"/>
  <c r="O85" i="1060"/>
  <c r="N85" i="1060"/>
  <c r="M85" i="1060"/>
  <c r="L85" i="1060"/>
  <c r="K85" i="1060"/>
  <c r="J85" i="1060"/>
  <c r="I85" i="1060"/>
  <c r="H85" i="1060"/>
  <c r="G85" i="1060"/>
  <c r="AE84" i="1060"/>
  <c r="Z84" i="1060"/>
  <c r="X84" i="1060"/>
  <c r="W84" i="1060"/>
  <c r="R84" i="1060"/>
  <c r="Q84" i="1060"/>
  <c r="P84" i="1060"/>
  <c r="O84" i="1060"/>
  <c r="N84" i="1060"/>
  <c r="M84" i="1060"/>
  <c r="L84" i="1060"/>
  <c r="K84" i="1060"/>
  <c r="J84" i="1060"/>
  <c r="I84" i="1060"/>
  <c r="H84" i="1060"/>
  <c r="G84" i="1060"/>
  <c r="AF83" i="1060"/>
  <c r="AC83" i="1060"/>
  <c r="AB83" i="1060"/>
  <c r="Y83" i="1060"/>
  <c r="U83" i="1060"/>
  <c r="T83" i="1060"/>
  <c r="R83" i="1060"/>
  <c r="Q83" i="1060"/>
  <c r="P83" i="1060"/>
  <c r="O83" i="1060"/>
  <c r="N83" i="1060"/>
  <c r="M83" i="1060"/>
  <c r="L83" i="1060"/>
  <c r="K83" i="1060"/>
  <c r="J83" i="1060"/>
  <c r="I83" i="1060"/>
  <c r="H83" i="1060"/>
  <c r="G83" i="1060"/>
  <c r="AD82" i="1060"/>
  <c r="AB82" i="1060"/>
  <c r="AA82" i="1060"/>
  <c r="Z82" i="1060"/>
  <c r="W82" i="1060"/>
  <c r="V82" i="1060"/>
  <c r="T82" i="1060"/>
  <c r="R82" i="1060"/>
  <c r="Q82" i="1060"/>
  <c r="P82" i="1060"/>
  <c r="O82" i="1060"/>
  <c r="N82" i="1060"/>
  <c r="M82" i="1060"/>
  <c r="L82" i="1060"/>
  <c r="K82" i="1060"/>
  <c r="J82" i="1060"/>
  <c r="I82" i="1060"/>
  <c r="H82" i="1060"/>
  <c r="G82" i="1060"/>
  <c r="AE81" i="1060"/>
  <c r="AD81" i="1060"/>
  <c r="Y81" i="1060"/>
  <c r="X81" i="1060"/>
  <c r="W81" i="1060"/>
  <c r="V81" i="1060"/>
  <c r="R81" i="1060"/>
  <c r="Q81" i="1060"/>
  <c r="P81" i="1060"/>
  <c r="O81" i="1060"/>
  <c r="N81" i="1060"/>
  <c r="M81" i="1060"/>
  <c r="AF81" i="1060" s="1"/>
  <c r="L81" i="1060"/>
  <c r="K81" i="1060"/>
  <c r="J81" i="1060"/>
  <c r="I81" i="1060"/>
  <c r="H81" i="1060"/>
  <c r="G81" i="1060"/>
  <c r="AF80" i="1060"/>
  <c r="R80" i="1060"/>
  <c r="Q80" i="1060"/>
  <c r="P80" i="1060"/>
  <c r="O80" i="1060"/>
  <c r="N80" i="1060"/>
  <c r="M80" i="1060"/>
  <c r="L80" i="1060"/>
  <c r="K80" i="1060"/>
  <c r="J80" i="1060"/>
  <c r="I80" i="1060"/>
  <c r="H80" i="1060"/>
  <c r="G80" i="1060"/>
  <c r="AB79" i="1060"/>
  <c r="AA79" i="1060"/>
  <c r="X79" i="1060"/>
  <c r="T79" i="1060"/>
  <c r="R79" i="1060"/>
  <c r="Q79" i="1060"/>
  <c r="P79" i="1060"/>
  <c r="O79" i="1060"/>
  <c r="N79" i="1060"/>
  <c r="M79" i="1060"/>
  <c r="L79" i="1060"/>
  <c r="K79" i="1060"/>
  <c r="J79" i="1060"/>
  <c r="I79" i="1060"/>
  <c r="H79" i="1060"/>
  <c r="G79" i="1060"/>
  <c r="AC78" i="1060"/>
  <c r="Y78" i="1060"/>
  <c r="X78" i="1060"/>
  <c r="U78" i="1060"/>
  <c r="R78" i="1060"/>
  <c r="Q78" i="1060"/>
  <c r="P78" i="1060"/>
  <c r="O78" i="1060"/>
  <c r="N78" i="1060"/>
  <c r="M78" i="1060"/>
  <c r="L78" i="1060"/>
  <c r="K78" i="1060"/>
  <c r="J78" i="1060"/>
  <c r="I78" i="1060"/>
  <c r="H78" i="1060"/>
  <c r="G78" i="1060"/>
  <c r="W77" i="1060"/>
  <c r="O77" i="1060"/>
  <c r="K77" i="1060"/>
  <c r="J77" i="1060"/>
  <c r="G77" i="1060"/>
  <c r="AD76" i="1060"/>
  <c r="AC76" i="1060"/>
  <c r="AB76" i="1060"/>
  <c r="X76" i="1060"/>
  <c r="V76" i="1060"/>
  <c r="T76" i="1060"/>
  <c r="R76" i="1060"/>
  <c r="Q76" i="1060"/>
  <c r="P76" i="1060"/>
  <c r="O76" i="1060"/>
  <c r="N76" i="1060"/>
  <c r="M76" i="1060"/>
  <c r="L76" i="1060"/>
  <c r="K76" i="1060"/>
  <c r="J76" i="1060"/>
  <c r="I76" i="1060"/>
  <c r="H76" i="1060"/>
  <c r="AF76" i="1060" s="1"/>
  <c r="G76" i="1060"/>
  <c r="AA75" i="1060"/>
  <c r="W75" i="1060"/>
  <c r="R75" i="1060"/>
  <c r="Q75" i="1060"/>
  <c r="P75" i="1060"/>
  <c r="O75" i="1060"/>
  <c r="N75" i="1060"/>
  <c r="M75" i="1060"/>
  <c r="L75" i="1060"/>
  <c r="K75" i="1060"/>
  <c r="J75" i="1060"/>
  <c r="I75" i="1060"/>
  <c r="H75" i="1060"/>
  <c r="G75" i="1060"/>
  <c r="AF75" i="1060" s="1"/>
  <c r="AF74" i="1060"/>
  <c r="Z74" i="1060"/>
  <c r="Y74" i="1060"/>
  <c r="X74" i="1060"/>
  <c r="R74" i="1060"/>
  <c r="Q74" i="1060"/>
  <c r="P74" i="1060"/>
  <c r="O74" i="1060"/>
  <c r="N74" i="1060"/>
  <c r="M74" i="1060"/>
  <c r="L74" i="1060"/>
  <c r="K74" i="1060"/>
  <c r="J74" i="1060"/>
  <c r="I74" i="1060"/>
  <c r="H74" i="1060"/>
  <c r="G74" i="1060"/>
  <c r="AE73" i="1060"/>
  <c r="AA73" i="1060"/>
  <c r="Z73" i="1060"/>
  <c r="W73" i="1060"/>
  <c r="R73" i="1060"/>
  <c r="Q73" i="1060"/>
  <c r="P73" i="1060"/>
  <c r="O73" i="1060"/>
  <c r="N73" i="1060"/>
  <c r="M73" i="1060"/>
  <c r="L73" i="1060"/>
  <c r="K73" i="1060"/>
  <c r="J73" i="1060"/>
  <c r="I73" i="1060"/>
  <c r="H73" i="1060"/>
  <c r="G73" i="1060"/>
  <c r="AF72" i="1060"/>
  <c r="AE72" i="1060"/>
  <c r="AE220" i="1060" s="1"/>
  <c r="AD72" i="1060"/>
  <c r="AC72" i="1060"/>
  <c r="AC220" i="1060" s="1"/>
  <c r="W72" i="1060"/>
  <c r="W220" i="1060" s="1"/>
  <c r="V72" i="1060"/>
  <c r="V107" i="1060" s="1"/>
  <c r="R72" i="1060"/>
  <c r="R220" i="1060" s="1"/>
  <c r="Q72" i="1060"/>
  <c r="Q107" i="1060" s="1"/>
  <c r="P72" i="1060"/>
  <c r="O72" i="1060"/>
  <c r="O220" i="1060" s="1"/>
  <c r="N72" i="1060"/>
  <c r="M72" i="1060"/>
  <c r="L72" i="1060"/>
  <c r="L220" i="1060" s="1"/>
  <c r="K72" i="1060"/>
  <c r="K220" i="1060" s="1"/>
  <c r="J72" i="1060"/>
  <c r="J220" i="1060" s="1"/>
  <c r="I72" i="1060"/>
  <c r="I107" i="1060" s="1"/>
  <c r="H72" i="1060"/>
  <c r="G72" i="1060"/>
  <c r="G220" i="1060" s="1"/>
  <c r="G69" i="1060"/>
  <c r="AG68" i="1060"/>
  <c r="E68" i="1060"/>
  <c r="D68" i="1060"/>
  <c r="G68" i="1060" s="1"/>
  <c r="C68" i="1060"/>
  <c r="AG67" i="1060"/>
  <c r="G67" i="1060"/>
  <c r="AG66" i="1060"/>
  <c r="G66" i="1060"/>
  <c r="G213" i="1060" s="1"/>
  <c r="AG65" i="1060"/>
  <c r="G65" i="1060"/>
  <c r="AG64" i="1060"/>
  <c r="G64" i="1060"/>
  <c r="G100" i="1060" s="1"/>
  <c r="AG63" i="1060"/>
  <c r="G63" i="1060"/>
  <c r="G211" i="1060" s="1"/>
  <c r="AG62" i="1060"/>
  <c r="G62" i="1060"/>
  <c r="G98" i="1060" s="1"/>
  <c r="E62" i="1060"/>
  <c r="D62" i="1060"/>
  <c r="S176" i="1060" s="1"/>
  <c r="C62" i="1060"/>
  <c r="AG61" i="1060"/>
  <c r="E61" i="1060"/>
  <c r="D61" i="1060"/>
  <c r="C61" i="1060"/>
  <c r="AG60" i="1060"/>
  <c r="G60" i="1060"/>
  <c r="G208" i="1060" s="1"/>
  <c r="E60" i="1060"/>
  <c r="D60" i="1060"/>
  <c r="C60" i="1060"/>
  <c r="AG59" i="1060"/>
  <c r="E59" i="1060"/>
  <c r="D59" i="1060"/>
  <c r="C59" i="1060"/>
  <c r="AG58" i="1060"/>
  <c r="G58" i="1060"/>
  <c r="G94" i="1060" s="1"/>
  <c r="E58" i="1060"/>
  <c r="D58" i="1060"/>
  <c r="G172" i="1060" s="1"/>
  <c r="C58" i="1060"/>
  <c r="AG57" i="1060"/>
  <c r="E57" i="1060"/>
  <c r="D57" i="1060"/>
  <c r="Y162" i="1060" s="1"/>
  <c r="C57" i="1060"/>
  <c r="AG56" i="1060"/>
  <c r="W56" i="1060"/>
  <c r="W204" i="1060" s="1"/>
  <c r="T56" i="1060"/>
  <c r="T204" i="1060" s="1"/>
  <c r="G56" i="1060"/>
  <c r="G204" i="1060" s="1"/>
  <c r="AG55" i="1060"/>
  <c r="AG54" i="1060"/>
  <c r="H54" i="1060"/>
  <c r="G54" i="1060"/>
  <c r="AG53" i="1060"/>
  <c r="G53" i="1060"/>
  <c r="AC52" i="1060"/>
  <c r="AA52" i="1060"/>
  <c r="L52" i="1060"/>
  <c r="J52" i="1060"/>
  <c r="I52" i="1060"/>
  <c r="A52" i="1060"/>
  <c r="U51" i="1060"/>
  <c r="T51" i="1060"/>
  <c r="K51" i="1060"/>
  <c r="J51" i="1060"/>
  <c r="W51" i="1060" s="1"/>
  <c r="H51" i="1060"/>
  <c r="I51" i="1060" s="1"/>
  <c r="V51" i="1060" s="1"/>
  <c r="U50" i="1060"/>
  <c r="T50" i="1060"/>
  <c r="J50" i="1060"/>
  <c r="H50" i="1060"/>
  <c r="I50" i="1060" s="1"/>
  <c r="V50" i="1060" s="1"/>
  <c r="U49" i="1060"/>
  <c r="T49" i="1060"/>
  <c r="J49" i="1060"/>
  <c r="H49" i="1060"/>
  <c r="I49" i="1060" s="1"/>
  <c r="V49" i="1060" s="1"/>
  <c r="AE48" i="1060"/>
  <c r="AD48" i="1060"/>
  <c r="AC48" i="1060"/>
  <c r="AC87" i="1060" s="1"/>
  <c r="AB48" i="1060"/>
  <c r="AA48" i="1060"/>
  <c r="Z48" i="1060"/>
  <c r="Y48" i="1060"/>
  <c r="X48" i="1060"/>
  <c r="W48" i="1060"/>
  <c r="V48" i="1060"/>
  <c r="U48" i="1060"/>
  <c r="T48" i="1060"/>
  <c r="AE47" i="1060"/>
  <c r="AD47" i="1060"/>
  <c r="AC47" i="1060"/>
  <c r="AB47" i="1060"/>
  <c r="AA47" i="1060"/>
  <c r="Z47" i="1060"/>
  <c r="Y47" i="1060"/>
  <c r="X47" i="1060"/>
  <c r="W47" i="1060"/>
  <c r="V47" i="1060"/>
  <c r="U47" i="1060"/>
  <c r="T47" i="1060"/>
  <c r="AE46" i="1060"/>
  <c r="AD46" i="1060"/>
  <c r="AC46" i="1060"/>
  <c r="AB46" i="1060"/>
  <c r="AA46" i="1060"/>
  <c r="Z46" i="1060"/>
  <c r="Y46" i="1060"/>
  <c r="X46" i="1060"/>
  <c r="W46" i="1060"/>
  <c r="V46" i="1060"/>
  <c r="U46" i="1060"/>
  <c r="T46" i="1060"/>
  <c r="AE45" i="1060"/>
  <c r="AD45" i="1060"/>
  <c r="AC45" i="1060"/>
  <c r="AB45" i="1060"/>
  <c r="AA45" i="1060"/>
  <c r="AA218" i="1060" s="1"/>
  <c r="Z45" i="1060"/>
  <c r="Y45" i="1060"/>
  <c r="X45" i="1060"/>
  <c r="W45" i="1060"/>
  <c r="W218" i="1060" s="1"/>
  <c r="V45" i="1060"/>
  <c r="U45" i="1060"/>
  <c r="T45" i="1060"/>
  <c r="AE44" i="1060"/>
  <c r="AE86" i="1060" s="1"/>
  <c r="AD44" i="1060"/>
  <c r="AB44" i="1060"/>
  <c r="AB86" i="1060" s="1"/>
  <c r="AA44" i="1060"/>
  <c r="AA86" i="1060" s="1"/>
  <c r="Z44" i="1060"/>
  <c r="Z86" i="1060" s="1"/>
  <c r="Y44" i="1060"/>
  <c r="X44" i="1060"/>
  <c r="X86" i="1060" s="1"/>
  <c r="W44" i="1060"/>
  <c r="W86" i="1060" s="1"/>
  <c r="V44" i="1060"/>
  <c r="U44" i="1060"/>
  <c r="AF43" i="1060"/>
  <c r="AE43" i="1060"/>
  <c r="AE87" i="1060" s="1"/>
  <c r="AE199" i="1060" s="1"/>
  <c r="AD43" i="1060"/>
  <c r="AC43" i="1060"/>
  <c r="AB43" i="1060"/>
  <c r="AA43" i="1060"/>
  <c r="Z43" i="1060"/>
  <c r="Y43" i="1060"/>
  <c r="X43" i="1060"/>
  <c r="W43" i="1060"/>
  <c r="W87" i="1060" s="1"/>
  <c r="W199" i="1060" s="1"/>
  <c r="V43" i="1060"/>
  <c r="U43" i="1060"/>
  <c r="T43" i="1060"/>
  <c r="AE42" i="1060"/>
  <c r="AD42" i="1060"/>
  <c r="AC42" i="1060"/>
  <c r="AB42" i="1060"/>
  <c r="AA42" i="1060"/>
  <c r="Z42" i="1060"/>
  <c r="Y42" i="1060"/>
  <c r="X42" i="1060"/>
  <c r="X87" i="1060" s="1"/>
  <c r="X199" i="1060" s="1"/>
  <c r="W42" i="1060"/>
  <c r="V42" i="1060"/>
  <c r="U42" i="1060"/>
  <c r="T42" i="1060"/>
  <c r="T87" i="1060" s="1"/>
  <c r="T199" i="1060" s="1"/>
  <c r="AE41" i="1060"/>
  <c r="AD41" i="1060"/>
  <c r="AD84" i="1060" s="1"/>
  <c r="AC41" i="1060"/>
  <c r="AC84" i="1060" s="1"/>
  <c r="AB41" i="1060"/>
  <c r="AB84" i="1060" s="1"/>
  <c r="AA41" i="1060"/>
  <c r="AA84" i="1060" s="1"/>
  <c r="Z41" i="1060"/>
  <c r="Y41" i="1060"/>
  <c r="Y84" i="1060" s="1"/>
  <c r="X41" i="1060"/>
  <c r="W41" i="1060"/>
  <c r="V41" i="1060"/>
  <c r="V84" i="1060" s="1"/>
  <c r="U41" i="1060"/>
  <c r="U84" i="1060" s="1"/>
  <c r="T41" i="1060"/>
  <c r="T84" i="1060" s="1"/>
  <c r="AE40" i="1060"/>
  <c r="AD40" i="1060"/>
  <c r="AC40" i="1060"/>
  <c r="AB40" i="1060"/>
  <c r="AA40" i="1060"/>
  <c r="Z40" i="1060"/>
  <c r="Y40" i="1060"/>
  <c r="X40" i="1060"/>
  <c r="W40" i="1060"/>
  <c r="V40" i="1060"/>
  <c r="U40" i="1060"/>
  <c r="T40" i="1060"/>
  <c r="AE39" i="1060"/>
  <c r="AD39" i="1060"/>
  <c r="AC39" i="1060"/>
  <c r="AB39" i="1060"/>
  <c r="AA39" i="1060"/>
  <c r="Z39" i="1060"/>
  <c r="Y39" i="1060"/>
  <c r="Y82" i="1060" s="1"/>
  <c r="X39" i="1060"/>
  <c r="W39" i="1060"/>
  <c r="V39" i="1060"/>
  <c r="U39" i="1060"/>
  <c r="T39" i="1060"/>
  <c r="AE38" i="1060"/>
  <c r="AD38" i="1060"/>
  <c r="AC38" i="1060"/>
  <c r="AB38" i="1060"/>
  <c r="AA38" i="1060"/>
  <c r="AA81" i="1060" s="1"/>
  <c r="Z38" i="1060"/>
  <c r="Y38" i="1060"/>
  <c r="X38" i="1060"/>
  <c r="W38" i="1060"/>
  <c r="V38" i="1060"/>
  <c r="U38" i="1060"/>
  <c r="T38" i="1060"/>
  <c r="AE37" i="1060"/>
  <c r="AE79" i="1060" s="1"/>
  <c r="AD37" i="1060"/>
  <c r="AD79" i="1060" s="1"/>
  <c r="AC37" i="1060"/>
  <c r="AC79" i="1060" s="1"/>
  <c r="AB37" i="1060"/>
  <c r="AA37" i="1060"/>
  <c r="Z37" i="1060"/>
  <c r="Z79" i="1060" s="1"/>
  <c r="Y37" i="1060"/>
  <c r="Y79" i="1060" s="1"/>
  <c r="X37" i="1060"/>
  <c r="W37" i="1060"/>
  <c r="W79" i="1060" s="1"/>
  <c r="V37" i="1060"/>
  <c r="V79" i="1060" s="1"/>
  <c r="U37" i="1060"/>
  <c r="U79" i="1060" s="1"/>
  <c r="T37" i="1060"/>
  <c r="AE36" i="1060"/>
  <c r="AD36" i="1060"/>
  <c r="AC36" i="1060"/>
  <c r="AC195" i="1060" s="1"/>
  <c r="AB36" i="1060"/>
  <c r="AA36" i="1060"/>
  <c r="Z36" i="1060"/>
  <c r="Z78" i="1060" s="1"/>
  <c r="Y36" i="1060"/>
  <c r="X36" i="1060"/>
  <c r="W36" i="1060"/>
  <c r="V36" i="1060"/>
  <c r="U36" i="1060"/>
  <c r="T36" i="1060"/>
  <c r="AE35" i="1060"/>
  <c r="AD35" i="1060"/>
  <c r="AC35" i="1060"/>
  <c r="AC80" i="1060" s="1"/>
  <c r="AB35" i="1060"/>
  <c r="AB80" i="1060" s="1"/>
  <c r="AA35" i="1060"/>
  <c r="Z35" i="1060"/>
  <c r="Y35" i="1060"/>
  <c r="X35" i="1060"/>
  <c r="W35" i="1060"/>
  <c r="V35" i="1060"/>
  <c r="U35" i="1060"/>
  <c r="T35" i="1060"/>
  <c r="T80" i="1060" s="1"/>
  <c r="AE34" i="1060"/>
  <c r="AD34" i="1060"/>
  <c r="AD77" i="1060" s="1"/>
  <c r="AC34" i="1060"/>
  <c r="AB34" i="1060"/>
  <c r="AA34" i="1060"/>
  <c r="AA191" i="1060" s="1"/>
  <c r="Z34" i="1060"/>
  <c r="Z191" i="1060" s="1"/>
  <c r="Y34" i="1060"/>
  <c r="X34" i="1060"/>
  <c r="W34" i="1060"/>
  <c r="V34" i="1060"/>
  <c r="U34" i="1060"/>
  <c r="T34" i="1060"/>
  <c r="AE33" i="1060"/>
  <c r="AE76" i="1060" s="1"/>
  <c r="AD33" i="1060"/>
  <c r="AC33" i="1060"/>
  <c r="AB33" i="1060"/>
  <c r="AA33" i="1060"/>
  <c r="AA76" i="1060" s="1"/>
  <c r="Z33" i="1060"/>
  <c r="Z76" i="1060" s="1"/>
  <c r="Y33" i="1060"/>
  <c r="Y76" i="1060" s="1"/>
  <c r="X33" i="1060"/>
  <c r="W33" i="1060"/>
  <c r="W76" i="1060" s="1"/>
  <c r="V33" i="1060"/>
  <c r="U33" i="1060"/>
  <c r="U76" i="1060" s="1"/>
  <c r="T33" i="1060"/>
  <c r="B33" i="1060"/>
  <c r="B34" i="1060" s="1"/>
  <c r="B35" i="1060" s="1"/>
  <c r="B36" i="1060" s="1"/>
  <c r="B37" i="1060" s="1"/>
  <c r="B38" i="1060" s="1"/>
  <c r="B39" i="1060" s="1"/>
  <c r="B40" i="1060" s="1"/>
  <c r="B41" i="1060" s="1"/>
  <c r="B42" i="1060" s="1"/>
  <c r="B43" i="1060" s="1"/>
  <c r="B44" i="1060" s="1"/>
  <c r="B45" i="1060" s="1"/>
  <c r="B46" i="1060" s="1"/>
  <c r="B47" i="1060" s="1"/>
  <c r="B48" i="1060" s="1"/>
  <c r="B49" i="1060" s="1"/>
  <c r="B50" i="1060" s="1"/>
  <c r="B51" i="1060" s="1"/>
  <c r="B52" i="1060" s="1"/>
  <c r="B53" i="1060" s="1"/>
  <c r="B54" i="1060" s="1"/>
  <c r="D168" i="1060" s="1"/>
  <c r="AE32" i="1060"/>
  <c r="AE189" i="1060" s="1"/>
  <c r="AD32" i="1060"/>
  <c r="AC32" i="1060"/>
  <c r="AC75" i="1060" s="1"/>
  <c r="AB32" i="1060"/>
  <c r="AB75" i="1060" s="1"/>
  <c r="AA32" i="1060"/>
  <c r="AA189" i="1060" s="1"/>
  <c r="Z32" i="1060"/>
  <c r="Z189" i="1060" s="1"/>
  <c r="Y32" i="1060"/>
  <c r="Y189" i="1060" s="1"/>
  <c r="X32" i="1060"/>
  <c r="W32" i="1060"/>
  <c r="W189" i="1060" s="1"/>
  <c r="V32" i="1060"/>
  <c r="U32" i="1060"/>
  <c r="U75" i="1060" s="1"/>
  <c r="T32" i="1060"/>
  <c r="T75" i="1060" s="1"/>
  <c r="AE31" i="1060"/>
  <c r="AD31" i="1060"/>
  <c r="AD74" i="1060" s="1"/>
  <c r="AC31" i="1060"/>
  <c r="AC188" i="1060" s="1"/>
  <c r="AB31" i="1060"/>
  <c r="AB74" i="1060" s="1"/>
  <c r="AA31" i="1060"/>
  <c r="Z31" i="1060"/>
  <c r="Z188" i="1060" s="1"/>
  <c r="Y31" i="1060"/>
  <c r="Y188" i="1060" s="1"/>
  <c r="X31" i="1060"/>
  <c r="X188" i="1060" s="1"/>
  <c r="W31" i="1060"/>
  <c r="V31" i="1060"/>
  <c r="V74" i="1060" s="1"/>
  <c r="U31" i="1060"/>
  <c r="U74" i="1060" s="1"/>
  <c r="T31" i="1060"/>
  <c r="T74" i="1060" s="1"/>
  <c r="B31" i="1060"/>
  <c r="B32" i="1060" s="1"/>
  <c r="Z30" i="1060"/>
  <c r="Y30" i="1060"/>
  <c r="T30" i="1060"/>
  <c r="M30" i="1060"/>
  <c r="N30" i="1060" s="1"/>
  <c r="AA30" i="1060" s="1"/>
  <c r="H30" i="1060"/>
  <c r="I30" i="1060" s="1"/>
  <c r="E30" i="1060"/>
  <c r="D30" i="1060"/>
  <c r="Y29" i="1060"/>
  <c r="Y228" i="1060" s="1"/>
  <c r="T29" i="1060"/>
  <c r="T228" i="1060" s="1"/>
  <c r="M29" i="1060"/>
  <c r="N29" i="1060" s="1"/>
  <c r="I29" i="1060"/>
  <c r="H29" i="1060"/>
  <c r="H228" i="1060" s="1"/>
  <c r="B29" i="1060"/>
  <c r="B30" i="1060" s="1"/>
  <c r="AE28" i="1060"/>
  <c r="AD28" i="1060"/>
  <c r="AC28" i="1060"/>
  <c r="AB28" i="1060"/>
  <c r="AA28" i="1060"/>
  <c r="Z28" i="1060"/>
  <c r="Y28" i="1060"/>
  <c r="X28" i="1060"/>
  <c r="W28" i="1060"/>
  <c r="V28" i="1060"/>
  <c r="U28" i="1060"/>
  <c r="T28" i="1060"/>
  <c r="AE27" i="1060"/>
  <c r="AD27" i="1060"/>
  <c r="AD73" i="1060" s="1"/>
  <c r="AC27" i="1060"/>
  <c r="AC73" i="1060" s="1"/>
  <c r="AB27" i="1060"/>
  <c r="AB73" i="1060" s="1"/>
  <c r="AA27" i="1060"/>
  <c r="Z27" i="1060"/>
  <c r="Y27" i="1060"/>
  <c r="Y73" i="1060" s="1"/>
  <c r="X27" i="1060"/>
  <c r="X73" i="1060" s="1"/>
  <c r="W27" i="1060"/>
  <c r="V27" i="1060"/>
  <c r="V73" i="1060" s="1"/>
  <c r="U27" i="1060"/>
  <c r="U73" i="1060" s="1"/>
  <c r="T27" i="1060"/>
  <c r="T73" i="1060" s="1"/>
  <c r="AE26" i="1060"/>
  <c r="AD26" i="1060"/>
  <c r="AC26" i="1060"/>
  <c r="AB26" i="1060"/>
  <c r="AB72" i="1060" s="1"/>
  <c r="AA26" i="1060"/>
  <c r="AA72" i="1060" s="1"/>
  <c r="AA220" i="1060" s="1"/>
  <c r="Z26" i="1060"/>
  <c r="Z72" i="1060" s="1"/>
  <c r="Y26" i="1060"/>
  <c r="Y72" i="1060" s="1"/>
  <c r="X26" i="1060"/>
  <c r="X72" i="1060" s="1"/>
  <c r="W26" i="1060"/>
  <c r="V26" i="1060"/>
  <c r="U26" i="1060"/>
  <c r="U72" i="1060" s="1"/>
  <c r="T26" i="1060"/>
  <c r="T72" i="1060" s="1"/>
  <c r="T220" i="1060" s="1"/>
  <c r="AF25" i="1060"/>
  <c r="AE25" i="1060"/>
  <c r="AD25" i="1060"/>
  <c r="AC25" i="1060"/>
  <c r="AB25" i="1060"/>
  <c r="AA25" i="1060"/>
  <c r="Z25" i="1060"/>
  <c r="Y25" i="1060"/>
  <c r="X25" i="1060"/>
  <c r="W25" i="1060"/>
  <c r="V25" i="1060"/>
  <c r="U25" i="1060"/>
  <c r="T25" i="1060"/>
  <c r="AE24" i="1060"/>
  <c r="AD24" i="1060"/>
  <c r="AC24" i="1060"/>
  <c r="X24" i="1060"/>
  <c r="W24" i="1060"/>
  <c r="V24" i="1060"/>
  <c r="U24" i="1060"/>
  <c r="T24" i="1060"/>
  <c r="L24" i="1060"/>
  <c r="U23" i="1060"/>
  <c r="T23" i="1060"/>
  <c r="H23" i="1060"/>
  <c r="T22" i="1060"/>
  <c r="H22" i="1060"/>
  <c r="I22" i="1060" s="1"/>
  <c r="J22" i="1060" s="1"/>
  <c r="W22" i="1060" s="1"/>
  <c r="U21" i="1060"/>
  <c r="T21" i="1060"/>
  <c r="H21" i="1060"/>
  <c r="I21" i="1060" s="1"/>
  <c r="U20" i="1060"/>
  <c r="T20" i="1060"/>
  <c r="H20" i="1060"/>
  <c r="T19" i="1060"/>
  <c r="H19" i="1060"/>
  <c r="U18" i="1060"/>
  <c r="T18" i="1060"/>
  <c r="H18" i="1060"/>
  <c r="U17" i="1060"/>
  <c r="T17" i="1060"/>
  <c r="H17" i="1060"/>
  <c r="T16" i="1060"/>
  <c r="H16" i="1060"/>
  <c r="U15" i="1060"/>
  <c r="T15" i="1060"/>
  <c r="H15" i="1060"/>
  <c r="T14" i="1060"/>
  <c r="T57" i="1060" s="1"/>
  <c r="H14" i="1060"/>
  <c r="I14" i="1060" s="1"/>
  <c r="U13" i="1060"/>
  <c r="T13" i="1060"/>
  <c r="H13" i="1060"/>
  <c r="I13" i="1060" s="1"/>
  <c r="J13" i="1060" s="1"/>
  <c r="W13" i="1060" s="1"/>
  <c r="T12" i="1060"/>
  <c r="H12" i="1060"/>
  <c r="U12" i="1060" s="1"/>
  <c r="T11" i="1060"/>
  <c r="T10" i="1060" s="1"/>
  <c r="T125" i="1060" s="1"/>
  <c r="H11" i="1060"/>
  <c r="H10" i="1060"/>
  <c r="U9" i="1060"/>
  <c r="U88" i="1060" s="1"/>
  <c r="U109" i="1060" s="1"/>
  <c r="T9" i="1060"/>
  <c r="T88" i="1060" s="1"/>
  <c r="H9" i="1060"/>
  <c r="V8" i="1060"/>
  <c r="U8" i="1060"/>
  <c r="T8" i="1060"/>
  <c r="I8" i="1060"/>
  <c r="H8" i="1060"/>
  <c r="AC7" i="1060"/>
  <c r="AB7" i="1060"/>
  <c r="AA7" i="1060"/>
  <c r="U7" i="1060"/>
  <c r="T7" i="1060"/>
  <c r="R7" i="1060"/>
  <c r="AE7" i="1060" s="1"/>
  <c r="Q7" i="1060"/>
  <c r="AD7" i="1060" s="1"/>
  <c r="P7" i="1060"/>
  <c r="O7" i="1060"/>
  <c r="N7" i="1060"/>
  <c r="M7" i="1060"/>
  <c r="Z7" i="1060" s="1"/>
  <c r="L7" i="1060"/>
  <c r="Y7" i="1060" s="1"/>
  <c r="K7" i="1060"/>
  <c r="X7" i="1060" s="1"/>
  <c r="J7" i="1060"/>
  <c r="W7" i="1060" s="1"/>
  <c r="I7" i="1060"/>
  <c r="V7" i="1060" s="1"/>
  <c r="H7" i="1060"/>
  <c r="AF6" i="1060"/>
  <c r="AD6" i="1060"/>
  <c r="AC6" i="1060"/>
  <c r="AB6" i="1060"/>
  <c r="X6" i="1060"/>
  <c r="X195" i="1060" s="1"/>
  <c r="W6" i="1060"/>
  <c r="T6" i="1060"/>
  <c r="T67" i="1060" s="1"/>
  <c r="R6" i="1060"/>
  <c r="Q6" i="1060"/>
  <c r="P6" i="1060"/>
  <c r="P77" i="1060" s="1"/>
  <c r="L6" i="1060"/>
  <c r="L194" i="1060" s="1"/>
  <c r="K6" i="1060"/>
  <c r="K192" i="1060" s="1"/>
  <c r="H6" i="1060"/>
  <c r="AD5" i="1060"/>
  <c r="AC5" i="1060"/>
  <c r="AA5" i="1060"/>
  <c r="Z5" i="1060"/>
  <c r="Z124" i="1060" s="1"/>
  <c r="V5" i="1060"/>
  <c r="U5" i="1060"/>
  <c r="T5" i="1060"/>
  <c r="R5" i="1060"/>
  <c r="AE5" i="1060" s="1"/>
  <c r="AE124" i="1060" s="1"/>
  <c r="Q5" i="1060"/>
  <c r="P5" i="1060"/>
  <c r="O5" i="1060"/>
  <c r="N5" i="1060"/>
  <c r="M5" i="1060"/>
  <c r="L5" i="1060"/>
  <c r="K5" i="1060"/>
  <c r="J5" i="1060"/>
  <c r="W5" i="1060" s="1"/>
  <c r="I5" i="1060"/>
  <c r="H5" i="1060"/>
  <c r="T4" i="1060"/>
  <c r="H4" i="1060"/>
  <c r="AE2" i="1060"/>
  <c r="AE52" i="1060" s="1"/>
  <c r="AD2" i="1060"/>
  <c r="AD52" i="1060" s="1"/>
  <c r="AC2" i="1060"/>
  <c r="AB2" i="1060"/>
  <c r="AB52" i="1060" s="1"/>
  <c r="AA2" i="1060"/>
  <c r="Z2" i="1060"/>
  <c r="Z52" i="1060" s="1"/>
  <c r="Y2" i="1060"/>
  <c r="Y52" i="1060" s="1"/>
  <c r="X2" i="1060"/>
  <c r="X52" i="1060" s="1"/>
  <c r="W2" i="1060"/>
  <c r="W52" i="1060" s="1"/>
  <c r="V2" i="1060"/>
  <c r="V52" i="1060" s="1"/>
  <c r="U2" i="1060"/>
  <c r="U52" i="1060" s="1"/>
  <c r="T2" i="1060"/>
  <c r="T52" i="1060" s="1"/>
  <c r="R2" i="1060"/>
  <c r="R52" i="1060" s="1"/>
  <c r="Q2" i="1060"/>
  <c r="Q52" i="1060" s="1"/>
  <c r="P2" i="1060"/>
  <c r="P52" i="1060" s="1"/>
  <c r="O2" i="1060"/>
  <c r="O52" i="1060" s="1"/>
  <c r="N2" i="1060"/>
  <c r="N52" i="1060" s="1"/>
  <c r="M2" i="1060"/>
  <c r="M52" i="1060" s="1"/>
  <c r="L2" i="1060"/>
  <c r="K2" i="1060"/>
  <c r="K52" i="1060" s="1"/>
  <c r="J2" i="1060"/>
  <c r="I2" i="1060"/>
  <c r="H2" i="1060"/>
  <c r="H52" i="1060" s="1"/>
  <c r="G2" i="1060"/>
  <c r="G52" i="1060" s="1"/>
  <c r="B2" i="1060"/>
  <c r="B3" i="1060" s="1"/>
  <c r="B4" i="1060" s="1"/>
  <c r="B5" i="1060" s="1"/>
  <c r="B6" i="1060" s="1"/>
  <c r="B7" i="1060" s="1"/>
  <c r="B10" i="1060" s="1"/>
  <c r="B12" i="1060" s="1"/>
  <c r="B13" i="1060" s="1"/>
  <c r="B14" i="1060" s="1"/>
  <c r="B15" i="1060" s="1"/>
  <c r="B16" i="1060" s="1"/>
  <c r="B17" i="1060" s="1"/>
  <c r="B18" i="1060" s="1"/>
  <c r="B19" i="1060" s="1"/>
  <c r="B20" i="1060" s="1"/>
  <c r="B21" i="1060" s="1"/>
  <c r="B22" i="1060" s="1"/>
  <c r="B23" i="1060" s="1"/>
  <c r="B24" i="1060" s="1"/>
  <c r="B25" i="1060" s="1"/>
  <c r="B26" i="1060" s="1"/>
  <c r="V1" i="1060"/>
  <c r="W1" i="1060" s="1"/>
  <c r="X1" i="1060" s="1"/>
  <c r="Y1" i="1060" s="1"/>
  <c r="Z1" i="1060" s="1"/>
  <c r="AA1" i="1060" s="1"/>
  <c r="AB1" i="1060" s="1"/>
  <c r="AC1" i="1060" s="1"/>
  <c r="AD1" i="1060" s="1"/>
  <c r="AE1" i="1060" s="1"/>
  <c r="U1" i="1060"/>
  <c r="H1" i="1060"/>
  <c r="I1" i="1060" s="1"/>
  <c r="J1" i="1060" s="1"/>
  <c r="K1" i="1060" s="1"/>
  <c r="L1" i="1060" s="1"/>
  <c r="M1" i="1060" s="1"/>
  <c r="N1" i="1060" s="1"/>
  <c r="O1" i="1060" s="1"/>
  <c r="P1" i="1060" s="1"/>
  <c r="Q1" i="1060" s="1"/>
  <c r="R1" i="1060" s="1"/>
  <c r="AE238" i="1059"/>
  <c r="AD238" i="1059"/>
  <c r="AC238" i="1059"/>
  <c r="AB238" i="1059"/>
  <c r="AA238" i="1059"/>
  <c r="Z238" i="1059"/>
  <c r="Y238" i="1059"/>
  <c r="X238" i="1059"/>
  <c r="W238" i="1059"/>
  <c r="V238" i="1059"/>
  <c r="U238" i="1059"/>
  <c r="T238" i="1059"/>
  <c r="S238" i="1059"/>
  <c r="R238" i="1059"/>
  <c r="Q238" i="1059"/>
  <c r="P238" i="1059"/>
  <c r="O238" i="1059"/>
  <c r="N238" i="1059"/>
  <c r="M238" i="1059"/>
  <c r="L238" i="1059"/>
  <c r="K238" i="1059"/>
  <c r="J238" i="1059"/>
  <c r="I238" i="1059"/>
  <c r="H238" i="1059"/>
  <c r="G238" i="1059"/>
  <c r="S236" i="1059"/>
  <c r="G236" i="1059"/>
  <c r="AE235" i="1059"/>
  <c r="AD235" i="1059"/>
  <c r="AC235" i="1059"/>
  <c r="AB235" i="1059"/>
  <c r="AA235" i="1059"/>
  <c r="Z235" i="1059"/>
  <c r="Y235" i="1059"/>
  <c r="X235" i="1059"/>
  <c r="W235" i="1059"/>
  <c r="V235" i="1059"/>
  <c r="U235" i="1059"/>
  <c r="T235" i="1059"/>
  <c r="S235" i="1059"/>
  <c r="R235" i="1059"/>
  <c r="Q235" i="1059"/>
  <c r="P235" i="1059"/>
  <c r="O235" i="1059"/>
  <c r="N235" i="1059"/>
  <c r="M235" i="1059"/>
  <c r="L235" i="1059"/>
  <c r="K235" i="1059"/>
  <c r="J235" i="1059"/>
  <c r="I235" i="1059"/>
  <c r="H235" i="1059"/>
  <c r="G235" i="1059"/>
  <c r="B235" i="1059"/>
  <c r="B236" i="1059" s="1"/>
  <c r="B237" i="1059" s="1"/>
  <c r="AE234" i="1059"/>
  <c r="AD234" i="1059"/>
  <c r="AC234" i="1059"/>
  <c r="AB234" i="1059"/>
  <c r="AA234" i="1059"/>
  <c r="Z234" i="1059"/>
  <c r="Y234" i="1059"/>
  <c r="X234" i="1059"/>
  <c r="W234" i="1059"/>
  <c r="V234" i="1059"/>
  <c r="U234" i="1059"/>
  <c r="T234" i="1059"/>
  <c r="S234" i="1059"/>
  <c r="R234" i="1059"/>
  <c r="Q234" i="1059"/>
  <c r="P234" i="1059"/>
  <c r="O234" i="1059"/>
  <c r="N234" i="1059"/>
  <c r="M234" i="1059"/>
  <c r="L234" i="1059"/>
  <c r="K234" i="1059"/>
  <c r="J234" i="1059"/>
  <c r="I234" i="1059"/>
  <c r="H234" i="1059"/>
  <c r="G234" i="1059"/>
  <c r="AE233" i="1059"/>
  <c r="AD233" i="1059"/>
  <c r="AC233" i="1059"/>
  <c r="AB233" i="1059"/>
  <c r="AA233" i="1059"/>
  <c r="Z233" i="1059"/>
  <c r="Y233" i="1059"/>
  <c r="X233" i="1059"/>
  <c r="W233" i="1059"/>
  <c r="V233" i="1059"/>
  <c r="U233" i="1059"/>
  <c r="T233" i="1059"/>
  <c r="S233" i="1059"/>
  <c r="R233" i="1059"/>
  <c r="Q233" i="1059"/>
  <c r="P233" i="1059"/>
  <c r="O233" i="1059"/>
  <c r="N233" i="1059"/>
  <c r="M233" i="1059"/>
  <c r="L233" i="1059"/>
  <c r="K233" i="1059"/>
  <c r="J233" i="1059"/>
  <c r="I233" i="1059"/>
  <c r="H233" i="1059"/>
  <c r="G233" i="1059"/>
  <c r="B233" i="1059"/>
  <c r="B234" i="1059" s="1"/>
  <c r="AE232" i="1059"/>
  <c r="AD232" i="1059"/>
  <c r="AC232" i="1059"/>
  <c r="AB232" i="1059"/>
  <c r="AA232" i="1059"/>
  <c r="Z232" i="1059"/>
  <c r="Y232" i="1059"/>
  <c r="X232" i="1059"/>
  <c r="W232" i="1059"/>
  <c r="V232" i="1059"/>
  <c r="U232" i="1059"/>
  <c r="T232" i="1059"/>
  <c r="S232" i="1059"/>
  <c r="R232" i="1059"/>
  <c r="Q232" i="1059"/>
  <c r="P232" i="1059"/>
  <c r="O232" i="1059"/>
  <c r="N232" i="1059"/>
  <c r="M232" i="1059"/>
  <c r="L232" i="1059"/>
  <c r="K232" i="1059"/>
  <c r="J232" i="1059"/>
  <c r="I232" i="1059"/>
  <c r="H232" i="1059"/>
  <c r="G232" i="1059"/>
  <c r="B232" i="1059"/>
  <c r="AE231" i="1059"/>
  <c r="AD231" i="1059"/>
  <c r="AC231" i="1059"/>
  <c r="AB231" i="1059"/>
  <c r="AA231" i="1059"/>
  <c r="Z231" i="1059"/>
  <c r="Y231" i="1059"/>
  <c r="X231" i="1059"/>
  <c r="W231" i="1059"/>
  <c r="V231" i="1059"/>
  <c r="U231" i="1059"/>
  <c r="T231" i="1059"/>
  <c r="S231" i="1059"/>
  <c r="R231" i="1059"/>
  <c r="Q231" i="1059"/>
  <c r="P231" i="1059"/>
  <c r="O231" i="1059"/>
  <c r="N231" i="1059"/>
  <c r="M231" i="1059"/>
  <c r="L231" i="1059"/>
  <c r="K231" i="1059"/>
  <c r="J231" i="1059"/>
  <c r="I231" i="1059"/>
  <c r="H231" i="1059"/>
  <c r="G231" i="1059"/>
  <c r="F230" i="1059"/>
  <c r="F229" i="1059"/>
  <c r="S228" i="1059"/>
  <c r="L228" i="1059"/>
  <c r="G228" i="1059"/>
  <c r="AE227" i="1059"/>
  <c r="AD227" i="1059"/>
  <c r="AC227" i="1059"/>
  <c r="AB227" i="1059"/>
  <c r="AA227" i="1059"/>
  <c r="Z227" i="1059"/>
  <c r="Y227" i="1059"/>
  <c r="X227" i="1059"/>
  <c r="W227" i="1059"/>
  <c r="V227" i="1059"/>
  <c r="U227" i="1059"/>
  <c r="T227" i="1059"/>
  <c r="S227" i="1059"/>
  <c r="R227" i="1059"/>
  <c r="Q227" i="1059"/>
  <c r="P227" i="1059"/>
  <c r="O227" i="1059"/>
  <c r="N227" i="1059"/>
  <c r="M227" i="1059"/>
  <c r="L227" i="1059"/>
  <c r="K227" i="1059"/>
  <c r="J227" i="1059"/>
  <c r="I227" i="1059"/>
  <c r="H227" i="1059"/>
  <c r="G227" i="1059"/>
  <c r="AE226" i="1059"/>
  <c r="AD226" i="1059"/>
  <c r="AC226" i="1059"/>
  <c r="AB226" i="1059"/>
  <c r="AA226" i="1059"/>
  <c r="Z226" i="1059"/>
  <c r="Y226" i="1059"/>
  <c r="X226" i="1059"/>
  <c r="W226" i="1059"/>
  <c r="V226" i="1059"/>
  <c r="U226" i="1059"/>
  <c r="T226" i="1059"/>
  <c r="S226" i="1059"/>
  <c r="R226" i="1059"/>
  <c r="Q226" i="1059"/>
  <c r="P226" i="1059"/>
  <c r="O226" i="1059"/>
  <c r="N226" i="1059"/>
  <c r="M226" i="1059"/>
  <c r="L226" i="1059"/>
  <c r="K226" i="1059"/>
  <c r="J226" i="1059"/>
  <c r="I226" i="1059"/>
  <c r="H226" i="1059"/>
  <c r="G226" i="1059"/>
  <c r="S225" i="1059"/>
  <c r="AE224" i="1059"/>
  <c r="AD224" i="1059"/>
  <c r="AC224" i="1059"/>
  <c r="AB224" i="1059"/>
  <c r="AA224" i="1059"/>
  <c r="Z224" i="1059"/>
  <c r="Y224" i="1059"/>
  <c r="X224" i="1059"/>
  <c r="W224" i="1059"/>
  <c r="V224" i="1059"/>
  <c r="U224" i="1059"/>
  <c r="T224" i="1059"/>
  <c r="S224" i="1059"/>
  <c r="R224" i="1059"/>
  <c r="Q224" i="1059"/>
  <c r="P224" i="1059"/>
  <c r="O224" i="1059"/>
  <c r="N224" i="1059"/>
  <c r="M224" i="1059"/>
  <c r="L224" i="1059"/>
  <c r="K224" i="1059"/>
  <c r="J224" i="1059"/>
  <c r="I224" i="1059"/>
  <c r="H224" i="1059"/>
  <c r="G224" i="1059"/>
  <c r="AE223" i="1059"/>
  <c r="AD223" i="1059"/>
  <c r="AC223" i="1059"/>
  <c r="AB223" i="1059"/>
  <c r="AA223" i="1059"/>
  <c r="Z223" i="1059"/>
  <c r="Y223" i="1059"/>
  <c r="X223" i="1059"/>
  <c r="W223" i="1059"/>
  <c r="V223" i="1059"/>
  <c r="U223" i="1059"/>
  <c r="T223" i="1059"/>
  <c r="S223" i="1059"/>
  <c r="R223" i="1059"/>
  <c r="Q223" i="1059"/>
  <c r="P223" i="1059"/>
  <c r="O223" i="1059"/>
  <c r="N223" i="1059"/>
  <c r="M223" i="1059"/>
  <c r="L223" i="1059"/>
  <c r="K223" i="1059"/>
  <c r="J223" i="1059"/>
  <c r="I223" i="1059"/>
  <c r="H223" i="1059"/>
  <c r="G223" i="1059"/>
  <c r="D222" i="1059"/>
  <c r="S221" i="1059"/>
  <c r="S220" i="1059"/>
  <c r="S219" i="1059"/>
  <c r="D219" i="1059"/>
  <c r="S218" i="1059"/>
  <c r="D218" i="1059"/>
  <c r="S217" i="1059"/>
  <c r="G217" i="1059"/>
  <c r="S216" i="1059"/>
  <c r="S216" i="1059" a="1"/>
  <c r="S215" i="1059"/>
  <c r="S214" i="1059"/>
  <c r="S213" i="1059"/>
  <c r="S212" i="1059"/>
  <c r="S211" i="1059"/>
  <c r="S210" i="1059"/>
  <c r="S209" i="1059"/>
  <c r="S208" i="1059"/>
  <c r="S207" i="1059"/>
  <c r="S206" i="1059"/>
  <c r="S205" i="1059"/>
  <c r="S204" i="1059"/>
  <c r="S203" i="1059"/>
  <c r="S202" i="1059"/>
  <c r="AC199" i="1059"/>
  <c r="S199" i="1059"/>
  <c r="S198" i="1059"/>
  <c r="S197" i="1059"/>
  <c r="S196" i="1059"/>
  <c r="S195" i="1059"/>
  <c r="O195" i="1059"/>
  <c r="K195" i="1059"/>
  <c r="J195" i="1059"/>
  <c r="G195" i="1059"/>
  <c r="S194" i="1059"/>
  <c r="O194" i="1059"/>
  <c r="J194" i="1059"/>
  <c r="G194" i="1059"/>
  <c r="S193" i="1059"/>
  <c r="O193" i="1059"/>
  <c r="J193" i="1059"/>
  <c r="G193" i="1059"/>
  <c r="S192" i="1059"/>
  <c r="O192" i="1059"/>
  <c r="J192" i="1059"/>
  <c r="G192" i="1059"/>
  <c r="S191" i="1059"/>
  <c r="R191" i="1059"/>
  <c r="Q191" i="1059"/>
  <c r="P191" i="1059"/>
  <c r="O191" i="1059"/>
  <c r="N191" i="1059"/>
  <c r="M191" i="1059"/>
  <c r="L191" i="1059"/>
  <c r="K191" i="1059"/>
  <c r="J191" i="1059"/>
  <c r="I191" i="1059"/>
  <c r="H191" i="1059"/>
  <c r="G191" i="1059"/>
  <c r="AE190" i="1059"/>
  <c r="AD190" i="1059"/>
  <c r="AC190" i="1059"/>
  <c r="AB190" i="1059"/>
  <c r="AA190" i="1059"/>
  <c r="Z190" i="1059"/>
  <c r="Y190" i="1059"/>
  <c r="X190" i="1059"/>
  <c r="W190" i="1059"/>
  <c r="V190" i="1059"/>
  <c r="U190" i="1059"/>
  <c r="T190" i="1059"/>
  <c r="S190" i="1059"/>
  <c r="R190" i="1059"/>
  <c r="Q190" i="1059"/>
  <c r="P190" i="1059"/>
  <c r="O190" i="1059"/>
  <c r="N190" i="1059"/>
  <c r="M190" i="1059"/>
  <c r="L190" i="1059"/>
  <c r="K190" i="1059"/>
  <c r="J190" i="1059"/>
  <c r="I190" i="1059"/>
  <c r="H190" i="1059"/>
  <c r="G190" i="1059"/>
  <c r="AD189" i="1059"/>
  <c r="S189" i="1059"/>
  <c r="R189" i="1059"/>
  <c r="Q189" i="1059"/>
  <c r="P189" i="1059"/>
  <c r="O189" i="1059"/>
  <c r="N189" i="1059"/>
  <c r="M189" i="1059"/>
  <c r="L189" i="1059"/>
  <c r="K189" i="1059"/>
  <c r="J189" i="1059"/>
  <c r="I189" i="1059"/>
  <c r="H189" i="1059"/>
  <c r="G189" i="1059"/>
  <c r="AD188" i="1059"/>
  <c r="S188" i="1059"/>
  <c r="R188" i="1059"/>
  <c r="Q188" i="1059"/>
  <c r="P188" i="1059"/>
  <c r="O188" i="1059"/>
  <c r="N188" i="1059"/>
  <c r="M188" i="1059"/>
  <c r="L188" i="1059"/>
  <c r="K188" i="1059"/>
  <c r="J188" i="1059"/>
  <c r="I188" i="1059"/>
  <c r="H188" i="1059"/>
  <c r="G188" i="1059"/>
  <c r="AE183" i="1059"/>
  <c r="AD183" i="1059"/>
  <c r="AC183" i="1059"/>
  <c r="AB183" i="1059"/>
  <c r="AA183" i="1059"/>
  <c r="Z183" i="1059"/>
  <c r="Y183" i="1059"/>
  <c r="X183" i="1059"/>
  <c r="W183" i="1059"/>
  <c r="V183" i="1059"/>
  <c r="U183" i="1059"/>
  <c r="T183" i="1059"/>
  <c r="S183" i="1059"/>
  <c r="R183" i="1059"/>
  <c r="Q183" i="1059"/>
  <c r="P183" i="1059"/>
  <c r="O183" i="1059"/>
  <c r="N183" i="1059"/>
  <c r="M183" i="1059"/>
  <c r="L183" i="1059"/>
  <c r="K183" i="1059"/>
  <c r="J183" i="1059"/>
  <c r="I183" i="1059"/>
  <c r="H183" i="1059"/>
  <c r="G183" i="1059"/>
  <c r="S182" i="1059"/>
  <c r="G182" i="1059"/>
  <c r="S181" i="1059"/>
  <c r="G181" i="1059"/>
  <c r="S180" i="1059"/>
  <c r="G180" i="1059"/>
  <c r="S179" i="1059"/>
  <c r="G179" i="1059"/>
  <c r="S178" i="1059"/>
  <c r="G178" i="1059"/>
  <c r="S177" i="1059"/>
  <c r="G177" i="1059"/>
  <c r="B171" i="1059"/>
  <c r="B172" i="1059" s="1"/>
  <c r="B173" i="1059" s="1"/>
  <c r="B174" i="1059" s="1"/>
  <c r="B175" i="1059" s="1"/>
  <c r="B176" i="1059" s="1"/>
  <c r="B177" i="1059" s="1"/>
  <c r="B178" i="1059" s="1"/>
  <c r="B179" i="1059" s="1"/>
  <c r="B180" i="1059" s="1"/>
  <c r="B181" i="1059" s="1"/>
  <c r="B182" i="1059" s="1"/>
  <c r="B183" i="1059" s="1"/>
  <c r="B184" i="1059" s="1"/>
  <c r="B185" i="1059" s="1"/>
  <c r="B186" i="1059" s="1"/>
  <c r="S169" i="1059"/>
  <c r="B169" i="1059"/>
  <c r="B170" i="1059" s="1"/>
  <c r="S168" i="1059"/>
  <c r="G168" i="1059"/>
  <c r="B168" i="1059"/>
  <c r="S167" i="1059"/>
  <c r="G167" i="1059"/>
  <c r="G166" i="1059"/>
  <c r="G165" i="1059"/>
  <c r="G169" i="1059" s="1"/>
  <c r="G164" i="1059"/>
  <c r="G163" i="1059"/>
  <c r="T162" i="1059"/>
  <c r="P162" i="1059"/>
  <c r="G162" i="1059"/>
  <c r="G139" i="1059"/>
  <c r="G135" i="1059"/>
  <c r="G134" i="1059"/>
  <c r="H133" i="1059"/>
  <c r="G133" i="1059"/>
  <c r="G132" i="1059"/>
  <c r="G131" i="1059"/>
  <c r="G130" i="1059" a="1"/>
  <c r="G130" i="1059" s="1"/>
  <c r="G129" i="1059"/>
  <c r="F128" i="1059"/>
  <c r="F127" i="1059"/>
  <c r="G125" i="1059"/>
  <c r="J124" i="1059"/>
  <c r="G124" i="1059"/>
  <c r="G123" i="1059"/>
  <c r="B112" i="1059"/>
  <c r="G111" i="1059"/>
  <c r="B111" i="1059"/>
  <c r="D223" i="1059" s="1"/>
  <c r="G108" i="1059"/>
  <c r="B108" i="1059"/>
  <c r="AB107" i="1059"/>
  <c r="B107" i="1059"/>
  <c r="D220" i="1059" s="1"/>
  <c r="S106" i="1059"/>
  <c r="AC105" i="1059"/>
  <c r="R105" i="1059"/>
  <c r="R218" i="1059" s="1"/>
  <c r="Q105" i="1059"/>
  <c r="Q218" i="1059" s="1"/>
  <c r="J105" i="1059"/>
  <c r="J218" i="1059" s="1"/>
  <c r="I105" i="1059"/>
  <c r="I218" i="1059" s="1"/>
  <c r="H105" i="1059"/>
  <c r="G105" i="1059"/>
  <c r="G218" i="1059" s="1"/>
  <c r="I104" i="1059"/>
  <c r="G100" i="1059"/>
  <c r="G99" i="1059"/>
  <c r="D98" i="1059"/>
  <c r="D97" i="1059"/>
  <c r="D96" i="1059"/>
  <c r="D95" i="1059"/>
  <c r="D94" i="1059"/>
  <c r="D93" i="1059"/>
  <c r="G90" i="1059"/>
  <c r="G88" i="1059" a="1"/>
  <c r="G88" i="1059" s="1"/>
  <c r="T87" i="1059"/>
  <c r="T199" i="1059" s="1"/>
  <c r="R87" i="1059"/>
  <c r="R199" i="1059" s="1"/>
  <c r="Q87" i="1059"/>
  <c r="P87" i="1059"/>
  <c r="P199" i="1059" s="1"/>
  <c r="O87" i="1059"/>
  <c r="O199" i="1059" s="1"/>
  <c r="N87" i="1059"/>
  <c r="N199" i="1059" s="1"/>
  <c r="M87" i="1059"/>
  <c r="M199" i="1059" s="1"/>
  <c r="L87" i="1059"/>
  <c r="L199" i="1059" s="1"/>
  <c r="K87" i="1059"/>
  <c r="K199" i="1059" s="1"/>
  <c r="J87" i="1059"/>
  <c r="J199" i="1059" s="1"/>
  <c r="I87" i="1059"/>
  <c r="I199" i="1059" s="1"/>
  <c r="H87" i="1059"/>
  <c r="H199" i="1059" s="1"/>
  <c r="G87" i="1059"/>
  <c r="G199" i="1059" s="1"/>
  <c r="Z86" i="1059"/>
  <c r="R86" i="1059"/>
  <c r="Q86" i="1059"/>
  <c r="O86" i="1059"/>
  <c r="N86" i="1059"/>
  <c r="M86" i="1059"/>
  <c r="L86" i="1059"/>
  <c r="K86" i="1059"/>
  <c r="J86" i="1059"/>
  <c r="I86" i="1059"/>
  <c r="H86" i="1059"/>
  <c r="AE85" i="1059"/>
  <c r="AA85" i="1059"/>
  <c r="W85" i="1059"/>
  <c r="R85" i="1059"/>
  <c r="Q85" i="1059"/>
  <c r="P85" i="1059"/>
  <c r="O85" i="1059"/>
  <c r="N85" i="1059"/>
  <c r="M85" i="1059"/>
  <c r="L85" i="1059"/>
  <c r="K85" i="1059"/>
  <c r="J85" i="1059"/>
  <c r="I85" i="1059"/>
  <c r="H85" i="1059"/>
  <c r="G85" i="1059"/>
  <c r="AB84" i="1059"/>
  <c r="Z84" i="1059"/>
  <c r="Y84" i="1059"/>
  <c r="X84" i="1059"/>
  <c r="T84" i="1059"/>
  <c r="T104" i="1059" s="1"/>
  <c r="R84" i="1059"/>
  <c r="Q84" i="1059"/>
  <c r="P84" i="1059"/>
  <c r="O84" i="1059"/>
  <c r="N84" i="1059"/>
  <c r="M84" i="1059"/>
  <c r="L84" i="1059"/>
  <c r="K84" i="1059"/>
  <c r="J84" i="1059"/>
  <c r="I84" i="1059"/>
  <c r="H84" i="1059"/>
  <c r="G84" i="1059"/>
  <c r="G216" i="1059" s="1" a="1"/>
  <c r="G216" i="1059" s="1"/>
  <c r="Y83" i="1059"/>
  <c r="W83" i="1059"/>
  <c r="U83" i="1059"/>
  <c r="R83" i="1059"/>
  <c r="Q83" i="1059"/>
  <c r="P83" i="1059"/>
  <c r="O83" i="1059"/>
  <c r="N83" i="1059"/>
  <c r="M83" i="1059"/>
  <c r="L83" i="1059"/>
  <c r="K83" i="1059"/>
  <c r="J83" i="1059"/>
  <c r="I83" i="1059"/>
  <c r="H83" i="1059"/>
  <c r="G83" i="1059"/>
  <c r="AF83" i="1059" s="1"/>
  <c r="AD82" i="1059"/>
  <c r="AA82" i="1059"/>
  <c r="V82" i="1059"/>
  <c r="R82" i="1059"/>
  <c r="Q82" i="1059"/>
  <c r="P82" i="1059"/>
  <c r="O82" i="1059"/>
  <c r="N82" i="1059"/>
  <c r="M82" i="1059"/>
  <c r="L82" i="1059"/>
  <c r="K82" i="1059"/>
  <c r="J82" i="1059"/>
  <c r="I82" i="1059"/>
  <c r="H82" i="1059"/>
  <c r="G82" i="1059"/>
  <c r="AA81" i="1059"/>
  <c r="Z81" i="1059"/>
  <c r="Y81" i="1059"/>
  <c r="W81" i="1059"/>
  <c r="R81" i="1059"/>
  <c r="Q81" i="1059"/>
  <c r="P81" i="1059"/>
  <c r="O81" i="1059"/>
  <c r="N81" i="1059"/>
  <c r="M81" i="1059"/>
  <c r="L81" i="1059"/>
  <c r="K81" i="1059"/>
  <c r="J81" i="1059"/>
  <c r="I81" i="1059"/>
  <c r="H81" i="1059"/>
  <c r="G81" i="1059"/>
  <c r="R80" i="1059"/>
  <c r="Q80" i="1059"/>
  <c r="P80" i="1059"/>
  <c r="O80" i="1059"/>
  <c r="N80" i="1059"/>
  <c r="M80" i="1059"/>
  <c r="L80" i="1059"/>
  <c r="K80" i="1059"/>
  <c r="J80" i="1059"/>
  <c r="I80" i="1059"/>
  <c r="H80" i="1059"/>
  <c r="G80" i="1059"/>
  <c r="Y79" i="1059"/>
  <c r="X79" i="1059"/>
  <c r="R79" i="1059"/>
  <c r="Q79" i="1059"/>
  <c r="P79" i="1059"/>
  <c r="O79" i="1059"/>
  <c r="N79" i="1059"/>
  <c r="M79" i="1059"/>
  <c r="L79" i="1059"/>
  <c r="K79" i="1059"/>
  <c r="J79" i="1059"/>
  <c r="I79" i="1059"/>
  <c r="H79" i="1059"/>
  <c r="G79" i="1059"/>
  <c r="AC78" i="1059"/>
  <c r="Y78" i="1059"/>
  <c r="R78" i="1059"/>
  <c r="Q78" i="1059"/>
  <c r="P78" i="1059"/>
  <c r="O78" i="1059"/>
  <c r="N78" i="1059"/>
  <c r="M78" i="1059"/>
  <c r="L78" i="1059"/>
  <c r="K78" i="1059"/>
  <c r="J78" i="1059"/>
  <c r="I78" i="1059"/>
  <c r="H78" i="1059"/>
  <c r="G78" i="1059"/>
  <c r="O77" i="1059"/>
  <c r="K77" i="1059"/>
  <c r="J77" i="1059"/>
  <c r="G77" i="1059"/>
  <c r="X76" i="1059"/>
  <c r="R76" i="1059"/>
  <c r="Q76" i="1059"/>
  <c r="P76" i="1059"/>
  <c r="O76" i="1059"/>
  <c r="N76" i="1059"/>
  <c r="M76" i="1059"/>
  <c r="AF76" i="1059" s="1"/>
  <c r="L76" i="1059"/>
  <c r="K76" i="1059"/>
  <c r="J76" i="1059"/>
  <c r="I76" i="1059"/>
  <c r="H76" i="1059"/>
  <c r="G76" i="1059"/>
  <c r="AF75" i="1059"/>
  <c r="AE75" i="1059"/>
  <c r="Y75" i="1059"/>
  <c r="X75" i="1059"/>
  <c r="W75" i="1059"/>
  <c r="U75" i="1059"/>
  <c r="R75" i="1059"/>
  <c r="Q75" i="1059"/>
  <c r="P75" i="1059"/>
  <c r="O75" i="1059"/>
  <c r="N75" i="1059"/>
  <c r="M75" i="1059"/>
  <c r="L75" i="1059"/>
  <c r="K75" i="1059"/>
  <c r="J75" i="1059"/>
  <c r="I75" i="1059"/>
  <c r="H75" i="1059"/>
  <c r="G75" i="1059"/>
  <c r="AE74" i="1059"/>
  <c r="AD74" i="1059"/>
  <c r="V74" i="1059"/>
  <c r="U74" i="1059"/>
  <c r="R74" i="1059"/>
  <c r="Q74" i="1059"/>
  <c r="P74" i="1059"/>
  <c r="O74" i="1059"/>
  <c r="N74" i="1059"/>
  <c r="M74" i="1059"/>
  <c r="L74" i="1059"/>
  <c r="K74" i="1059"/>
  <c r="J74" i="1059"/>
  <c r="I74" i="1059"/>
  <c r="H74" i="1059"/>
  <c r="G74" i="1059"/>
  <c r="AE73" i="1059"/>
  <c r="W73" i="1059"/>
  <c r="V73" i="1059"/>
  <c r="R73" i="1059"/>
  <c r="Q73" i="1059"/>
  <c r="P73" i="1059"/>
  <c r="O73" i="1059"/>
  <c r="N73" i="1059"/>
  <c r="M73" i="1059"/>
  <c r="L73" i="1059"/>
  <c r="K73" i="1059"/>
  <c r="J73" i="1059"/>
  <c r="I73" i="1059"/>
  <c r="H73" i="1059"/>
  <c r="G73" i="1059"/>
  <c r="AF73" i="1059" s="1"/>
  <c r="AA72" i="1059"/>
  <c r="Y72" i="1059"/>
  <c r="Y220" i="1059" s="1"/>
  <c r="X72" i="1059"/>
  <c r="X220" i="1059" s="1"/>
  <c r="W72" i="1059"/>
  <c r="R72" i="1059"/>
  <c r="Q72" i="1059"/>
  <c r="Q220" i="1059" s="1"/>
  <c r="P72" i="1059"/>
  <c r="P220" i="1059" s="1"/>
  <c r="O72" i="1059"/>
  <c r="O220" i="1059" s="1"/>
  <c r="N72" i="1059"/>
  <c r="N220" i="1059" s="1"/>
  <c r="M72" i="1059"/>
  <c r="M220" i="1059" s="1"/>
  <c r="L72" i="1059"/>
  <c r="K72" i="1059"/>
  <c r="K220" i="1059" s="1"/>
  <c r="J72" i="1059"/>
  <c r="I72" i="1059"/>
  <c r="I220" i="1059" s="1"/>
  <c r="H72" i="1059"/>
  <c r="H220" i="1059" s="1"/>
  <c r="G72" i="1059"/>
  <c r="G69" i="1059"/>
  <c r="AG68" i="1059"/>
  <c r="T68" i="1059"/>
  <c r="E68" i="1059"/>
  <c r="G68" i="1059" s="1"/>
  <c r="G215" i="1059" s="1"/>
  <c r="D68" i="1059"/>
  <c r="C68" i="1059"/>
  <c r="AG67" i="1059"/>
  <c r="G67" i="1059"/>
  <c r="AG66" i="1059"/>
  <c r="G66" i="1059"/>
  <c r="AG65" i="1059"/>
  <c r="G65" i="1059"/>
  <c r="AG64" i="1059"/>
  <c r="G64" i="1059"/>
  <c r="G212" i="1059" s="1"/>
  <c r="AG63" i="1059"/>
  <c r="G63" i="1059"/>
  <c r="G211" i="1059" s="1"/>
  <c r="AG62" i="1059"/>
  <c r="E62" i="1059"/>
  <c r="D62" i="1059"/>
  <c r="C62" i="1059"/>
  <c r="AG61" i="1059"/>
  <c r="G61" i="1059"/>
  <c r="E61" i="1059"/>
  <c r="D61" i="1059"/>
  <c r="G175" i="1059" s="1"/>
  <c r="C61" i="1059"/>
  <c r="AG60" i="1059"/>
  <c r="E60" i="1059"/>
  <c r="D60" i="1059"/>
  <c r="C60" i="1059"/>
  <c r="AG59" i="1059"/>
  <c r="E59" i="1059"/>
  <c r="D59" i="1059"/>
  <c r="C59" i="1059"/>
  <c r="AG58" i="1059"/>
  <c r="T58" i="1059"/>
  <c r="E58" i="1059"/>
  <c r="D58" i="1059"/>
  <c r="C58" i="1059"/>
  <c r="AG57" i="1059"/>
  <c r="E57" i="1059"/>
  <c r="D57" i="1059"/>
  <c r="AA162" i="1059" s="1"/>
  <c r="C57" i="1059"/>
  <c r="AG56" i="1059"/>
  <c r="G56" i="1059"/>
  <c r="AG55" i="1059"/>
  <c r="G55" i="1059"/>
  <c r="AG54" i="1059"/>
  <c r="G54" i="1059"/>
  <c r="AG53" i="1059"/>
  <c r="G53" i="1059"/>
  <c r="G202" i="1059" s="1"/>
  <c r="AB52" i="1059"/>
  <c r="X52" i="1059"/>
  <c r="V52" i="1059"/>
  <c r="T52" i="1059"/>
  <c r="A52" i="1059"/>
  <c r="W51" i="1059"/>
  <c r="V51" i="1059"/>
  <c r="U51" i="1059"/>
  <c r="T51" i="1059"/>
  <c r="L51" i="1059"/>
  <c r="Y51" i="1059" s="1"/>
  <c r="K51" i="1059"/>
  <c r="X51" i="1059" s="1"/>
  <c r="H51" i="1059"/>
  <c r="I51" i="1059" s="1"/>
  <c r="J51" i="1059" s="1"/>
  <c r="T50" i="1059"/>
  <c r="I50" i="1059"/>
  <c r="H50" i="1059"/>
  <c r="U50" i="1059" s="1"/>
  <c r="T49" i="1059"/>
  <c r="H49" i="1059"/>
  <c r="AE48" i="1059"/>
  <c r="AD48" i="1059"/>
  <c r="AC48" i="1059"/>
  <c r="AB48" i="1059"/>
  <c r="AA48" i="1059"/>
  <c r="Z48" i="1059"/>
  <c r="Y48" i="1059"/>
  <c r="X48" i="1059"/>
  <c r="W48" i="1059"/>
  <c r="V48" i="1059"/>
  <c r="U48" i="1059"/>
  <c r="T48" i="1059"/>
  <c r="AE47" i="1059"/>
  <c r="AD47" i="1059"/>
  <c r="AC47" i="1059"/>
  <c r="AC87" i="1059" s="1"/>
  <c r="AB47" i="1059"/>
  <c r="AA47" i="1059"/>
  <c r="Z47" i="1059"/>
  <c r="Y47" i="1059"/>
  <c r="X47" i="1059"/>
  <c r="W47" i="1059"/>
  <c r="V47" i="1059"/>
  <c r="U47" i="1059"/>
  <c r="T47" i="1059"/>
  <c r="AE46" i="1059"/>
  <c r="AD46" i="1059"/>
  <c r="AC46" i="1059"/>
  <c r="AB46" i="1059"/>
  <c r="AA46" i="1059"/>
  <c r="Z46" i="1059"/>
  <c r="Y46" i="1059"/>
  <c r="X46" i="1059"/>
  <c r="W46" i="1059"/>
  <c r="V46" i="1059"/>
  <c r="U46" i="1059"/>
  <c r="T46" i="1059"/>
  <c r="AE45" i="1059"/>
  <c r="AD45" i="1059"/>
  <c r="AC45" i="1059"/>
  <c r="AB45" i="1059"/>
  <c r="AA45" i="1059"/>
  <c r="Z45" i="1059"/>
  <c r="Y45" i="1059"/>
  <c r="X45" i="1059"/>
  <c r="W45" i="1059"/>
  <c r="V45" i="1059"/>
  <c r="U45" i="1059"/>
  <c r="T45" i="1059"/>
  <c r="AE44" i="1059"/>
  <c r="AE86" i="1059" s="1"/>
  <c r="AD44" i="1059"/>
  <c r="AD86" i="1059" s="1"/>
  <c r="AB44" i="1059"/>
  <c r="AB86" i="1059" s="1"/>
  <c r="AA44" i="1059"/>
  <c r="AA86" i="1059" s="1"/>
  <c r="Z44" i="1059"/>
  <c r="Y44" i="1059"/>
  <c r="Y86" i="1059" s="1"/>
  <c r="X44" i="1059"/>
  <c r="X86" i="1059" s="1"/>
  <c r="W44" i="1059"/>
  <c r="W86" i="1059" s="1"/>
  <c r="V44" i="1059"/>
  <c r="V86" i="1059" s="1"/>
  <c r="U44" i="1059"/>
  <c r="U86" i="1059" s="1"/>
  <c r="AF43" i="1059"/>
  <c r="AE43" i="1059"/>
  <c r="AD43" i="1059"/>
  <c r="AC43" i="1059"/>
  <c r="AB43" i="1059"/>
  <c r="AB87" i="1059" s="1"/>
  <c r="AB199" i="1059" s="1"/>
  <c r="AA43" i="1059"/>
  <c r="Z43" i="1059"/>
  <c r="Y43" i="1059"/>
  <c r="X43" i="1059"/>
  <c r="W43" i="1059"/>
  <c r="V43" i="1059"/>
  <c r="U43" i="1059"/>
  <c r="T43" i="1059"/>
  <c r="AE42" i="1059"/>
  <c r="AD42" i="1059"/>
  <c r="AC42" i="1059"/>
  <c r="AB42" i="1059"/>
  <c r="AA42" i="1059"/>
  <c r="Z42" i="1059"/>
  <c r="Z87" i="1059" s="1"/>
  <c r="Z199" i="1059" s="1"/>
  <c r="Y42" i="1059"/>
  <c r="X42" i="1059"/>
  <c r="W42" i="1059"/>
  <c r="V42" i="1059"/>
  <c r="U42" i="1059"/>
  <c r="U87" i="1059" s="1"/>
  <c r="U199" i="1059" s="1"/>
  <c r="T42" i="1059"/>
  <c r="AE41" i="1059"/>
  <c r="AE84" i="1059" s="1"/>
  <c r="AD41" i="1059"/>
  <c r="AD84" i="1059" s="1"/>
  <c r="AC41" i="1059"/>
  <c r="AC84" i="1059" s="1"/>
  <c r="AB41" i="1059"/>
  <c r="AA41" i="1059"/>
  <c r="AA84" i="1059" s="1"/>
  <c r="Z41" i="1059"/>
  <c r="Y41" i="1059"/>
  <c r="X41" i="1059"/>
  <c r="W41" i="1059"/>
  <c r="W84" i="1059" s="1"/>
  <c r="V41" i="1059"/>
  <c r="V84" i="1059" s="1"/>
  <c r="U41" i="1059"/>
  <c r="U84" i="1059" s="1"/>
  <c r="U104" i="1059" s="1"/>
  <c r="T41" i="1059"/>
  <c r="AE40" i="1059"/>
  <c r="AD40" i="1059"/>
  <c r="AC40" i="1059"/>
  <c r="AB40" i="1059"/>
  <c r="AA40" i="1059"/>
  <c r="AA83" i="1059" s="1"/>
  <c r="Z40" i="1059"/>
  <c r="Z83" i="1059" s="1"/>
  <c r="Y40" i="1059"/>
  <c r="X40" i="1059"/>
  <c r="W40" i="1059"/>
  <c r="V40" i="1059"/>
  <c r="U40" i="1059"/>
  <c r="T40" i="1059"/>
  <c r="AE39" i="1059"/>
  <c r="AD39" i="1059"/>
  <c r="AC39" i="1059"/>
  <c r="AC82" i="1059" s="1"/>
  <c r="AB39" i="1059"/>
  <c r="AB82" i="1059" s="1"/>
  <c r="AA39" i="1059"/>
  <c r="Z39" i="1059"/>
  <c r="Y39" i="1059"/>
  <c r="X39" i="1059"/>
  <c r="W39" i="1059"/>
  <c r="V39" i="1059"/>
  <c r="U39" i="1059"/>
  <c r="U82" i="1059" s="1"/>
  <c r="T39" i="1059"/>
  <c r="T82" i="1059" s="1"/>
  <c r="AE38" i="1059"/>
  <c r="AD38" i="1059"/>
  <c r="AC38" i="1059"/>
  <c r="AB38" i="1059"/>
  <c r="AA38" i="1059"/>
  <c r="Z38" i="1059"/>
  <c r="Y38" i="1059"/>
  <c r="X38" i="1059"/>
  <c r="W38" i="1059"/>
  <c r="V38" i="1059"/>
  <c r="U38" i="1059"/>
  <c r="T38" i="1059"/>
  <c r="AE37" i="1059"/>
  <c r="AE79" i="1059" s="1"/>
  <c r="AD37" i="1059"/>
  <c r="AD79" i="1059" s="1"/>
  <c r="AC37" i="1059"/>
  <c r="AC79" i="1059" s="1"/>
  <c r="AB37" i="1059"/>
  <c r="AB79" i="1059" s="1"/>
  <c r="AA37" i="1059"/>
  <c r="AA79" i="1059" s="1"/>
  <c r="Z37" i="1059"/>
  <c r="Z79" i="1059" s="1"/>
  <c r="Y37" i="1059"/>
  <c r="X37" i="1059"/>
  <c r="W37" i="1059"/>
  <c r="W79" i="1059" s="1"/>
  <c r="V37" i="1059"/>
  <c r="V79" i="1059" s="1"/>
  <c r="U37" i="1059"/>
  <c r="U79" i="1059" s="1"/>
  <c r="T37" i="1059"/>
  <c r="T79" i="1059" s="1"/>
  <c r="AE36" i="1059"/>
  <c r="AD36" i="1059"/>
  <c r="AC36" i="1059"/>
  <c r="AB36" i="1059"/>
  <c r="AB78" i="1059" s="1"/>
  <c r="AA36" i="1059"/>
  <c r="AA78" i="1059" s="1"/>
  <c r="Z36" i="1059"/>
  <c r="Z78" i="1059" s="1"/>
  <c r="Y36" i="1059"/>
  <c r="X36" i="1059"/>
  <c r="W36" i="1059"/>
  <c r="V36" i="1059"/>
  <c r="V78" i="1059" s="1"/>
  <c r="U36" i="1059"/>
  <c r="T36" i="1059"/>
  <c r="T78" i="1059" s="1"/>
  <c r="AE35" i="1059"/>
  <c r="AD35" i="1059"/>
  <c r="AC35" i="1059"/>
  <c r="AB35" i="1059"/>
  <c r="AA35" i="1059"/>
  <c r="Z35" i="1059"/>
  <c r="Y35" i="1059"/>
  <c r="X35" i="1059"/>
  <c r="W35" i="1059"/>
  <c r="V35" i="1059"/>
  <c r="U35" i="1059"/>
  <c r="T35" i="1059"/>
  <c r="B35" i="1059"/>
  <c r="B36" i="1059" s="1"/>
  <c r="B37" i="1059" s="1"/>
  <c r="B38" i="1059" s="1"/>
  <c r="B39" i="1059" s="1"/>
  <c r="B40" i="1059" s="1"/>
  <c r="B41" i="1059" s="1"/>
  <c r="B42" i="1059" s="1"/>
  <c r="B43" i="1059" s="1"/>
  <c r="B44" i="1059" s="1"/>
  <c r="B45" i="1059" s="1"/>
  <c r="B46" i="1059" s="1"/>
  <c r="B47" i="1059" s="1"/>
  <c r="B48" i="1059" s="1"/>
  <c r="B49" i="1059" s="1"/>
  <c r="B50" i="1059" s="1"/>
  <c r="B51" i="1059" s="1"/>
  <c r="B52" i="1059" s="1"/>
  <c r="B53" i="1059" s="1"/>
  <c r="B54" i="1059" s="1"/>
  <c r="AE34" i="1059"/>
  <c r="AE191" i="1059" s="1"/>
  <c r="AD34" i="1059"/>
  <c r="AD191" i="1059" s="1"/>
  <c r="AC34" i="1059"/>
  <c r="AB34" i="1059"/>
  <c r="AB191" i="1059" s="1"/>
  <c r="AA34" i="1059"/>
  <c r="AA191" i="1059" s="1"/>
  <c r="Z34" i="1059"/>
  <c r="Y34" i="1059"/>
  <c r="Y191" i="1059" s="1"/>
  <c r="X34" i="1059"/>
  <c r="W34" i="1059"/>
  <c r="W191" i="1059" s="1"/>
  <c r="V34" i="1059"/>
  <c r="V191" i="1059" s="1"/>
  <c r="U34" i="1059"/>
  <c r="T34" i="1059"/>
  <c r="T191" i="1059" s="1"/>
  <c r="AE33" i="1059"/>
  <c r="AE76" i="1059" s="1"/>
  <c r="AD33" i="1059"/>
  <c r="AD76" i="1059" s="1"/>
  <c r="AC33" i="1059"/>
  <c r="AC76" i="1059" s="1"/>
  <c r="AB33" i="1059"/>
  <c r="AB76" i="1059" s="1"/>
  <c r="AA33" i="1059"/>
  <c r="AA76" i="1059" s="1"/>
  <c r="Z33" i="1059"/>
  <c r="Z76" i="1059" s="1"/>
  <c r="Y33" i="1059"/>
  <c r="Y76" i="1059" s="1"/>
  <c r="X33" i="1059"/>
  <c r="W33" i="1059"/>
  <c r="W76" i="1059" s="1"/>
  <c r="V33" i="1059"/>
  <c r="V76" i="1059" s="1"/>
  <c r="U33" i="1059"/>
  <c r="U76" i="1059" s="1"/>
  <c r="T33" i="1059"/>
  <c r="T76" i="1059" s="1"/>
  <c r="AE32" i="1059"/>
  <c r="AE189" i="1059" s="1"/>
  <c r="AD32" i="1059"/>
  <c r="AD75" i="1059" s="1"/>
  <c r="AC32" i="1059"/>
  <c r="AC189" i="1059" s="1"/>
  <c r="AB32" i="1059"/>
  <c r="AA32" i="1059"/>
  <c r="Z32" i="1059"/>
  <c r="Y32" i="1059"/>
  <c r="Y189" i="1059" s="1"/>
  <c r="X32" i="1059"/>
  <c r="X189" i="1059" s="1"/>
  <c r="W32" i="1059"/>
  <c r="W189" i="1059" s="1"/>
  <c r="V32" i="1059"/>
  <c r="U32" i="1059"/>
  <c r="U189" i="1059" s="1"/>
  <c r="T32" i="1059"/>
  <c r="B32" i="1059"/>
  <c r="B33" i="1059" s="1"/>
  <c r="B34" i="1059" s="1"/>
  <c r="AE31" i="1059"/>
  <c r="AE188" i="1059" s="1"/>
  <c r="AD31" i="1059"/>
  <c r="AC31" i="1059"/>
  <c r="AC188" i="1059" s="1"/>
  <c r="AB31" i="1059"/>
  <c r="AB188" i="1059" s="1"/>
  <c r="AA31" i="1059"/>
  <c r="AA188" i="1059" s="1"/>
  <c r="Z31" i="1059"/>
  <c r="Z188" i="1059" s="1"/>
  <c r="Y31" i="1059"/>
  <c r="X31" i="1059"/>
  <c r="W31" i="1059"/>
  <c r="W188" i="1059" s="1"/>
  <c r="V31" i="1059"/>
  <c r="V188" i="1059" s="1"/>
  <c r="U31" i="1059"/>
  <c r="U188" i="1059" s="1"/>
  <c r="T31" i="1059"/>
  <c r="T188" i="1059" s="1"/>
  <c r="Y30" i="1059"/>
  <c r="U30" i="1059"/>
  <c r="T30" i="1059"/>
  <c r="M30" i="1059"/>
  <c r="H30" i="1059"/>
  <c r="I30" i="1059" s="1"/>
  <c r="J30" i="1059" s="1"/>
  <c r="E30" i="1059"/>
  <c r="D30" i="1059"/>
  <c r="Y29" i="1059"/>
  <c r="Y228" i="1059" s="1"/>
  <c r="V29" i="1059"/>
  <c r="V228" i="1059" s="1"/>
  <c r="U29" i="1059"/>
  <c r="U228" i="1059" s="1"/>
  <c r="T29" i="1059"/>
  <c r="T228" i="1059" s="1"/>
  <c r="M29" i="1059"/>
  <c r="I29" i="1059"/>
  <c r="I228" i="1059" s="1"/>
  <c r="H29" i="1059"/>
  <c r="H228" i="1059" s="1"/>
  <c r="B29" i="1059"/>
  <c r="B30" i="1059" s="1"/>
  <c r="B31" i="1059" s="1"/>
  <c r="AE28" i="1059"/>
  <c r="AD28" i="1059"/>
  <c r="AC28" i="1059"/>
  <c r="AB28" i="1059"/>
  <c r="AA28" i="1059"/>
  <c r="Z28" i="1059"/>
  <c r="Y28" i="1059"/>
  <c r="X28" i="1059"/>
  <c r="W28" i="1059"/>
  <c r="V28" i="1059"/>
  <c r="U28" i="1059"/>
  <c r="T28" i="1059"/>
  <c r="T185" i="1059" s="1"/>
  <c r="AE27" i="1059"/>
  <c r="AD27" i="1059"/>
  <c r="AD73" i="1059" s="1"/>
  <c r="AC27" i="1059"/>
  <c r="AC73" i="1059" s="1"/>
  <c r="AB27" i="1059"/>
  <c r="AB73" i="1059" s="1"/>
  <c r="AA27" i="1059"/>
  <c r="AA73" i="1059" s="1"/>
  <c r="Z27" i="1059"/>
  <c r="Z73" i="1059" s="1"/>
  <c r="Y27" i="1059"/>
  <c r="Y73" i="1059" s="1"/>
  <c r="X27" i="1059"/>
  <c r="X73" i="1059" s="1"/>
  <c r="W27" i="1059"/>
  <c r="V27" i="1059"/>
  <c r="U27" i="1059"/>
  <c r="U73" i="1059" s="1"/>
  <c r="T27" i="1059"/>
  <c r="T73" i="1059" s="1"/>
  <c r="AE26" i="1059"/>
  <c r="AE72" i="1059" s="1"/>
  <c r="AD26" i="1059"/>
  <c r="AD72" i="1059" s="1"/>
  <c r="AC26" i="1059"/>
  <c r="AC72" i="1059" s="1"/>
  <c r="AB26" i="1059"/>
  <c r="AB72" i="1059" s="1"/>
  <c r="AB220" i="1059" s="1"/>
  <c r="AA26" i="1059"/>
  <c r="Z26" i="1059"/>
  <c r="Z72" i="1059" s="1"/>
  <c r="Y26" i="1059"/>
  <c r="X26" i="1059"/>
  <c r="W26" i="1059"/>
  <c r="V26" i="1059"/>
  <c r="V72" i="1059" s="1"/>
  <c r="U26" i="1059"/>
  <c r="U72" i="1059" s="1"/>
  <c r="T26" i="1059"/>
  <c r="T72" i="1059" s="1"/>
  <c r="AF25" i="1059"/>
  <c r="AE25" i="1059"/>
  <c r="AD25" i="1059"/>
  <c r="AC25" i="1059"/>
  <c r="AB25" i="1059"/>
  <c r="AA25" i="1059"/>
  <c r="Z25" i="1059"/>
  <c r="Y25" i="1059"/>
  <c r="X25" i="1059"/>
  <c r="W25" i="1059"/>
  <c r="V25" i="1059"/>
  <c r="U25" i="1059"/>
  <c r="T25" i="1059"/>
  <c r="AE24" i="1059"/>
  <c r="AD24" i="1059"/>
  <c r="AC24" i="1059"/>
  <c r="Y24" i="1059"/>
  <c r="X24" i="1059"/>
  <c r="W24" i="1059"/>
  <c r="V24" i="1059"/>
  <c r="U24" i="1059"/>
  <c r="T24" i="1059"/>
  <c r="M24" i="1059"/>
  <c r="L24" i="1059"/>
  <c r="T23" i="1059"/>
  <c r="T182" i="1059" s="1"/>
  <c r="H23" i="1059"/>
  <c r="T22" i="1059"/>
  <c r="H22" i="1059"/>
  <c r="U22" i="1059" s="1"/>
  <c r="T21" i="1059"/>
  <c r="I21" i="1059"/>
  <c r="H21" i="1059"/>
  <c r="T20" i="1059"/>
  <c r="I20" i="1059"/>
  <c r="H20" i="1059"/>
  <c r="T19" i="1059"/>
  <c r="H19" i="1059"/>
  <c r="U19" i="1059" s="1"/>
  <c r="T18" i="1059"/>
  <c r="H18" i="1059"/>
  <c r="U18" i="1059" s="1"/>
  <c r="T17" i="1059"/>
  <c r="I17" i="1059"/>
  <c r="H17" i="1059"/>
  <c r="T16" i="1059"/>
  <c r="I16" i="1059"/>
  <c r="H16" i="1059"/>
  <c r="U16" i="1059" s="1"/>
  <c r="T15" i="1059"/>
  <c r="T172" i="1059" s="1"/>
  <c r="H15" i="1059"/>
  <c r="H58" i="1059" s="1"/>
  <c r="T14" i="1059"/>
  <c r="T57" i="1059" s="1"/>
  <c r="H14" i="1059"/>
  <c r="U14" i="1059" s="1"/>
  <c r="T13" i="1059"/>
  <c r="T56" i="1059" s="1"/>
  <c r="I13" i="1059"/>
  <c r="H13" i="1059"/>
  <c r="U13" i="1059" s="1"/>
  <c r="T12" i="1059"/>
  <c r="I12" i="1059"/>
  <c r="H12" i="1059"/>
  <c r="U12" i="1059" s="1"/>
  <c r="T11" i="1059"/>
  <c r="T10" i="1059" s="1"/>
  <c r="I11" i="1059"/>
  <c r="H11" i="1059"/>
  <c r="U11" i="1059" s="1"/>
  <c r="U10" i="1059" s="1"/>
  <c r="H10" i="1059"/>
  <c r="B10" i="1059"/>
  <c r="B12" i="1059" s="1"/>
  <c r="B13" i="1059" s="1"/>
  <c r="B14" i="1059" s="1"/>
  <c r="B15" i="1059" s="1"/>
  <c r="B16" i="1059" s="1"/>
  <c r="B17" i="1059" s="1"/>
  <c r="B18" i="1059" s="1"/>
  <c r="B19" i="1059" s="1"/>
  <c r="B20" i="1059" s="1"/>
  <c r="B21" i="1059" s="1"/>
  <c r="B22" i="1059" s="1"/>
  <c r="B23" i="1059" s="1"/>
  <c r="B24" i="1059" s="1"/>
  <c r="B25" i="1059" s="1"/>
  <c r="B26" i="1059" s="1"/>
  <c r="T9" i="1059"/>
  <c r="T88" i="1059" s="1"/>
  <c r="H9" i="1059"/>
  <c r="V8" i="1059"/>
  <c r="T8" i="1059"/>
  <c r="I8" i="1059"/>
  <c r="H8" i="1059"/>
  <c r="AE7" i="1059"/>
  <c r="AD7" i="1059"/>
  <c r="AC7" i="1059"/>
  <c r="X7" i="1059"/>
  <c r="W7" i="1059"/>
  <c r="V7" i="1059"/>
  <c r="U7" i="1059"/>
  <c r="T7" i="1059"/>
  <c r="R7" i="1059"/>
  <c r="Q7" i="1059"/>
  <c r="P7" i="1059"/>
  <c r="O7" i="1059"/>
  <c r="AB7" i="1059" s="1"/>
  <c r="N7" i="1059"/>
  <c r="AA7" i="1059" s="1"/>
  <c r="M7" i="1059"/>
  <c r="Z7" i="1059" s="1"/>
  <c r="L7" i="1059"/>
  <c r="Y7" i="1059" s="1"/>
  <c r="K7" i="1059"/>
  <c r="J7" i="1059"/>
  <c r="I7" i="1059"/>
  <c r="H7" i="1059"/>
  <c r="AF6" i="1059"/>
  <c r="AD6" i="1059"/>
  <c r="AB6" i="1059"/>
  <c r="X6" i="1059"/>
  <c r="W6" i="1059"/>
  <c r="W77" i="1059" s="1"/>
  <c r="V6" i="1059"/>
  <c r="T6" i="1059"/>
  <c r="Q6" i="1059"/>
  <c r="P6" i="1059"/>
  <c r="L6" i="1059"/>
  <c r="K6" i="1059"/>
  <c r="I6" i="1059"/>
  <c r="H6" i="1059"/>
  <c r="H77" i="1059" s="1"/>
  <c r="AE5" i="1059"/>
  <c r="AD5" i="1059"/>
  <c r="AC5" i="1059"/>
  <c r="AB5" i="1059"/>
  <c r="W5" i="1059"/>
  <c r="V5" i="1059"/>
  <c r="U5" i="1059"/>
  <c r="T5" i="1059"/>
  <c r="R5" i="1059"/>
  <c r="R124" i="1059" s="1"/>
  <c r="Q5" i="1059"/>
  <c r="P5" i="1059"/>
  <c r="O5" i="1059"/>
  <c r="N5" i="1059"/>
  <c r="M5" i="1059"/>
  <c r="M124" i="1059" s="1"/>
  <c r="L5" i="1059"/>
  <c r="L124" i="1059" s="1"/>
  <c r="K5" i="1059"/>
  <c r="J5" i="1059"/>
  <c r="I5" i="1059"/>
  <c r="H5" i="1059"/>
  <c r="V4" i="1059"/>
  <c r="U4" i="1059"/>
  <c r="T4" i="1059"/>
  <c r="I4" i="1059"/>
  <c r="H4" i="1059"/>
  <c r="H131" i="1059" s="1"/>
  <c r="AE2" i="1059"/>
  <c r="AE52" i="1059" s="1"/>
  <c r="AD2" i="1059"/>
  <c r="AD52" i="1059" s="1"/>
  <c r="AC2" i="1059"/>
  <c r="AC52" i="1059" s="1"/>
  <c r="AB2" i="1059"/>
  <c r="AA2" i="1059"/>
  <c r="AA52" i="1059" s="1"/>
  <c r="Z2" i="1059"/>
  <c r="Z52" i="1059" s="1"/>
  <c r="Y2" i="1059"/>
  <c r="Y52" i="1059" s="1"/>
  <c r="X2" i="1059"/>
  <c r="W2" i="1059"/>
  <c r="W52" i="1059" s="1"/>
  <c r="V2" i="1059"/>
  <c r="U2" i="1059"/>
  <c r="U52" i="1059" s="1"/>
  <c r="T2" i="1059"/>
  <c r="R2" i="1059"/>
  <c r="R52" i="1059" s="1"/>
  <c r="Q2" i="1059"/>
  <c r="Q52" i="1059" s="1"/>
  <c r="P2" i="1059"/>
  <c r="P52" i="1059" s="1"/>
  <c r="O2" i="1059"/>
  <c r="O52" i="1059" s="1"/>
  <c r="N2" i="1059"/>
  <c r="N52" i="1059" s="1"/>
  <c r="M2" i="1059"/>
  <c r="M52" i="1059" s="1"/>
  <c r="L2" i="1059"/>
  <c r="L52" i="1059" s="1"/>
  <c r="K2" i="1059"/>
  <c r="K52" i="1059" s="1"/>
  <c r="J2" i="1059"/>
  <c r="J52" i="1059" s="1"/>
  <c r="I2" i="1059"/>
  <c r="I52" i="1059" s="1"/>
  <c r="H2" i="1059"/>
  <c r="H52" i="1059" s="1"/>
  <c r="G2" i="1059"/>
  <c r="G52" i="1059" s="1"/>
  <c r="B2" i="1059"/>
  <c r="B3" i="1059" s="1"/>
  <c r="B4" i="1059" s="1"/>
  <c r="B5" i="1059" s="1"/>
  <c r="B6" i="1059" s="1"/>
  <c r="B7" i="1059" s="1"/>
  <c r="X1" i="1059"/>
  <c r="Y1" i="1059" s="1"/>
  <c r="Z1" i="1059" s="1"/>
  <c r="AA1" i="1059" s="1"/>
  <c r="AB1" i="1059" s="1"/>
  <c r="AC1" i="1059" s="1"/>
  <c r="AD1" i="1059" s="1"/>
  <c r="AE1" i="1059" s="1"/>
  <c r="W1" i="1059"/>
  <c r="V1" i="1059"/>
  <c r="U1" i="1059"/>
  <c r="H1" i="1059"/>
  <c r="I1" i="1059" s="1"/>
  <c r="J1" i="1059" s="1"/>
  <c r="K1" i="1059" s="1"/>
  <c r="L1" i="1059" s="1"/>
  <c r="M1" i="1059" s="1"/>
  <c r="N1" i="1059" s="1"/>
  <c r="O1" i="1059" s="1"/>
  <c r="P1" i="1059" s="1"/>
  <c r="Q1" i="1059" s="1"/>
  <c r="R1" i="1059" s="1"/>
  <c r="AE238" i="1058"/>
  <c r="AD238" i="1058"/>
  <c r="AC238" i="1058"/>
  <c r="AB238" i="1058"/>
  <c r="AA238" i="1058"/>
  <c r="Z238" i="1058"/>
  <c r="Y238" i="1058"/>
  <c r="X238" i="1058"/>
  <c r="W238" i="1058"/>
  <c r="V238" i="1058"/>
  <c r="U238" i="1058"/>
  <c r="T238" i="1058"/>
  <c r="S238" i="1058"/>
  <c r="R238" i="1058"/>
  <c r="Q238" i="1058"/>
  <c r="P238" i="1058"/>
  <c r="O238" i="1058"/>
  <c r="N238" i="1058"/>
  <c r="M238" i="1058"/>
  <c r="L238" i="1058"/>
  <c r="K238" i="1058"/>
  <c r="J238" i="1058"/>
  <c r="I238" i="1058"/>
  <c r="H238" i="1058"/>
  <c r="G238" i="1058"/>
  <c r="B237" i="1058"/>
  <c r="S236" i="1058"/>
  <c r="G236" i="1058"/>
  <c r="AE235" i="1058"/>
  <c r="AD235" i="1058"/>
  <c r="AC235" i="1058"/>
  <c r="AB235" i="1058"/>
  <c r="AA235" i="1058"/>
  <c r="Z235" i="1058"/>
  <c r="Y235" i="1058"/>
  <c r="X235" i="1058"/>
  <c r="W235" i="1058"/>
  <c r="V235" i="1058"/>
  <c r="U235" i="1058"/>
  <c r="T235" i="1058"/>
  <c r="S235" i="1058"/>
  <c r="R235" i="1058"/>
  <c r="Q235" i="1058"/>
  <c r="P235" i="1058"/>
  <c r="O235" i="1058"/>
  <c r="N235" i="1058"/>
  <c r="M235" i="1058"/>
  <c r="L235" i="1058"/>
  <c r="K235" i="1058"/>
  <c r="J235" i="1058"/>
  <c r="I235" i="1058"/>
  <c r="H235" i="1058"/>
  <c r="G235" i="1058"/>
  <c r="B235" i="1058"/>
  <c r="B236" i="1058" s="1"/>
  <c r="AE234" i="1058"/>
  <c r="AD234" i="1058"/>
  <c r="AC234" i="1058"/>
  <c r="AB234" i="1058"/>
  <c r="AA234" i="1058"/>
  <c r="Z234" i="1058"/>
  <c r="Y234" i="1058"/>
  <c r="X234" i="1058"/>
  <c r="W234" i="1058"/>
  <c r="V234" i="1058"/>
  <c r="U234" i="1058"/>
  <c r="T234" i="1058"/>
  <c r="S234" i="1058"/>
  <c r="R234" i="1058"/>
  <c r="Q234" i="1058"/>
  <c r="P234" i="1058"/>
  <c r="O234" i="1058"/>
  <c r="N234" i="1058"/>
  <c r="M234" i="1058"/>
  <c r="L234" i="1058"/>
  <c r="K234" i="1058"/>
  <c r="J234" i="1058"/>
  <c r="I234" i="1058"/>
  <c r="H234" i="1058"/>
  <c r="G234" i="1058"/>
  <c r="AE233" i="1058"/>
  <c r="AD233" i="1058"/>
  <c r="AC233" i="1058"/>
  <c r="AB233" i="1058"/>
  <c r="AA233" i="1058"/>
  <c r="Z233" i="1058"/>
  <c r="Y233" i="1058"/>
  <c r="X233" i="1058"/>
  <c r="W233" i="1058"/>
  <c r="V233" i="1058"/>
  <c r="U233" i="1058"/>
  <c r="T233" i="1058"/>
  <c r="S233" i="1058"/>
  <c r="R233" i="1058"/>
  <c r="Q233" i="1058"/>
  <c r="P233" i="1058"/>
  <c r="O233" i="1058"/>
  <c r="N233" i="1058"/>
  <c r="M233" i="1058"/>
  <c r="L233" i="1058"/>
  <c r="K233" i="1058"/>
  <c r="J233" i="1058"/>
  <c r="I233" i="1058"/>
  <c r="H233" i="1058"/>
  <c r="G233" i="1058"/>
  <c r="AE232" i="1058"/>
  <c r="AD232" i="1058"/>
  <c r="AC232" i="1058"/>
  <c r="AB232" i="1058"/>
  <c r="AA232" i="1058"/>
  <c r="Z232" i="1058"/>
  <c r="Y232" i="1058"/>
  <c r="X232" i="1058"/>
  <c r="W232" i="1058"/>
  <c r="V232" i="1058"/>
  <c r="U232" i="1058"/>
  <c r="T232" i="1058"/>
  <c r="S232" i="1058"/>
  <c r="R232" i="1058"/>
  <c r="Q232" i="1058"/>
  <c r="P232" i="1058"/>
  <c r="O232" i="1058"/>
  <c r="N232" i="1058"/>
  <c r="M232" i="1058"/>
  <c r="L232" i="1058"/>
  <c r="K232" i="1058"/>
  <c r="J232" i="1058"/>
  <c r="I232" i="1058"/>
  <c r="H232" i="1058"/>
  <c r="G232" i="1058"/>
  <c r="B232" i="1058"/>
  <c r="B233" i="1058" s="1"/>
  <c r="B234" i="1058" s="1"/>
  <c r="AE231" i="1058"/>
  <c r="AD231" i="1058"/>
  <c r="AC231" i="1058"/>
  <c r="AB231" i="1058"/>
  <c r="AA231" i="1058"/>
  <c r="Z231" i="1058"/>
  <c r="Y231" i="1058"/>
  <c r="X231" i="1058"/>
  <c r="W231" i="1058"/>
  <c r="V231" i="1058"/>
  <c r="U231" i="1058"/>
  <c r="T231" i="1058"/>
  <c r="S231" i="1058"/>
  <c r="R231" i="1058"/>
  <c r="Q231" i="1058"/>
  <c r="P231" i="1058"/>
  <c r="O231" i="1058"/>
  <c r="N231" i="1058"/>
  <c r="M231" i="1058"/>
  <c r="L231" i="1058"/>
  <c r="K231" i="1058"/>
  <c r="J231" i="1058"/>
  <c r="I231" i="1058"/>
  <c r="H231" i="1058"/>
  <c r="G231" i="1058"/>
  <c r="F230" i="1058"/>
  <c r="F229" i="1058"/>
  <c r="S228" i="1058"/>
  <c r="M228" i="1058"/>
  <c r="L228" i="1058"/>
  <c r="G228" i="1058"/>
  <c r="AE227" i="1058"/>
  <c r="AD227" i="1058"/>
  <c r="AC227" i="1058"/>
  <c r="AB227" i="1058"/>
  <c r="AA227" i="1058"/>
  <c r="Z227" i="1058"/>
  <c r="Y227" i="1058"/>
  <c r="X227" i="1058"/>
  <c r="W227" i="1058"/>
  <c r="V227" i="1058"/>
  <c r="U227" i="1058"/>
  <c r="T227" i="1058"/>
  <c r="S227" i="1058"/>
  <c r="R227" i="1058"/>
  <c r="Q227" i="1058"/>
  <c r="P227" i="1058"/>
  <c r="O227" i="1058"/>
  <c r="N227" i="1058"/>
  <c r="M227" i="1058"/>
  <c r="L227" i="1058"/>
  <c r="K227" i="1058"/>
  <c r="J227" i="1058"/>
  <c r="I227" i="1058"/>
  <c r="H227" i="1058"/>
  <c r="G227" i="1058"/>
  <c r="AE226" i="1058"/>
  <c r="AD226" i="1058"/>
  <c r="AC226" i="1058"/>
  <c r="AB226" i="1058"/>
  <c r="AA226" i="1058"/>
  <c r="Z226" i="1058"/>
  <c r="Y226" i="1058"/>
  <c r="X226" i="1058"/>
  <c r="W226" i="1058"/>
  <c r="V226" i="1058"/>
  <c r="U226" i="1058"/>
  <c r="T226" i="1058"/>
  <c r="S226" i="1058"/>
  <c r="R226" i="1058"/>
  <c r="Q226" i="1058"/>
  <c r="P226" i="1058"/>
  <c r="O226" i="1058"/>
  <c r="N226" i="1058"/>
  <c r="M226" i="1058"/>
  <c r="L226" i="1058"/>
  <c r="K226" i="1058"/>
  <c r="J226" i="1058"/>
  <c r="I226" i="1058"/>
  <c r="H226" i="1058"/>
  <c r="G226" i="1058"/>
  <c r="S225" i="1058"/>
  <c r="AE224" i="1058"/>
  <c r="AD224" i="1058"/>
  <c r="AC224" i="1058"/>
  <c r="AB224" i="1058"/>
  <c r="AA224" i="1058"/>
  <c r="Z224" i="1058"/>
  <c r="Y224" i="1058"/>
  <c r="X224" i="1058"/>
  <c r="W224" i="1058"/>
  <c r="V224" i="1058"/>
  <c r="U224" i="1058"/>
  <c r="T224" i="1058"/>
  <c r="S224" i="1058"/>
  <c r="R224" i="1058"/>
  <c r="Q224" i="1058"/>
  <c r="P224" i="1058"/>
  <c r="O224" i="1058"/>
  <c r="N224" i="1058"/>
  <c r="M224" i="1058"/>
  <c r="L224" i="1058"/>
  <c r="K224" i="1058"/>
  <c r="J224" i="1058"/>
  <c r="I224" i="1058"/>
  <c r="H224" i="1058"/>
  <c r="G224" i="1058"/>
  <c r="AE223" i="1058"/>
  <c r="AD223" i="1058"/>
  <c r="AC223" i="1058"/>
  <c r="AB223" i="1058"/>
  <c r="AA223" i="1058"/>
  <c r="Z223" i="1058"/>
  <c r="Y223" i="1058"/>
  <c r="X223" i="1058"/>
  <c r="W223" i="1058"/>
  <c r="V223" i="1058"/>
  <c r="U223" i="1058"/>
  <c r="T223" i="1058"/>
  <c r="S223" i="1058"/>
  <c r="R223" i="1058"/>
  <c r="Q223" i="1058"/>
  <c r="P223" i="1058"/>
  <c r="O223" i="1058"/>
  <c r="N223" i="1058"/>
  <c r="M223" i="1058"/>
  <c r="L223" i="1058"/>
  <c r="K223" i="1058"/>
  <c r="J223" i="1058"/>
  <c r="I223" i="1058"/>
  <c r="H223" i="1058"/>
  <c r="G223" i="1058"/>
  <c r="D222" i="1058"/>
  <c r="S221" i="1058"/>
  <c r="S220" i="1058"/>
  <c r="P220" i="1058"/>
  <c r="H220" i="1058"/>
  <c r="S219" i="1058"/>
  <c r="D219" i="1058"/>
  <c r="S218" i="1058"/>
  <c r="D218" i="1058"/>
  <c r="S217" i="1058"/>
  <c r="G217" i="1058"/>
  <c r="S216" i="1058" a="1"/>
  <c r="S216" i="1058" s="1"/>
  <c r="S215" i="1058"/>
  <c r="S214" i="1058"/>
  <c r="S213" i="1058"/>
  <c r="S212" i="1058"/>
  <c r="S211" i="1058"/>
  <c r="S210" i="1058"/>
  <c r="S209" i="1058"/>
  <c r="S208" i="1058"/>
  <c r="S207" i="1058"/>
  <c r="S206" i="1058"/>
  <c r="S205" i="1058"/>
  <c r="S204" i="1058"/>
  <c r="S203" i="1058"/>
  <c r="S202" i="1058"/>
  <c r="AC199" i="1058"/>
  <c r="S199" i="1058"/>
  <c r="R199" i="1058"/>
  <c r="K199" i="1058"/>
  <c r="J199" i="1058"/>
  <c r="S198" i="1058"/>
  <c r="S197" i="1058"/>
  <c r="S196" i="1058"/>
  <c r="S195" i="1058"/>
  <c r="O195" i="1058"/>
  <c r="J195" i="1058"/>
  <c r="G195" i="1058"/>
  <c r="S194" i="1058"/>
  <c r="O194" i="1058"/>
  <c r="J194" i="1058"/>
  <c r="G194" i="1058"/>
  <c r="S193" i="1058"/>
  <c r="O193" i="1058"/>
  <c r="J193" i="1058"/>
  <c r="G193" i="1058"/>
  <c r="S192" i="1058"/>
  <c r="O192" i="1058"/>
  <c r="J192" i="1058"/>
  <c r="G192" i="1058"/>
  <c r="S191" i="1058"/>
  <c r="R191" i="1058"/>
  <c r="Q191" i="1058"/>
  <c r="P191" i="1058"/>
  <c r="O191" i="1058"/>
  <c r="N191" i="1058"/>
  <c r="M191" i="1058"/>
  <c r="L191" i="1058"/>
  <c r="K191" i="1058"/>
  <c r="J191" i="1058"/>
  <c r="I191" i="1058"/>
  <c r="H191" i="1058"/>
  <c r="G191" i="1058"/>
  <c r="AE190" i="1058"/>
  <c r="AD190" i="1058"/>
  <c r="AC190" i="1058"/>
  <c r="AB190" i="1058"/>
  <c r="AA190" i="1058"/>
  <c r="Z190" i="1058"/>
  <c r="Y190" i="1058"/>
  <c r="X190" i="1058"/>
  <c r="W190" i="1058"/>
  <c r="V190" i="1058"/>
  <c r="U190" i="1058"/>
  <c r="T190" i="1058"/>
  <c r="S190" i="1058"/>
  <c r="R190" i="1058"/>
  <c r="Q190" i="1058"/>
  <c r="P190" i="1058"/>
  <c r="O190" i="1058"/>
  <c r="N190" i="1058"/>
  <c r="M190" i="1058"/>
  <c r="L190" i="1058"/>
  <c r="K190" i="1058"/>
  <c r="J190" i="1058"/>
  <c r="I190" i="1058"/>
  <c r="H190" i="1058"/>
  <c r="G190" i="1058"/>
  <c r="S189" i="1058"/>
  <c r="R189" i="1058"/>
  <c r="Q189" i="1058"/>
  <c r="P189" i="1058"/>
  <c r="O189" i="1058"/>
  <c r="N189" i="1058"/>
  <c r="M189" i="1058"/>
  <c r="L189" i="1058"/>
  <c r="K189" i="1058"/>
  <c r="J189" i="1058"/>
  <c r="I189" i="1058"/>
  <c r="H189" i="1058"/>
  <c r="G189" i="1058"/>
  <c r="S188" i="1058"/>
  <c r="R188" i="1058"/>
  <c r="Q188" i="1058"/>
  <c r="P188" i="1058"/>
  <c r="O188" i="1058"/>
  <c r="N188" i="1058"/>
  <c r="M188" i="1058"/>
  <c r="L188" i="1058"/>
  <c r="K188" i="1058"/>
  <c r="J188" i="1058"/>
  <c r="I188" i="1058"/>
  <c r="H188" i="1058"/>
  <c r="G188" i="1058"/>
  <c r="AE183" i="1058"/>
  <c r="AD183" i="1058"/>
  <c r="AC183" i="1058"/>
  <c r="AB183" i="1058"/>
  <c r="AA183" i="1058"/>
  <c r="Z183" i="1058"/>
  <c r="Y183" i="1058"/>
  <c r="X183" i="1058"/>
  <c r="W183" i="1058"/>
  <c r="V183" i="1058"/>
  <c r="U183" i="1058"/>
  <c r="T183" i="1058"/>
  <c r="S183" i="1058"/>
  <c r="R183" i="1058"/>
  <c r="Q183" i="1058"/>
  <c r="P183" i="1058"/>
  <c r="O183" i="1058"/>
  <c r="N183" i="1058"/>
  <c r="M183" i="1058"/>
  <c r="L183" i="1058"/>
  <c r="K183" i="1058"/>
  <c r="J183" i="1058"/>
  <c r="I183" i="1058"/>
  <c r="H183" i="1058"/>
  <c r="G183" i="1058"/>
  <c r="S182" i="1058"/>
  <c r="G182" i="1058"/>
  <c r="B182" i="1058"/>
  <c r="B183" i="1058" s="1"/>
  <c r="B184" i="1058" s="1"/>
  <c r="B185" i="1058" s="1"/>
  <c r="B186" i="1058" s="1"/>
  <c r="S181" i="1058"/>
  <c r="G181" i="1058"/>
  <c r="S180" i="1058"/>
  <c r="G180" i="1058"/>
  <c r="S179" i="1058"/>
  <c r="G179" i="1058"/>
  <c r="S178" i="1058"/>
  <c r="G178" i="1058"/>
  <c r="S177" i="1058"/>
  <c r="G177" i="1058"/>
  <c r="B174" i="1058"/>
  <c r="B175" i="1058" s="1"/>
  <c r="B176" i="1058" s="1"/>
  <c r="B177" i="1058" s="1"/>
  <c r="B178" i="1058" s="1"/>
  <c r="B179" i="1058" s="1"/>
  <c r="B180" i="1058" s="1"/>
  <c r="B181" i="1058" s="1"/>
  <c r="S173" i="1058"/>
  <c r="B171" i="1058"/>
  <c r="B172" i="1058" s="1"/>
  <c r="B173" i="1058" s="1"/>
  <c r="S169" i="1058"/>
  <c r="G169" i="1058"/>
  <c r="S168" i="1058"/>
  <c r="G168" i="1058"/>
  <c r="B168" i="1058"/>
  <c r="B169" i="1058" s="1"/>
  <c r="B170" i="1058" s="1"/>
  <c r="S167" i="1058"/>
  <c r="G167" i="1058"/>
  <c r="G166" i="1058"/>
  <c r="G165" i="1058"/>
  <c r="T162" i="1058"/>
  <c r="G162" i="1058"/>
  <c r="G139" i="1058"/>
  <c r="G135" i="1058"/>
  <c r="G134" i="1058"/>
  <c r="G133" i="1058"/>
  <c r="G132" i="1058"/>
  <c r="G55" i="1058" s="1"/>
  <c r="G131" i="1058"/>
  <c r="G130" i="1058" a="1"/>
  <c r="G130" i="1058" s="1"/>
  <c r="G164" i="1058" s="1"/>
  <c r="G129" i="1058"/>
  <c r="G163" i="1058" s="1"/>
  <c r="G197" i="1058" s="1"/>
  <c r="F128" i="1058"/>
  <c r="F127" i="1058"/>
  <c r="H125" i="1058"/>
  <c r="G125" i="1058"/>
  <c r="G124" i="1058"/>
  <c r="G123" i="1058"/>
  <c r="G121" i="1058"/>
  <c r="G111" i="1058"/>
  <c r="B111" i="1058"/>
  <c r="D223" i="1058" s="1"/>
  <c r="G108" i="1058"/>
  <c r="B107" i="1058"/>
  <c r="B108" i="1058" s="1"/>
  <c r="S106" i="1058"/>
  <c r="G105" i="1058"/>
  <c r="G104" i="1058"/>
  <c r="D98" i="1058"/>
  <c r="D97" i="1058"/>
  <c r="D96" i="1058"/>
  <c r="D95" i="1058"/>
  <c r="D94" i="1058"/>
  <c r="D93" i="1058"/>
  <c r="G88" i="1058" a="1"/>
  <c r="G88" i="1058" s="1"/>
  <c r="G109" i="1058" s="1"/>
  <c r="R87" i="1058"/>
  <c r="Q87" i="1058"/>
  <c r="Q199" i="1058" s="1"/>
  <c r="P87" i="1058"/>
  <c r="P199" i="1058" s="1"/>
  <c r="O87" i="1058"/>
  <c r="O199" i="1058" s="1"/>
  <c r="N87" i="1058"/>
  <c r="N199" i="1058" s="1"/>
  <c r="M87" i="1058"/>
  <c r="M199" i="1058" s="1"/>
  <c r="L87" i="1058"/>
  <c r="L199" i="1058" s="1"/>
  <c r="K87" i="1058"/>
  <c r="J87" i="1058"/>
  <c r="I87" i="1058"/>
  <c r="I199" i="1058" s="1"/>
  <c r="H87" i="1058"/>
  <c r="H199" i="1058" s="1"/>
  <c r="G87" i="1058"/>
  <c r="G199" i="1058" s="1"/>
  <c r="R86" i="1058"/>
  <c r="Q86" i="1058"/>
  <c r="O86" i="1058"/>
  <c r="N86" i="1058"/>
  <c r="M86" i="1058"/>
  <c r="L86" i="1058"/>
  <c r="K86" i="1058"/>
  <c r="J86" i="1058"/>
  <c r="I86" i="1058"/>
  <c r="H86" i="1058"/>
  <c r="AB85" i="1058"/>
  <c r="R85" i="1058"/>
  <c r="Q85" i="1058"/>
  <c r="P85" i="1058"/>
  <c r="O85" i="1058"/>
  <c r="N85" i="1058"/>
  <c r="M85" i="1058"/>
  <c r="L85" i="1058"/>
  <c r="K85" i="1058"/>
  <c r="J85" i="1058"/>
  <c r="I85" i="1058"/>
  <c r="H85" i="1058"/>
  <c r="G85" i="1058"/>
  <c r="AC84" i="1058"/>
  <c r="R84" i="1058"/>
  <c r="Q84" i="1058"/>
  <c r="P84" i="1058"/>
  <c r="O84" i="1058"/>
  <c r="N84" i="1058"/>
  <c r="M84" i="1058"/>
  <c r="L84" i="1058"/>
  <c r="K84" i="1058"/>
  <c r="J84" i="1058"/>
  <c r="I84" i="1058"/>
  <c r="H84" i="1058"/>
  <c r="G84" i="1058"/>
  <c r="G216" i="1058" s="1" a="1"/>
  <c r="G216" i="1058" s="1"/>
  <c r="R83" i="1058"/>
  <c r="Q83" i="1058"/>
  <c r="P83" i="1058"/>
  <c r="O83" i="1058"/>
  <c r="N83" i="1058"/>
  <c r="M83" i="1058"/>
  <c r="L83" i="1058"/>
  <c r="K83" i="1058"/>
  <c r="J83" i="1058"/>
  <c r="I83" i="1058"/>
  <c r="H83" i="1058"/>
  <c r="G83" i="1058"/>
  <c r="Y82" i="1058"/>
  <c r="V82" i="1058"/>
  <c r="R82" i="1058"/>
  <c r="Q82" i="1058"/>
  <c r="P82" i="1058"/>
  <c r="O82" i="1058"/>
  <c r="N82" i="1058"/>
  <c r="M82" i="1058"/>
  <c r="L82" i="1058"/>
  <c r="K82" i="1058"/>
  <c r="J82" i="1058"/>
  <c r="I82" i="1058"/>
  <c r="H82" i="1058"/>
  <c r="G82" i="1058"/>
  <c r="AF82" i="1058" s="1"/>
  <c r="AA81" i="1058"/>
  <c r="R81" i="1058"/>
  <c r="Q81" i="1058"/>
  <c r="P81" i="1058"/>
  <c r="O81" i="1058"/>
  <c r="N81" i="1058"/>
  <c r="AF81" i="1058" s="1"/>
  <c r="M81" i="1058"/>
  <c r="L81" i="1058"/>
  <c r="K81" i="1058"/>
  <c r="J81" i="1058"/>
  <c r="I81" i="1058"/>
  <c r="H81" i="1058"/>
  <c r="G81" i="1058"/>
  <c r="R80" i="1058"/>
  <c r="Q80" i="1058"/>
  <c r="P80" i="1058"/>
  <c r="O80" i="1058"/>
  <c r="N80" i="1058"/>
  <c r="M80" i="1058"/>
  <c r="L80" i="1058"/>
  <c r="K80" i="1058"/>
  <c r="J80" i="1058"/>
  <c r="I80" i="1058"/>
  <c r="H80" i="1058"/>
  <c r="G80" i="1058"/>
  <c r="AF80" i="1058" s="1"/>
  <c r="R79" i="1058"/>
  <c r="Q79" i="1058"/>
  <c r="P79" i="1058"/>
  <c r="O79" i="1058"/>
  <c r="N79" i="1058"/>
  <c r="M79" i="1058"/>
  <c r="L79" i="1058"/>
  <c r="K79" i="1058"/>
  <c r="J79" i="1058"/>
  <c r="I79" i="1058"/>
  <c r="H79" i="1058"/>
  <c r="G79" i="1058"/>
  <c r="W78" i="1058"/>
  <c r="R78" i="1058"/>
  <c r="Q78" i="1058"/>
  <c r="P78" i="1058"/>
  <c r="O78" i="1058"/>
  <c r="N78" i="1058"/>
  <c r="M78" i="1058"/>
  <c r="L78" i="1058"/>
  <c r="K78" i="1058"/>
  <c r="J78" i="1058"/>
  <c r="I78" i="1058"/>
  <c r="H78" i="1058"/>
  <c r="G78" i="1058"/>
  <c r="O77" i="1058"/>
  <c r="J77" i="1058"/>
  <c r="G77" i="1058"/>
  <c r="AB76" i="1058"/>
  <c r="R76" i="1058"/>
  <c r="Q76" i="1058"/>
  <c r="P76" i="1058"/>
  <c r="O76" i="1058"/>
  <c r="N76" i="1058"/>
  <c r="M76" i="1058"/>
  <c r="L76" i="1058"/>
  <c r="K76" i="1058"/>
  <c r="J76" i="1058"/>
  <c r="AF76" i="1058" s="1"/>
  <c r="I76" i="1058"/>
  <c r="H76" i="1058"/>
  <c r="G76" i="1058"/>
  <c r="AB75" i="1058"/>
  <c r="Y75" i="1058"/>
  <c r="R75" i="1058"/>
  <c r="Q75" i="1058"/>
  <c r="P75" i="1058"/>
  <c r="O75" i="1058"/>
  <c r="N75" i="1058"/>
  <c r="M75" i="1058"/>
  <c r="L75" i="1058"/>
  <c r="K75" i="1058"/>
  <c r="J75" i="1058"/>
  <c r="I75" i="1058"/>
  <c r="H75" i="1058"/>
  <c r="G75" i="1058"/>
  <c r="AF75" i="1058" s="1"/>
  <c r="AE74" i="1058"/>
  <c r="R74" i="1058"/>
  <c r="Q74" i="1058"/>
  <c r="P74" i="1058"/>
  <c r="O74" i="1058"/>
  <c r="N74" i="1058"/>
  <c r="M74" i="1058"/>
  <c r="L74" i="1058"/>
  <c r="K74" i="1058"/>
  <c r="J74" i="1058"/>
  <c r="I74" i="1058"/>
  <c r="H74" i="1058"/>
  <c r="G74" i="1058"/>
  <c r="Z73" i="1058"/>
  <c r="R73" i="1058"/>
  <c r="Q73" i="1058"/>
  <c r="P73" i="1058"/>
  <c r="O73" i="1058"/>
  <c r="N73" i="1058"/>
  <c r="M73" i="1058"/>
  <c r="L73" i="1058"/>
  <c r="K73" i="1058"/>
  <c r="J73" i="1058"/>
  <c r="I73" i="1058"/>
  <c r="H73" i="1058"/>
  <c r="G73" i="1058"/>
  <c r="AF73" i="1058" s="1"/>
  <c r="V72" i="1058"/>
  <c r="R72" i="1058"/>
  <c r="Q72" i="1058"/>
  <c r="Q220" i="1058" s="1"/>
  <c r="P72" i="1058"/>
  <c r="O72" i="1058"/>
  <c r="N72" i="1058"/>
  <c r="N220" i="1058" s="1"/>
  <c r="M72" i="1058"/>
  <c r="M220" i="1058" s="1"/>
  <c r="L72" i="1058"/>
  <c r="L220" i="1058" s="1"/>
  <c r="K72" i="1058"/>
  <c r="J72" i="1058"/>
  <c r="I72" i="1058"/>
  <c r="I220" i="1058" s="1"/>
  <c r="H72" i="1058"/>
  <c r="G72" i="1058"/>
  <c r="G69" i="1058"/>
  <c r="AG68" i="1058"/>
  <c r="E68" i="1058"/>
  <c r="D68" i="1058"/>
  <c r="G68" i="1058" s="1"/>
  <c r="C68" i="1058"/>
  <c r="AG67" i="1058"/>
  <c r="G67" i="1058"/>
  <c r="G214" i="1058" s="1"/>
  <c r="AG66" i="1058"/>
  <c r="G66" i="1058"/>
  <c r="AG65" i="1058"/>
  <c r="G65" i="1058"/>
  <c r="AG64" i="1058"/>
  <c r="G64" i="1058"/>
  <c r="G212" i="1058" s="1"/>
  <c r="AG63" i="1058"/>
  <c r="G63" i="1058"/>
  <c r="G99" i="1058" s="1"/>
  <c r="AG62" i="1058"/>
  <c r="E62" i="1058"/>
  <c r="D62" i="1058"/>
  <c r="G62" i="1058" s="1"/>
  <c r="C62" i="1058"/>
  <c r="AG61" i="1058"/>
  <c r="E61" i="1058"/>
  <c r="D61" i="1058"/>
  <c r="C61" i="1058"/>
  <c r="AG60" i="1058"/>
  <c r="G60" i="1058"/>
  <c r="E60" i="1058"/>
  <c r="D60" i="1058"/>
  <c r="C60" i="1058"/>
  <c r="AG59" i="1058"/>
  <c r="G59" i="1058"/>
  <c r="G207" i="1058" s="1"/>
  <c r="E59" i="1058"/>
  <c r="D59" i="1058"/>
  <c r="G173" i="1058" s="1"/>
  <c r="C59" i="1058"/>
  <c r="AG58" i="1058"/>
  <c r="E58" i="1058"/>
  <c r="D58" i="1058"/>
  <c r="G58" i="1058" s="1"/>
  <c r="C58" i="1058"/>
  <c r="AG57" i="1058"/>
  <c r="E57" i="1058"/>
  <c r="D57" i="1058"/>
  <c r="C57" i="1058"/>
  <c r="AG56" i="1058"/>
  <c r="G56" i="1058"/>
  <c r="AG55" i="1058"/>
  <c r="AG54" i="1058"/>
  <c r="H54" i="1058"/>
  <c r="G54" i="1058"/>
  <c r="AG53" i="1058"/>
  <c r="I53" i="1058"/>
  <c r="G53" i="1058"/>
  <c r="A52" i="1058"/>
  <c r="U51" i="1058"/>
  <c r="T51" i="1058"/>
  <c r="H51" i="1058"/>
  <c r="I51" i="1058" s="1"/>
  <c r="U50" i="1058"/>
  <c r="T50" i="1058"/>
  <c r="H50" i="1058"/>
  <c r="I50" i="1058" s="1"/>
  <c r="U49" i="1058"/>
  <c r="T49" i="1058"/>
  <c r="H49" i="1058"/>
  <c r="I49" i="1058" s="1"/>
  <c r="AE48" i="1058"/>
  <c r="AD48" i="1058"/>
  <c r="AC48" i="1058"/>
  <c r="AB48" i="1058"/>
  <c r="AA48" i="1058"/>
  <c r="Z48" i="1058"/>
  <c r="Y48" i="1058"/>
  <c r="X48" i="1058"/>
  <c r="W48" i="1058"/>
  <c r="V48" i="1058"/>
  <c r="U48" i="1058"/>
  <c r="T48" i="1058"/>
  <c r="AE47" i="1058"/>
  <c r="AD47" i="1058"/>
  <c r="AC47" i="1058"/>
  <c r="AB47" i="1058"/>
  <c r="AA47" i="1058"/>
  <c r="Z47" i="1058"/>
  <c r="Y47" i="1058"/>
  <c r="X47" i="1058"/>
  <c r="W47" i="1058"/>
  <c r="V47" i="1058"/>
  <c r="U47" i="1058"/>
  <c r="T47" i="1058"/>
  <c r="AE46" i="1058"/>
  <c r="AD46" i="1058"/>
  <c r="AC46" i="1058"/>
  <c r="AB46" i="1058"/>
  <c r="AA46" i="1058"/>
  <c r="Z46" i="1058"/>
  <c r="Y46" i="1058"/>
  <c r="X46" i="1058"/>
  <c r="W46" i="1058"/>
  <c r="V46" i="1058"/>
  <c r="U46" i="1058"/>
  <c r="T46" i="1058"/>
  <c r="AE45" i="1058"/>
  <c r="AD45" i="1058"/>
  <c r="AC45" i="1058"/>
  <c r="AB45" i="1058"/>
  <c r="AA45" i="1058"/>
  <c r="Z45" i="1058"/>
  <c r="Y45" i="1058"/>
  <c r="X45" i="1058"/>
  <c r="W45" i="1058"/>
  <c r="V45" i="1058"/>
  <c r="U45" i="1058"/>
  <c r="T45" i="1058"/>
  <c r="AE44" i="1058"/>
  <c r="AE86" i="1058" s="1"/>
  <c r="AD44" i="1058"/>
  <c r="AD86" i="1058" s="1"/>
  <c r="AB44" i="1058"/>
  <c r="AB86" i="1058" s="1"/>
  <c r="AA44" i="1058"/>
  <c r="AA86" i="1058" s="1"/>
  <c r="Z44" i="1058"/>
  <c r="Z86" i="1058" s="1"/>
  <c r="Y44" i="1058"/>
  <c r="Y86" i="1058" s="1"/>
  <c r="X44" i="1058"/>
  <c r="X86" i="1058" s="1"/>
  <c r="W44" i="1058"/>
  <c r="W86" i="1058" s="1"/>
  <c r="V44" i="1058"/>
  <c r="V86" i="1058" s="1"/>
  <c r="U44" i="1058"/>
  <c r="U86" i="1058" s="1"/>
  <c r="AF43" i="1058"/>
  <c r="AE43" i="1058"/>
  <c r="AD43" i="1058"/>
  <c r="AC43" i="1058"/>
  <c r="AB43" i="1058"/>
  <c r="AA43" i="1058"/>
  <c r="Z43" i="1058"/>
  <c r="Y43" i="1058"/>
  <c r="X43" i="1058"/>
  <c r="W43" i="1058"/>
  <c r="V43" i="1058"/>
  <c r="U43" i="1058"/>
  <c r="T43" i="1058"/>
  <c r="AE42" i="1058"/>
  <c r="AD42" i="1058"/>
  <c r="AC42" i="1058"/>
  <c r="AB42" i="1058"/>
  <c r="AA42" i="1058"/>
  <c r="Z42" i="1058"/>
  <c r="Y42" i="1058"/>
  <c r="X42" i="1058"/>
  <c r="X87" i="1058" s="1"/>
  <c r="X199" i="1058" s="1"/>
  <c r="W42" i="1058"/>
  <c r="W87" i="1058" s="1"/>
  <c r="W199" i="1058" s="1"/>
  <c r="V42" i="1058"/>
  <c r="U42" i="1058"/>
  <c r="T42" i="1058"/>
  <c r="AE41" i="1058"/>
  <c r="AE84" i="1058" s="1"/>
  <c r="AD41" i="1058"/>
  <c r="AD84" i="1058" s="1"/>
  <c r="AC41" i="1058"/>
  <c r="AB41" i="1058"/>
  <c r="AB84" i="1058" s="1"/>
  <c r="AA41" i="1058"/>
  <c r="AA84" i="1058" s="1"/>
  <c r="Z41" i="1058"/>
  <c r="Z84" i="1058" s="1"/>
  <c r="Y41" i="1058"/>
  <c r="Y84" i="1058" s="1"/>
  <c r="X41" i="1058"/>
  <c r="X84" i="1058" s="1"/>
  <c r="W41" i="1058"/>
  <c r="W84" i="1058" s="1"/>
  <c r="V41" i="1058"/>
  <c r="V84" i="1058" s="1"/>
  <c r="U41" i="1058"/>
  <c r="U84" i="1058" s="1"/>
  <c r="T41" i="1058"/>
  <c r="T84" i="1058" s="1"/>
  <c r="AE40" i="1058"/>
  <c r="AD40" i="1058"/>
  <c r="AC40" i="1058"/>
  <c r="AB40" i="1058"/>
  <c r="AA40" i="1058"/>
  <c r="Z40" i="1058"/>
  <c r="Y40" i="1058"/>
  <c r="X40" i="1058"/>
  <c r="W40" i="1058"/>
  <c r="W83" i="1058" s="1"/>
  <c r="V40" i="1058"/>
  <c r="V83" i="1058" s="1"/>
  <c r="U40" i="1058"/>
  <c r="T40" i="1058"/>
  <c r="T83" i="1058" s="1"/>
  <c r="AE39" i="1058"/>
  <c r="AD39" i="1058"/>
  <c r="AD82" i="1058" s="1"/>
  <c r="AC39" i="1058"/>
  <c r="AB39" i="1058"/>
  <c r="AA39" i="1058"/>
  <c r="Z39" i="1058"/>
  <c r="Y39" i="1058"/>
  <c r="X39" i="1058"/>
  <c r="W39" i="1058"/>
  <c r="V39" i="1058"/>
  <c r="U39" i="1058"/>
  <c r="T39" i="1058"/>
  <c r="AE38" i="1058"/>
  <c r="AD38" i="1058"/>
  <c r="AC38" i="1058"/>
  <c r="AB38" i="1058"/>
  <c r="AA38" i="1058"/>
  <c r="Z38" i="1058"/>
  <c r="Y38" i="1058"/>
  <c r="X38" i="1058"/>
  <c r="W38" i="1058"/>
  <c r="V38" i="1058"/>
  <c r="U38" i="1058"/>
  <c r="T38" i="1058"/>
  <c r="AE37" i="1058"/>
  <c r="AE79" i="1058" s="1"/>
  <c r="AD37" i="1058"/>
  <c r="AD79" i="1058" s="1"/>
  <c r="AC37" i="1058"/>
  <c r="AC79" i="1058" s="1"/>
  <c r="AB37" i="1058"/>
  <c r="AB79" i="1058" s="1"/>
  <c r="AA37" i="1058"/>
  <c r="AA79" i="1058" s="1"/>
  <c r="Z37" i="1058"/>
  <c r="Z79" i="1058" s="1"/>
  <c r="Y37" i="1058"/>
  <c r="Y79" i="1058" s="1"/>
  <c r="X37" i="1058"/>
  <c r="X79" i="1058" s="1"/>
  <c r="W37" i="1058"/>
  <c r="W79" i="1058" s="1"/>
  <c r="V37" i="1058"/>
  <c r="V79" i="1058" s="1"/>
  <c r="U37" i="1058"/>
  <c r="U79" i="1058" s="1"/>
  <c r="T37" i="1058"/>
  <c r="T79" i="1058" s="1"/>
  <c r="AE36" i="1058"/>
  <c r="AD36" i="1058"/>
  <c r="AC36" i="1058"/>
  <c r="AB36" i="1058"/>
  <c r="AA36" i="1058"/>
  <c r="AA78" i="1058" s="1"/>
  <c r="Z36" i="1058"/>
  <c r="Y36" i="1058"/>
  <c r="X36" i="1058"/>
  <c r="W36" i="1058"/>
  <c r="V36" i="1058"/>
  <c r="U36" i="1058"/>
  <c r="T36" i="1058"/>
  <c r="AE35" i="1058"/>
  <c r="AD35" i="1058"/>
  <c r="AC35" i="1058"/>
  <c r="AB35" i="1058"/>
  <c r="AA35" i="1058"/>
  <c r="Z35" i="1058"/>
  <c r="Y35" i="1058"/>
  <c r="X35" i="1058"/>
  <c r="W35" i="1058"/>
  <c r="V35" i="1058"/>
  <c r="U35" i="1058"/>
  <c r="T35" i="1058"/>
  <c r="AE34" i="1058"/>
  <c r="AD34" i="1058"/>
  <c r="AC34" i="1058"/>
  <c r="AB34" i="1058"/>
  <c r="AB191" i="1058" s="1"/>
  <c r="AA34" i="1058"/>
  <c r="Z34" i="1058"/>
  <c r="Y34" i="1058"/>
  <c r="X34" i="1058"/>
  <c r="W34" i="1058"/>
  <c r="W85" i="1058" s="1"/>
  <c r="V34" i="1058"/>
  <c r="U34" i="1058"/>
  <c r="T34" i="1058"/>
  <c r="AE33" i="1058"/>
  <c r="AE76" i="1058" s="1"/>
  <c r="AD33" i="1058"/>
  <c r="AD76" i="1058" s="1"/>
  <c r="AC33" i="1058"/>
  <c r="AC76" i="1058" s="1"/>
  <c r="AB33" i="1058"/>
  <c r="AA33" i="1058"/>
  <c r="AA76" i="1058" s="1"/>
  <c r="Z33" i="1058"/>
  <c r="Z76" i="1058" s="1"/>
  <c r="Y33" i="1058"/>
  <c r="Y76" i="1058" s="1"/>
  <c r="X33" i="1058"/>
  <c r="X76" i="1058" s="1"/>
  <c r="W33" i="1058"/>
  <c r="W76" i="1058" s="1"/>
  <c r="V33" i="1058"/>
  <c r="V76" i="1058" s="1"/>
  <c r="U33" i="1058"/>
  <c r="U76" i="1058" s="1"/>
  <c r="T33" i="1058"/>
  <c r="T76" i="1058" s="1"/>
  <c r="AE32" i="1058"/>
  <c r="AD32" i="1058"/>
  <c r="AD189" i="1058" s="1"/>
  <c r="AC32" i="1058"/>
  <c r="AC189" i="1058" s="1"/>
  <c r="AB32" i="1058"/>
  <c r="AB189" i="1058" s="1"/>
  <c r="AA32" i="1058"/>
  <c r="Z32" i="1058"/>
  <c r="Y32" i="1058"/>
  <c r="Y189" i="1058" s="1"/>
  <c r="X32" i="1058"/>
  <c r="W32" i="1058"/>
  <c r="V32" i="1058"/>
  <c r="V189" i="1058" s="1"/>
  <c r="U32" i="1058"/>
  <c r="U189" i="1058" s="1"/>
  <c r="T32" i="1058"/>
  <c r="T189" i="1058" s="1"/>
  <c r="AE31" i="1058"/>
  <c r="AE188" i="1058" s="1"/>
  <c r="AD31" i="1058"/>
  <c r="AD74" i="1058" s="1"/>
  <c r="AC31" i="1058"/>
  <c r="AB31" i="1058"/>
  <c r="AB188" i="1058" s="1"/>
  <c r="AA31" i="1058"/>
  <c r="AA188" i="1058" s="1"/>
  <c r="Z31" i="1058"/>
  <c r="Z188" i="1058" s="1"/>
  <c r="Y31" i="1058"/>
  <c r="X31" i="1058"/>
  <c r="X188" i="1058" s="1"/>
  <c r="W31" i="1058"/>
  <c r="V31" i="1058"/>
  <c r="U31" i="1058"/>
  <c r="T31" i="1058"/>
  <c r="T188" i="1058" s="1"/>
  <c r="AB30" i="1058"/>
  <c r="AA30" i="1058"/>
  <c r="Z30" i="1058"/>
  <c r="Y30" i="1058"/>
  <c r="T30" i="1058"/>
  <c r="O30" i="1058"/>
  <c r="P30" i="1058" s="1"/>
  <c r="AC30" i="1058" s="1"/>
  <c r="N30" i="1058"/>
  <c r="M30" i="1058"/>
  <c r="H30" i="1058"/>
  <c r="E30" i="1058"/>
  <c r="D30" i="1058"/>
  <c r="AA29" i="1058"/>
  <c r="AA228" i="1058" s="1"/>
  <c r="Z29" i="1058"/>
  <c r="Z228" i="1058" s="1"/>
  <c r="Y29" i="1058"/>
  <c r="Y228" i="1058" s="1"/>
  <c r="U29" i="1058"/>
  <c r="U228" i="1058" s="1"/>
  <c r="T29" i="1058"/>
  <c r="T228" i="1058" s="1"/>
  <c r="M29" i="1058"/>
  <c r="N29" i="1058" s="1"/>
  <c r="I29" i="1058"/>
  <c r="H29" i="1058"/>
  <c r="H228" i="1058" s="1"/>
  <c r="B29" i="1058"/>
  <c r="B30" i="1058" s="1"/>
  <c r="B31" i="1058" s="1"/>
  <c r="B32" i="1058" s="1"/>
  <c r="B33" i="1058" s="1"/>
  <c r="B34" i="1058" s="1"/>
  <c r="B35" i="1058" s="1"/>
  <c r="B36" i="1058" s="1"/>
  <c r="B37" i="1058" s="1"/>
  <c r="B38" i="1058" s="1"/>
  <c r="B39" i="1058" s="1"/>
  <c r="B40" i="1058" s="1"/>
  <c r="B41" i="1058" s="1"/>
  <c r="B42" i="1058" s="1"/>
  <c r="B43" i="1058" s="1"/>
  <c r="B44" i="1058" s="1"/>
  <c r="B45" i="1058" s="1"/>
  <c r="B46" i="1058" s="1"/>
  <c r="B47" i="1058" s="1"/>
  <c r="B48" i="1058" s="1"/>
  <c r="B49" i="1058" s="1"/>
  <c r="B50" i="1058" s="1"/>
  <c r="B51" i="1058" s="1"/>
  <c r="B52" i="1058" s="1"/>
  <c r="B53" i="1058" s="1"/>
  <c r="B54" i="1058" s="1"/>
  <c r="AE28" i="1058"/>
  <c r="AD28" i="1058"/>
  <c r="AC28" i="1058"/>
  <c r="AB28" i="1058"/>
  <c r="AA28" i="1058"/>
  <c r="Z28" i="1058"/>
  <c r="Y28" i="1058"/>
  <c r="X28" i="1058"/>
  <c r="W28" i="1058"/>
  <c r="V28" i="1058"/>
  <c r="U28" i="1058"/>
  <c r="T28" i="1058"/>
  <c r="AE27" i="1058"/>
  <c r="AE73" i="1058" s="1"/>
  <c r="AD27" i="1058"/>
  <c r="AD73" i="1058" s="1"/>
  <c r="AC27" i="1058"/>
  <c r="AC73" i="1058" s="1"/>
  <c r="AB27" i="1058"/>
  <c r="AB73" i="1058" s="1"/>
  <c r="AA27" i="1058"/>
  <c r="AA73" i="1058" s="1"/>
  <c r="Z27" i="1058"/>
  <c r="Y27" i="1058"/>
  <c r="Y73" i="1058" s="1"/>
  <c r="X27" i="1058"/>
  <c r="X73" i="1058" s="1"/>
  <c r="W27" i="1058"/>
  <c r="W73" i="1058" s="1"/>
  <c r="V27" i="1058"/>
  <c r="V73" i="1058" s="1"/>
  <c r="U27" i="1058"/>
  <c r="U73" i="1058" s="1"/>
  <c r="T27" i="1058"/>
  <c r="T73" i="1058" s="1"/>
  <c r="AE26" i="1058"/>
  <c r="AE72" i="1058" s="1"/>
  <c r="AD26" i="1058"/>
  <c r="AD72" i="1058" s="1"/>
  <c r="AC26" i="1058"/>
  <c r="AC72" i="1058" s="1"/>
  <c r="AC220" i="1058" s="1"/>
  <c r="AB26" i="1058"/>
  <c r="AB72" i="1058" s="1"/>
  <c r="AA26" i="1058"/>
  <c r="AA72" i="1058" s="1"/>
  <c r="Z26" i="1058"/>
  <c r="Z72" i="1058" s="1"/>
  <c r="Y26" i="1058"/>
  <c r="Y72" i="1058" s="1"/>
  <c r="X26" i="1058"/>
  <c r="X72" i="1058" s="1"/>
  <c r="W26" i="1058"/>
  <c r="W72" i="1058" s="1"/>
  <c r="W220" i="1058" s="1"/>
  <c r="V26" i="1058"/>
  <c r="U26" i="1058"/>
  <c r="U72" i="1058" s="1"/>
  <c r="T26" i="1058"/>
  <c r="T72" i="1058" s="1"/>
  <c r="AF25" i="1058"/>
  <c r="AE25" i="1058"/>
  <c r="AD25" i="1058"/>
  <c r="AC25" i="1058"/>
  <c r="AB25" i="1058"/>
  <c r="AA25" i="1058"/>
  <c r="Z25" i="1058"/>
  <c r="Y25" i="1058"/>
  <c r="X25" i="1058"/>
  <c r="W25" i="1058"/>
  <c r="V25" i="1058"/>
  <c r="U25" i="1058"/>
  <c r="T25" i="1058"/>
  <c r="AE24" i="1058"/>
  <c r="AD24" i="1058"/>
  <c r="AC24" i="1058"/>
  <c r="X24" i="1058"/>
  <c r="W24" i="1058"/>
  <c r="V24" i="1058"/>
  <c r="U24" i="1058"/>
  <c r="T24" i="1058"/>
  <c r="L24" i="1058"/>
  <c r="Y24" i="1058" s="1"/>
  <c r="T23" i="1058"/>
  <c r="H23" i="1058"/>
  <c r="H182" i="1058" s="1"/>
  <c r="T22" i="1058"/>
  <c r="H22" i="1058"/>
  <c r="T21" i="1058"/>
  <c r="H21" i="1058"/>
  <c r="T20" i="1058"/>
  <c r="T177" i="1058" s="1"/>
  <c r="H20" i="1058"/>
  <c r="T19" i="1058"/>
  <c r="H19" i="1058"/>
  <c r="T18" i="1058"/>
  <c r="H18" i="1058"/>
  <c r="T17" i="1058"/>
  <c r="H17" i="1058"/>
  <c r="T16" i="1058"/>
  <c r="T59" i="1058" s="1"/>
  <c r="H16" i="1058"/>
  <c r="T15" i="1058"/>
  <c r="H15" i="1058"/>
  <c r="T14" i="1058"/>
  <c r="H14" i="1058"/>
  <c r="T13" i="1058"/>
  <c r="H13" i="1058"/>
  <c r="H56" i="1058" s="1"/>
  <c r="T12" i="1058"/>
  <c r="H12" i="1058"/>
  <c r="T11" i="1058"/>
  <c r="T10" i="1058" s="1"/>
  <c r="H11" i="1058"/>
  <c r="J10" i="1058"/>
  <c r="I10" i="1058"/>
  <c r="H10" i="1058"/>
  <c r="W9" i="1058"/>
  <c r="W88" i="1058" s="1"/>
  <c r="W109" i="1058" s="1"/>
  <c r="V9" i="1058"/>
  <c r="V88" i="1058" s="1"/>
  <c r="U9" i="1058"/>
  <c r="U88" i="1058" s="1"/>
  <c r="U109" i="1058" s="1"/>
  <c r="T9" i="1058"/>
  <c r="T88" i="1058" s="1"/>
  <c r="J9" i="1058"/>
  <c r="J88" i="1058" s="1" a="1"/>
  <c r="J88" i="1058" s="1"/>
  <c r="J221" i="1058" s="1"/>
  <c r="I9" i="1058"/>
  <c r="I88" i="1058" s="1" a="1"/>
  <c r="I88" i="1058" s="1"/>
  <c r="H9" i="1058"/>
  <c r="H88" i="1058" s="1" a="1"/>
  <c r="H88" i="1058" s="1"/>
  <c r="H221" i="1058" s="1"/>
  <c r="U8" i="1058"/>
  <c r="T8" i="1058"/>
  <c r="I8" i="1058"/>
  <c r="H8" i="1058"/>
  <c r="H67" i="1058" s="1"/>
  <c r="AD7" i="1058"/>
  <c r="AB7" i="1058"/>
  <c r="AA7" i="1058"/>
  <c r="Y7" i="1058"/>
  <c r="V7" i="1058"/>
  <c r="T7" i="1058"/>
  <c r="R7" i="1058"/>
  <c r="AE7" i="1058" s="1"/>
  <c r="Q7" i="1058"/>
  <c r="P7" i="1058"/>
  <c r="AC7" i="1058" s="1"/>
  <c r="O7" i="1058"/>
  <c r="N7" i="1058"/>
  <c r="M7" i="1058"/>
  <c r="Z7" i="1058" s="1"/>
  <c r="L7" i="1058"/>
  <c r="K7" i="1058"/>
  <c r="X7" i="1058" s="1"/>
  <c r="J7" i="1058"/>
  <c r="W7" i="1058" s="1"/>
  <c r="I7" i="1058"/>
  <c r="H7" i="1058"/>
  <c r="U7" i="1058" s="1"/>
  <c r="AF6" i="1058"/>
  <c r="AC6" i="1058"/>
  <c r="AC77" i="1058" s="1"/>
  <c r="AB6" i="1058"/>
  <c r="W6" i="1058"/>
  <c r="U6" i="1058"/>
  <c r="T6" i="1058"/>
  <c r="Q6" i="1058"/>
  <c r="P6" i="1058"/>
  <c r="M6" i="1058"/>
  <c r="L6" i="1058"/>
  <c r="K6" i="1058"/>
  <c r="I6" i="1058"/>
  <c r="H6" i="1058"/>
  <c r="H165" i="1058" s="1"/>
  <c r="AC5" i="1058"/>
  <c r="AA5" i="1058"/>
  <c r="Z5" i="1058"/>
  <c r="U5" i="1058"/>
  <c r="T5" i="1058"/>
  <c r="R5" i="1058"/>
  <c r="Q5" i="1058"/>
  <c r="P5" i="1058"/>
  <c r="P107" i="1058" s="1"/>
  <c r="O5" i="1058"/>
  <c r="N5" i="1058"/>
  <c r="M5" i="1058"/>
  <c r="L5" i="1058"/>
  <c r="K5" i="1058"/>
  <c r="J5" i="1058"/>
  <c r="I5" i="1058"/>
  <c r="H5" i="1058"/>
  <c r="H107" i="1058" s="1"/>
  <c r="B5" i="1058"/>
  <c r="B6" i="1058" s="1"/>
  <c r="B7" i="1058" s="1"/>
  <c r="B10" i="1058" s="1"/>
  <c r="B12" i="1058" s="1"/>
  <c r="B13" i="1058" s="1"/>
  <c r="B14" i="1058" s="1"/>
  <c r="B15" i="1058" s="1"/>
  <c r="B16" i="1058" s="1"/>
  <c r="B17" i="1058" s="1"/>
  <c r="B18" i="1058" s="1"/>
  <c r="B19" i="1058" s="1"/>
  <c r="B20" i="1058" s="1"/>
  <c r="B21" i="1058" s="1"/>
  <c r="B22" i="1058" s="1"/>
  <c r="B23" i="1058" s="1"/>
  <c r="B24" i="1058" s="1"/>
  <c r="B25" i="1058" s="1"/>
  <c r="B26" i="1058" s="1"/>
  <c r="U4" i="1058"/>
  <c r="T4" i="1058"/>
  <c r="T134" i="1058" s="1"/>
  <c r="I4" i="1058"/>
  <c r="H4" i="1058"/>
  <c r="B4" i="1058"/>
  <c r="AE2" i="1058"/>
  <c r="AE52" i="1058" s="1"/>
  <c r="AD2" i="1058"/>
  <c r="AD52" i="1058" s="1"/>
  <c r="AC2" i="1058"/>
  <c r="AC52" i="1058" s="1"/>
  <c r="AB2" i="1058"/>
  <c r="AB52" i="1058" s="1"/>
  <c r="AA2" i="1058"/>
  <c r="AA52" i="1058" s="1"/>
  <c r="Z2" i="1058"/>
  <c r="Z52" i="1058" s="1"/>
  <c r="Y2" i="1058"/>
  <c r="Y52" i="1058" s="1"/>
  <c r="X2" i="1058"/>
  <c r="X52" i="1058" s="1"/>
  <c r="W2" i="1058"/>
  <c r="W52" i="1058" s="1"/>
  <c r="V2" i="1058"/>
  <c r="V52" i="1058" s="1"/>
  <c r="U2" i="1058"/>
  <c r="U52" i="1058" s="1"/>
  <c r="T2" i="1058"/>
  <c r="T52" i="1058" s="1"/>
  <c r="R2" i="1058"/>
  <c r="R52" i="1058" s="1"/>
  <c r="Q2" i="1058"/>
  <c r="Q52" i="1058" s="1"/>
  <c r="P2" i="1058"/>
  <c r="P52" i="1058" s="1"/>
  <c r="O2" i="1058"/>
  <c r="O52" i="1058" s="1"/>
  <c r="N2" i="1058"/>
  <c r="N52" i="1058" s="1"/>
  <c r="M2" i="1058"/>
  <c r="M52" i="1058" s="1"/>
  <c r="L2" i="1058"/>
  <c r="L52" i="1058" s="1"/>
  <c r="K2" i="1058"/>
  <c r="K52" i="1058" s="1"/>
  <c r="J2" i="1058"/>
  <c r="J52" i="1058" s="1"/>
  <c r="I2" i="1058"/>
  <c r="I52" i="1058" s="1"/>
  <c r="H2" i="1058"/>
  <c r="H52" i="1058" s="1"/>
  <c r="G2" i="1058"/>
  <c r="G52" i="1058" s="1"/>
  <c r="B2" i="1058"/>
  <c r="B3" i="1058" s="1"/>
  <c r="Y1" i="1058"/>
  <c r="Z1" i="1058" s="1"/>
  <c r="AA1" i="1058" s="1"/>
  <c r="AB1" i="1058" s="1"/>
  <c r="AC1" i="1058" s="1"/>
  <c r="AD1" i="1058" s="1"/>
  <c r="AE1" i="1058" s="1"/>
  <c r="U1" i="1058"/>
  <c r="V1" i="1058" s="1"/>
  <c r="W1" i="1058" s="1"/>
  <c r="X1" i="1058" s="1"/>
  <c r="I1" i="1058"/>
  <c r="J1" i="1058" s="1"/>
  <c r="K1" i="1058" s="1"/>
  <c r="L1" i="1058" s="1"/>
  <c r="M1" i="1058" s="1"/>
  <c r="N1" i="1058" s="1"/>
  <c r="O1" i="1058" s="1"/>
  <c r="P1" i="1058" s="1"/>
  <c r="Q1" i="1058" s="1"/>
  <c r="R1" i="1058" s="1"/>
  <c r="H1" i="1058"/>
  <c r="AE238" i="1057"/>
  <c r="AD238" i="1057"/>
  <c r="AC238" i="1057"/>
  <c r="AB238" i="1057"/>
  <c r="AA238" i="1057"/>
  <c r="Z238" i="1057"/>
  <c r="Y238" i="1057"/>
  <c r="X238" i="1057"/>
  <c r="W238" i="1057"/>
  <c r="V238" i="1057"/>
  <c r="U238" i="1057"/>
  <c r="T238" i="1057"/>
  <c r="S238" i="1057"/>
  <c r="R238" i="1057"/>
  <c r="Q238" i="1057"/>
  <c r="P238" i="1057"/>
  <c r="O238" i="1057"/>
  <c r="N238" i="1057"/>
  <c r="M238" i="1057"/>
  <c r="L238" i="1057"/>
  <c r="K238" i="1057"/>
  <c r="J238" i="1057"/>
  <c r="I238" i="1057"/>
  <c r="H238" i="1057"/>
  <c r="G238" i="1057"/>
  <c r="S236" i="1057"/>
  <c r="G236" i="1057"/>
  <c r="AE235" i="1057"/>
  <c r="AD235" i="1057"/>
  <c r="AC235" i="1057"/>
  <c r="AB235" i="1057"/>
  <c r="AA235" i="1057"/>
  <c r="Z235" i="1057"/>
  <c r="Y235" i="1057"/>
  <c r="X235" i="1057"/>
  <c r="W235" i="1057"/>
  <c r="V235" i="1057"/>
  <c r="U235" i="1057"/>
  <c r="T235" i="1057"/>
  <c r="S235" i="1057"/>
  <c r="R235" i="1057"/>
  <c r="Q235" i="1057"/>
  <c r="P235" i="1057"/>
  <c r="O235" i="1057"/>
  <c r="N235" i="1057"/>
  <c r="M235" i="1057"/>
  <c r="L235" i="1057"/>
  <c r="K235" i="1057"/>
  <c r="J235" i="1057"/>
  <c r="I235" i="1057"/>
  <c r="H235" i="1057"/>
  <c r="G235" i="1057"/>
  <c r="AE234" i="1057"/>
  <c r="AD234" i="1057"/>
  <c r="AC234" i="1057"/>
  <c r="AB234" i="1057"/>
  <c r="AA234" i="1057"/>
  <c r="Z234" i="1057"/>
  <c r="Y234" i="1057"/>
  <c r="X234" i="1057"/>
  <c r="W234" i="1057"/>
  <c r="V234" i="1057"/>
  <c r="U234" i="1057"/>
  <c r="T234" i="1057"/>
  <c r="S234" i="1057"/>
  <c r="R234" i="1057"/>
  <c r="Q234" i="1057"/>
  <c r="P234" i="1057"/>
  <c r="O234" i="1057"/>
  <c r="N234" i="1057"/>
  <c r="M234" i="1057"/>
  <c r="L234" i="1057"/>
  <c r="K234" i="1057"/>
  <c r="J234" i="1057"/>
  <c r="I234" i="1057"/>
  <c r="H234" i="1057"/>
  <c r="G234" i="1057"/>
  <c r="B234" i="1057"/>
  <c r="B235" i="1057" s="1"/>
  <c r="B236" i="1057" s="1"/>
  <c r="B237" i="1057" s="1"/>
  <c r="AE233" i="1057"/>
  <c r="AD233" i="1057"/>
  <c r="AC233" i="1057"/>
  <c r="AB233" i="1057"/>
  <c r="AA233" i="1057"/>
  <c r="Z233" i="1057"/>
  <c r="Y233" i="1057"/>
  <c r="X233" i="1057"/>
  <c r="W233" i="1057"/>
  <c r="V233" i="1057"/>
  <c r="U233" i="1057"/>
  <c r="T233" i="1057"/>
  <c r="S233" i="1057"/>
  <c r="R233" i="1057"/>
  <c r="Q233" i="1057"/>
  <c r="P233" i="1057"/>
  <c r="O233" i="1057"/>
  <c r="N233" i="1057"/>
  <c r="M233" i="1057"/>
  <c r="L233" i="1057"/>
  <c r="K233" i="1057"/>
  <c r="J233" i="1057"/>
  <c r="I233" i="1057"/>
  <c r="H233" i="1057"/>
  <c r="G233" i="1057"/>
  <c r="B233" i="1057"/>
  <c r="AE232" i="1057"/>
  <c r="AD232" i="1057"/>
  <c r="AC232" i="1057"/>
  <c r="AB232" i="1057"/>
  <c r="AA232" i="1057"/>
  <c r="Z232" i="1057"/>
  <c r="Y232" i="1057"/>
  <c r="X232" i="1057"/>
  <c r="W232" i="1057"/>
  <c r="V232" i="1057"/>
  <c r="U232" i="1057"/>
  <c r="T232" i="1057"/>
  <c r="S232" i="1057"/>
  <c r="R232" i="1057"/>
  <c r="Q232" i="1057"/>
  <c r="P232" i="1057"/>
  <c r="O232" i="1057"/>
  <c r="N232" i="1057"/>
  <c r="M232" i="1057"/>
  <c r="L232" i="1057"/>
  <c r="K232" i="1057"/>
  <c r="J232" i="1057"/>
  <c r="I232" i="1057"/>
  <c r="H232" i="1057"/>
  <c r="G232" i="1057"/>
  <c r="B232" i="1057"/>
  <c r="AE231" i="1057"/>
  <c r="AD231" i="1057"/>
  <c r="AC231" i="1057"/>
  <c r="AB231" i="1057"/>
  <c r="AA231" i="1057"/>
  <c r="Z231" i="1057"/>
  <c r="Y231" i="1057"/>
  <c r="X231" i="1057"/>
  <c r="W231" i="1057"/>
  <c r="V231" i="1057"/>
  <c r="U231" i="1057"/>
  <c r="T231" i="1057"/>
  <c r="S231" i="1057"/>
  <c r="R231" i="1057"/>
  <c r="Q231" i="1057"/>
  <c r="P231" i="1057"/>
  <c r="O231" i="1057"/>
  <c r="N231" i="1057"/>
  <c r="M231" i="1057"/>
  <c r="L231" i="1057"/>
  <c r="K231" i="1057"/>
  <c r="J231" i="1057"/>
  <c r="I231" i="1057"/>
  <c r="H231" i="1057"/>
  <c r="G231" i="1057"/>
  <c r="F230" i="1057"/>
  <c r="F229" i="1057"/>
  <c r="S228" i="1057"/>
  <c r="L228" i="1057"/>
  <c r="G228" i="1057"/>
  <c r="AE227" i="1057"/>
  <c r="AD227" i="1057"/>
  <c r="AC227" i="1057"/>
  <c r="AB227" i="1057"/>
  <c r="AA227" i="1057"/>
  <c r="Z227" i="1057"/>
  <c r="Y227" i="1057"/>
  <c r="X227" i="1057"/>
  <c r="W227" i="1057"/>
  <c r="V227" i="1057"/>
  <c r="U227" i="1057"/>
  <c r="T227" i="1057"/>
  <c r="S227" i="1057"/>
  <c r="R227" i="1057"/>
  <c r="Q227" i="1057"/>
  <c r="P227" i="1057"/>
  <c r="O227" i="1057"/>
  <c r="N227" i="1057"/>
  <c r="M227" i="1057"/>
  <c r="L227" i="1057"/>
  <c r="K227" i="1057"/>
  <c r="J227" i="1057"/>
  <c r="I227" i="1057"/>
  <c r="H227" i="1057"/>
  <c r="G227" i="1057"/>
  <c r="AE226" i="1057"/>
  <c r="AD226" i="1057"/>
  <c r="AC226" i="1057"/>
  <c r="AB226" i="1057"/>
  <c r="AA226" i="1057"/>
  <c r="Z226" i="1057"/>
  <c r="Y226" i="1057"/>
  <c r="X226" i="1057"/>
  <c r="W226" i="1057"/>
  <c r="V226" i="1057"/>
  <c r="U226" i="1057"/>
  <c r="T226" i="1057"/>
  <c r="S226" i="1057"/>
  <c r="R226" i="1057"/>
  <c r="Q226" i="1057"/>
  <c r="P226" i="1057"/>
  <c r="O226" i="1057"/>
  <c r="N226" i="1057"/>
  <c r="M226" i="1057"/>
  <c r="L226" i="1057"/>
  <c r="K226" i="1057"/>
  <c r="J226" i="1057"/>
  <c r="I226" i="1057"/>
  <c r="H226" i="1057"/>
  <c r="G226" i="1057"/>
  <c r="S225" i="1057"/>
  <c r="AE224" i="1057"/>
  <c r="AD224" i="1057"/>
  <c r="AC224" i="1057"/>
  <c r="AB224" i="1057"/>
  <c r="AA224" i="1057"/>
  <c r="Z224" i="1057"/>
  <c r="Y224" i="1057"/>
  <c r="X224" i="1057"/>
  <c r="W224" i="1057"/>
  <c r="V224" i="1057"/>
  <c r="U224" i="1057"/>
  <c r="T224" i="1057"/>
  <c r="S224" i="1057"/>
  <c r="R224" i="1057"/>
  <c r="Q224" i="1057"/>
  <c r="P224" i="1057"/>
  <c r="O224" i="1057"/>
  <c r="N224" i="1057"/>
  <c r="M224" i="1057"/>
  <c r="L224" i="1057"/>
  <c r="K224" i="1057"/>
  <c r="J224" i="1057"/>
  <c r="I224" i="1057"/>
  <c r="H224" i="1057"/>
  <c r="G224" i="1057"/>
  <c r="AE223" i="1057"/>
  <c r="AD223" i="1057"/>
  <c r="AC223" i="1057"/>
  <c r="AB223" i="1057"/>
  <c r="AA223" i="1057"/>
  <c r="Z223" i="1057"/>
  <c r="Y223" i="1057"/>
  <c r="X223" i="1057"/>
  <c r="W223" i="1057"/>
  <c r="V223" i="1057"/>
  <c r="U223" i="1057"/>
  <c r="T223" i="1057"/>
  <c r="S223" i="1057"/>
  <c r="R223" i="1057"/>
  <c r="Q223" i="1057"/>
  <c r="P223" i="1057"/>
  <c r="O223" i="1057"/>
  <c r="N223" i="1057"/>
  <c r="M223" i="1057"/>
  <c r="L223" i="1057"/>
  <c r="K223" i="1057"/>
  <c r="J223" i="1057"/>
  <c r="I223" i="1057"/>
  <c r="H223" i="1057"/>
  <c r="G223" i="1057"/>
  <c r="D222" i="1057"/>
  <c r="S221" i="1057"/>
  <c r="S220" i="1057"/>
  <c r="S219" i="1057"/>
  <c r="D219" i="1057"/>
  <c r="S218" i="1057"/>
  <c r="D218" i="1057"/>
  <c r="S217" i="1057"/>
  <c r="G217" i="1057"/>
  <c r="S216" i="1057"/>
  <c r="S216" i="1057" a="1"/>
  <c r="S215" i="1057"/>
  <c r="S214" i="1057"/>
  <c r="S213" i="1057"/>
  <c r="S212" i="1057"/>
  <c r="S211" i="1057"/>
  <c r="S210" i="1057"/>
  <c r="S209" i="1057"/>
  <c r="S208" i="1057"/>
  <c r="S207" i="1057"/>
  <c r="S206" i="1057"/>
  <c r="S205" i="1057"/>
  <c r="S204" i="1057"/>
  <c r="S203" i="1057"/>
  <c r="S202" i="1057"/>
  <c r="AC199" i="1057"/>
  <c r="S199" i="1057"/>
  <c r="M199" i="1057"/>
  <c r="S198" i="1057"/>
  <c r="S197" i="1057"/>
  <c r="S196" i="1057"/>
  <c r="S195" i="1057"/>
  <c r="O195" i="1057"/>
  <c r="J195" i="1057"/>
  <c r="G195" i="1057"/>
  <c r="S194" i="1057"/>
  <c r="O194" i="1057"/>
  <c r="J194" i="1057"/>
  <c r="G194" i="1057"/>
  <c r="S193" i="1057"/>
  <c r="O193" i="1057"/>
  <c r="J193" i="1057"/>
  <c r="G193" i="1057"/>
  <c r="S192" i="1057"/>
  <c r="O192" i="1057"/>
  <c r="J192" i="1057"/>
  <c r="G192" i="1057"/>
  <c r="S191" i="1057"/>
  <c r="R191" i="1057"/>
  <c r="Q191" i="1057"/>
  <c r="P191" i="1057"/>
  <c r="O191" i="1057"/>
  <c r="N191" i="1057"/>
  <c r="M191" i="1057"/>
  <c r="L191" i="1057"/>
  <c r="K191" i="1057"/>
  <c r="J191" i="1057"/>
  <c r="I191" i="1057"/>
  <c r="H191" i="1057"/>
  <c r="G191" i="1057"/>
  <c r="AE190" i="1057"/>
  <c r="AD190" i="1057"/>
  <c r="AC190" i="1057"/>
  <c r="AB190" i="1057"/>
  <c r="AA190" i="1057"/>
  <c r="Z190" i="1057"/>
  <c r="Y190" i="1057"/>
  <c r="X190" i="1057"/>
  <c r="W190" i="1057"/>
  <c r="V190" i="1057"/>
  <c r="U190" i="1057"/>
  <c r="T190" i="1057"/>
  <c r="S190" i="1057"/>
  <c r="R190" i="1057"/>
  <c r="Q190" i="1057"/>
  <c r="P190" i="1057"/>
  <c r="O190" i="1057"/>
  <c r="N190" i="1057"/>
  <c r="M190" i="1057"/>
  <c r="L190" i="1057"/>
  <c r="K190" i="1057"/>
  <c r="J190" i="1057"/>
  <c r="I190" i="1057"/>
  <c r="H190" i="1057"/>
  <c r="G190" i="1057"/>
  <c r="S189" i="1057"/>
  <c r="R189" i="1057"/>
  <c r="Q189" i="1057"/>
  <c r="P189" i="1057"/>
  <c r="O189" i="1057"/>
  <c r="N189" i="1057"/>
  <c r="M189" i="1057"/>
  <c r="L189" i="1057"/>
  <c r="K189" i="1057"/>
  <c r="J189" i="1057"/>
  <c r="I189" i="1057"/>
  <c r="H189" i="1057"/>
  <c r="G189" i="1057"/>
  <c r="S188" i="1057"/>
  <c r="R188" i="1057"/>
  <c r="Q188" i="1057"/>
  <c r="P188" i="1057"/>
  <c r="O188" i="1057"/>
  <c r="N188" i="1057"/>
  <c r="M188" i="1057"/>
  <c r="L188" i="1057"/>
  <c r="K188" i="1057"/>
  <c r="J188" i="1057"/>
  <c r="I188" i="1057"/>
  <c r="H188" i="1057"/>
  <c r="G188" i="1057"/>
  <c r="AE183" i="1057"/>
  <c r="AD183" i="1057"/>
  <c r="AC183" i="1057"/>
  <c r="AB183" i="1057"/>
  <c r="AA183" i="1057"/>
  <c r="Z183" i="1057"/>
  <c r="Y183" i="1057"/>
  <c r="X183" i="1057"/>
  <c r="W183" i="1057"/>
  <c r="V183" i="1057"/>
  <c r="U183" i="1057"/>
  <c r="T183" i="1057"/>
  <c r="S183" i="1057"/>
  <c r="R183" i="1057"/>
  <c r="Q183" i="1057"/>
  <c r="P183" i="1057"/>
  <c r="O183" i="1057"/>
  <c r="N183" i="1057"/>
  <c r="M183" i="1057"/>
  <c r="L183" i="1057"/>
  <c r="K183" i="1057"/>
  <c r="J183" i="1057"/>
  <c r="I183" i="1057"/>
  <c r="H183" i="1057"/>
  <c r="G183" i="1057"/>
  <c r="S182" i="1057"/>
  <c r="G182" i="1057"/>
  <c r="S181" i="1057"/>
  <c r="G181" i="1057"/>
  <c r="S180" i="1057"/>
  <c r="G180" i="1057"/>
  <c r="S179" i="1057"/>
  <c r="G179" i="1057"/>
  <c r="S178" i="1057"/>
  <c r="G178" i="1057"/>
  <c r="S177" i="1057"/>
  <c r="G177" i="1057"/>
  <c r="S169" i="1057"/>
  <c r="B169" i="1057"/>
  <c r="B170" i="1057" s="1"/>
  <c r="B171" i="1057" s="1"/>
  <c r="B172" i="1057" s="1"/>
  <c r="B173" i="1057" s="1"/>
  <c r="B174" i="1057" s="1"/>
  <c r="B175" i="1057" s="1"/>
  <c r="B176" i="1057" s="1"/>
  <c r="B177" i="1057" s="1"/>
  <c r="B178" i="1057" s="1"/>
  <c r="B179" i="1057" s="1"/>
  <c r="B180" i="1057" s="1"/>
  <c r="B181" i="1057" s="1"/>
  <c r="B182" i="1057" s="1"/>
  <c r="B183" i="1057" s="1"/>
  <c r="B184" i="1057" s="1"/>
  <c r="B185" i="1057" s="1"/>
  <c r="B186" i="1057" s="1"/>
  <c r="S168" i="1057"/>
  <c r="G168" i="1057"/>
  <c r="B168" i="1057"/>
  <c r="S167" i="1057"/>
  <c r="G167" i="1057"/>
  <c r="G166" i="1057"/>
  <c r="T165" i="1057"/>
  <c r="G165" i="1057"/>
  <c r="G169" i="1057" s="1"/>
  <c r="G164" i="1057"/>
  <c r="G163" i="1057"/>
  <c r="T162" i="1057"/>
  <c r="G162" i="1057"/>
  <c r="G139" i="1057"/>
  <c r="G134" i="1057"/>
  <c r="G133" i="1057"/>
  <c r="G132" i="1057"/>
  <c r="G131" i="1057"/>
  <c r="G130" i="1057" a="1"/>
  <c r="G130" i="1057" s="1"/>
  <c r="T129" i="1057"/>
  <c r="T163" i="1057" s="1"/>
  <c r="G129" i="1057"/>
  <c r="F128" i="1057"/>
  <c r="F127" i="1057"/>
  <c r="G125" i="1057"/>
  <c r="G124" i="1057"/>
  <c r="G135" i="1057" s="1"/>
  <c r="G123" i="1057"/>
  <c r="G121" i="1057" s="1"/>
  <c r="G111" i="1057"/>
  <c r="B111" i="1057"/>
  <c r="B112" i="1057" s="1"/>
  <c r="G108" i="1057"/>
  <c r="B107" i="1057"/>
  <c r="S106" i="1057"/>
  <c r="X105" i="1057"/>
  <c r="G105" i="1057"/>
  <c r="G218" i="1057" s="1"/>
  <c r="D98" i="1057"/>
  <c r="D97" i="1057"/>
  <c r="D96" i="1057"/>
  <c r="D95" i="1057"/>
  <c r="D94" i="1057"/>
  <c r="G93" i="1057"/>
  <c r="D93" i="1057"/>
  <c r="G92" i="1057"/>
  <c r="T88" i="1057"/>
  <c r="T109" i="1057" s="1"/>
  <c r="G88" i="1057" a="1"/>
  <c r="G88" i="1057" s="1"/>
  <c r="T87" i="1057"/>
  <c r="T199" i="1057" s="1"/>
  <c r="R87" i="1057"/>
  <c r="R199" i="1057" s="1"/>
  <c r="Q87" i="1057"/>
  <c r="Q199" i="1057" s="1"/>
  <c r="P87" i="1057"/>
  <c r="P199" i="1057" s="1"/>
  <c r="O87" i="1057"/>
  <c r="O199" i="1057" s="1"/>
  <c r="N87" i="1057"/>
  <c r="N199" i="1057" s="1"/>
  <c r="M87" i="1057"/>
  <c r="L87" i="1057"/>
  <c r="L199" i="1057" s="1"/>
  <c r="K87" i="1057"/>
  <c r="K199" i="1057" s="1"/>
  <c r="J87" i="1057"/>
  <c r="J199" i="1057" s="1"/>
  <c r="I87" i="1057"/>
  <c r="I199" i="1057" s="1"/>
  <c r="H87" i="1057"/>
  <c r="H199" i="1057" s="1"/>
  <c r="G87" i="1057"/>
  <c r="G199" i="1057" s="1"/>
  <c r="AB86" i="1057"/>
  <c r="AA86" i="1057"/>
  <c r="R86" i="1057"/>
  <c r="Q86" i="1057"/>
  <c r="O86" i="1057"/>
  <c r="N86" i="1057"/>
  <c r="M86" i="1057"/>
  <c r="L86" i="1057"/>
  <c r="K86" i="1057"/>
  <c r="J86" i="1057"/>
  <c r="I86" i="1057"/>
  <c r="H86" i="1057"/>
  <c r="AA85" i="1057"/>
  <c r="Y85" i="1057"/>
  <c r="R85" i="1057"/>
  <c r="Q85" i="1057"/>
  <c r="P85" i="1057"/>
  <c r="O85" i="1057"/>
  <c r="N85" i="1057"/>
  <c r="M85" i="1057"/>
  <c r="L85" i="1057"/>
  <c r="K85" i="1057"/>
  <c r="J85" i="1057"/>
  <c r="I85" i="1057"/>
  <c r="H85" i="1057"/>
  <c r="G85" i="1057"/>
  <c r="AD84" i="1057"/>
  <c r="AA84" i="1057"/>
  <c r="V84" i="1057"/>
  <c r="R84" i="1057"/>
  <c r="Q84" i="1057"/>
  <c r="P84" i="1057"/>
  <c r="O84" i="1057"/>
  <c r="N84" i="1057"/>
  <c r="M84" i="1057"/>
  <c r="L84" i="1057"/>
  <c r="K84" i="1057"/>
  <c r="J84" i="1057"/>
  <c r="I84" i="1057"/>
  <c r="I216" i="1057" s="1" a="1"/>
  <c r="I216" i="1057" s="1"/>
  <c r="H84" i="1057"/>
  <c r="G84" i="1057"/>
  <c r="G216" i="1057" s="1" a="1"/>
  <c r="G216" i="1057" s="1"/>
  <c r="AB83" i="1057"/>
  <c r="Z83" i="1057"/>
  <c r="R83" i="1057"/>
  <c r="Q83" i="1057"/>
  <c r="P83" i="1057"/>
  <c r="O83" i="1057"/>
  <c r="N83" i="1057"/>
  <c r="M83" i="1057"/>
  <c r="L83" i="1057"/>
  <c r="K83" i="1057"/>
  <c r="J83" i="1057"/>
  <c r="I83" i="1057"/>
  <c r="H83" i="1057"/>
  <c r="G83" i="1057"/>
  <c r="AF83" i="1057" s="1"/>
  <c r="AB82" i="1057"/>
  <c r="AA82" i="1057"/>
  <c r="X82" i="1057"/>
  <c r="R82" i="1057"/>
  <c r="Q82" i="1057"/>
  <c r="P82" i="1057"/>
  <c r="O82" i="1057"/>
  <c r="N82" i="1057"/>
  <c r="M82" i="1057"/>
  <c r="L82" i="1057"/>
  <c r="K82" i="1057"/>
  <c r="J82" i="1057"/>
  <c r="I82" i="1057"/>
  <c r="H82" i="1057"/>
  <c r="AF82" i="1057" s="1"/>
  <c r="G82" i="1057"/>
  <c r="AC81" i="1057"/>
  <c r="AB81" i="1057"/>
  <c r="R81" i="1057"/>
  <c r="Q81" i="1057"/>
  <c r="P81" i="1057"/>
  <c r="O81" i="1057"/>
  <c r="N81" i="1057"/>
  <c r="M81" i="1057"/>
  <c r="L81" i="1057"/>
  <c r="K81" i="1057"/>
  <c r="J81" i="1057"/>
  <c r="I81" i="1057"/>
  <c r="H81" i="1057"/>
  <c r="AF81" i="1057" s="1"/>
  <c r="G81" i="1057"/>
  <c r="AB80" i="1057"/>
  <c r="R80" i="1057"/>
  <c r="Q80" i="1057"/>
  <c r="P80" i="1057"/>
  <c r="O80" i="1057"/>
  <c r="N80" i="1057"/>
  <c r="M80" i="1057"/>
  <c r="L80" i="1057"/>
  <c r="K80" i="1057"/>
  <c r="J80" i="1057"/>
  <c r="I80" i="1057"/>
  <c r="H80" i="1057"/>
  <c r="G80" i="1057"/>
  <c r="AF80" i="1057" s="1"/>
  <c r="AB79" i="1057"/>
  <c r="AA79" i="1057"/>
  <c r="Y79" i="1057"/>
  <c r="R79" i="1057"/>
  <c r="Q79" i="1057"/>
  <c r="P79" i="1057"/>
  <c r="O79" i="1057"/>
  <c r="N79" i="1057"/>
  <c r="M79" i="1057"/>
  <c r="L79" i="1057"/>
  <c r="K79" i="1057"/>
  <c r="J79" i="1057"/>
  <c r="I79" i="1057"/>
  <c r="H79" i="1057"/>
  <c r="G79" i="1057"/>
  <c r="AE78" i="1057"/>
  <c r="AB78" i="1057"/>
  <c r="Z78" i="1057"/>
  <c r="W78" i="1057"/>
  <c r="R78" i="1057"/>
  <c r="Q78" i="1057"/>
  <c r="P78" i="1057"/>
  <c r="O78" i="1057"/>
  <c r="N78" i="1057"/>
  <c r="M78" i="1057"/>
  <c r="L78" i="1057"/>
  <c r="K78" i="1057"/>
  <c r="J78" i="1057"/>
  <c r="I78" i="1057"/>
  <c r="H78" i="1057"/>
  <c r="G78" i="1057"/>
  <c r="AB77" i="1057"/>
  <c r="O77" i="1057"/>
  <c r="J77" i="1057"/>
  <c r="I77" i="1057"/>
  <c r="G77" i="1057"/>
  <c r="AD76" i="1057"/>
  <c r="AA76" i="1057"/>
  <c r="R76" i="1057"/>
  <c r="Q76" i="1057"/>
  <c r="P76" i="1057"/>
  <c r="O76" i="1057"/>
  <c r="N76" i="1057"/>
  <c r="M76" i="1057"/>
  <c r="L76" i="1057"/>
  <c r="K76" i="1057"/>
  <c r="J76" i="1057"/>
  <c r="I76" i="1057"/>
  <c r="H76" i="1057"/>
  <c r="G76" i="1057"/>
  <c r="AF76" i="1057" s="1"/>
  <c r="AA75" i="1057"/>
  <c r="Z75" i="1057"/>
  <c r="R75" i="1057"/>
  <c r="Q75" i="1057"/>
  <c r="P75" i="1057"/>
  <c r="O75" i="1057"/>
  <c r="N75" i="1057"/>
  <c r="M75" i="1057"/>
  <c r="L75" i="1057"/>
  <c r="K75" i="1057"/>
  <c r="J75" i="1057"/>
  <c r="I75" i="1057"/>
  <c r="H75" i="1057"/>
  <c r="G75" i="1057"/>
  <c r="AF75" i="1057" s="1"/>
  <c r="AB74" i="1057"/>
  <c r="R74" i="1057"/>
  <c r="Q74" i="1057"/>
  <c r="P74" i="1057"/>
  <c r="O74" i="1057"/>
  <c r="N74" i="1057"/>
  <c r="M74" i="1057"/>
  <c r="L74" i="1057"/>
  <c r="K74" i="1057"/>
  <c r="J74" i="1057"/>
  <c r="I74" i="1057"/>
  <c r="H74" i="1057"/>
  <c r="G74" i="1057"/>
  <c r="AF74" i="1057" s="1"/>
  <c r="AB73" i="1057"/>
  <c r="R73" i="1057"/>
  <c r="Q73" i="1057"/>
  <c r="P73" i="1057"/>
  <c r="O73" i="1057"/>
  <c r="N73" i="1057"/>
  <c r="M73" i="1057"/>
  <c r="L73" i="1057"/>
  <c r="K73" i="1057"/>
  <c r="J73" i="1057"/>
  <c r="I73" i="1057"/>
  <c r="H73" i="1057"/>
  <c r="AF73" i="1057" s="1"/>
  <c r="G73" i="1057"/>
  <c r="AB72" i="1057"/>
  <c r="AB220" i="1057" s="1"/>
  <c r="R72" i="1057"/>
  <c r="R220" i="1057" s="1"/>
  <c r="Q72" i="1057"/>
  <c r="Q220" i="1057" s="1"/>
  <c r="P72" i="1057"/>
  <c r="O72" i="1057"/>
  <c r="O220" i="1057" s="1"/>
  <c r="N72" i="1057"/>
  <c r="N220" i="1057" s="1"/>
  <c r="M72" i="1057"/>
  <c r="L72" i="1057"/>
  <c r="K72" i="1057"/>
  <c r="K220" i="1057" s="1"/>
  <c r="J72" i="1057"/>
  <c r="J220" i="1057" s="1"/>
  <c r="I72" i="1057"/>
  <c r="H72" i="1057"/>
  <c r="G72" i="1057"/>
  <c r="G220" i="1057" s="1"/>
  <c r="G69" i="1057"/>
  <c r="AG68" i="1057"/>
  <c r="H68" i="1057"/>
  <c r="H215" i="1057" s="1"/>
  <c r="G68" i="1057"/>
  <c r="G215" i="1057" s="1"/>
  <c r="E68" i="1057"/>
  <c r="D68" i="1057"/>
  <c r="C68" i="1057"/>
  <c r="AG67" i="1057"/>
  <c r="G67" i="1057"/>
  <c r="AG66" i="1057"/>
  <c r="G66" i="1057"/>
  <c r="G213" i="1057" s="1"/>
  <c r="AG65" i="1057"/>
  <c r="G65" i="1057"/>
  <c r="AG64" i="1057"/>
  <c r="G64" i="1057"/>
  <c r="G212" i="1057" s="1"/>
  <c r="AG63" i="1057"/>
  <c r="G63" i="1057"/>
  <c r="G211" i="1057" s="1"/>
  <c r="AG62" i="1057"/>
  <c r="E62" i="1057"/>
  <c r="D62" i="1057"/>
  <c r="I176" i="1057" s="1"/>
  <c r="C62" i="1057"/>
  <c r="AG61" i="1057"/>
  <c r="T61" i="1057"/>
  <c r="T209" i="1057" s="1"/>
  <c r="G61" i="1057"/>
  <c r="G209" i="1057" s="1"/>
  <c r="E61" i="1057"/>
  <c r="D61" i="1057"/>
  <c r="C61" i="1057"/>
  <c r="AG60" i="1057"/>
  <c r="G60" i="1057"/>
  <c r="G208" i="1057" s="1"/>
  <c r="E60" i="1057"/>
  <c r="D60" i="1057"/>
  <c r="S174" i="1057" s="1"/>
  <c r="C60" i="1057"/>
  <c r="AG59" i="1057"/>
  <c r="G59" i="1057"/>
  <c r="E59" i="1057"/>
  <c r="D59" i="1057"/>
  <c r="C59" i="1057"/>
  <c r="AG58" i="1057"/>
  <c r="E58" i="1057"/>
  <c r="D58" i="1057"/>
  <c r="X162" i="1057" s="1"/>
  <c r="C58" i="1057"/>
  <c r="AG57" i="1057"/>
  <c r="T57" i="1057"/>
  <c r="T205" i="1057" s="1"/>
  <c r="G57" i="1057"/>
  <c r="G205" i="1057" s="1"/>
  <c r="E57" i="1057"/>
  <c r="D57" i="1057"/>
  <c r="C57" i="1057"/>
  <c r="AG56" i="1057"/>
  <c r="G56" i="1057"/>
  <c r="G204" i="1057" s="1"/>
  <c r="AG55" i="1057"/>
  <c r="G55" i="1057"/>
  <c r="G203" i="1057" s="1"/>
  <c r="AG54" i="1057"/>
  <c r="G54" i="1057"/>
  <c r="AG53" i="1057"/>
  <c r="G53" i="1057"/>
  <c r="G90" i="1057" s="1"/>
  <c r="A52" i="1057"/>
  <c r="V51" i="1057"/>
  <c r="U51" i="1057"/>
  <c r="T51" i="1057"/>
  <c r="I51" i="1057"/>
  <c r="J51" i="1057" s="1"/>
  <c r="H51" i="1057"/>
  <c r="V50" i="1057"/>
  <c r="U50" i="1057"/>
  <c r="T50" i="1057"/>
  <c r="I50" i="1057"/>
  <c r="J50" i="1057" s="1"/>
  <c r="H50" i="1057"/>
  <c r="V49" i="1057"/>
  <c r="U49" i="1057"/>
  <c r="T49" i="1057"/>
  <c r="I49" i="1057"/>
  <c r="J49" i="1057" s="1"/>
  <c r="H49" i="1057"/>
  <c r="AE48" i="1057"/>
  <c r="AD48" i="1057"/>
  <c r="AC48" i="1057"/>
  <c r="AB48" i="1057"/>
  <c r="AA48" i="1057"/>
  <c r="Z48" i="1057"/>
  <c r="Y48" i="1057"/>
  <c r="X48" i="1057"/>
  <c r="W48" i="1057"/>
  <c r="V48" i="1057"/>
  <c r="U48" i="1057"/>
  <c r="T48" i="1057"/>
  <c r="AE47" i="1057"/>
  <c r="AD47" i="1057"/>
  <c r="AC47" i="1057"/>
  <c r="AB47" i="1057"/>
  <c r="AA47" i="1057"/>
  <c r="Z47" i="1057"/>
  <c r="Y47" i="1057"/>
  <c r="X47" i="1057"/>
  <c r="W47" i="1057"/>
  <c r="V47" i="1057"/>
  <c r="U47" i="1057"/>
  <c r="T47" i="1057"/>
  <c r="AE46" i="1057"/>
  <c r="AD46" i="1057"/>
  <c r="AC46" i="1057"/>
  <c r="AB46" i="1057"/>
  <c r="AA46" i="1057"/>
  <c r="Z46" i="1057"/>
  <c r="Y46" i="1057"/>
  <c r="X46" i="1057"/>
  <c r="W46" i="1057"/>
  <c r="V46" i="1057"/>
  <c r="U46" i="1057"/>
  <c r="T46" i="1057"/>
  <c r="AE45" i="1057"/>
  <c r="AD45" i="1057"/>
  <c r="AC45" i="1057"/>
  <c r="AC87" i="1057" s="1"/>
  <c r="AB45" i="1057"/>
  <c r="AA45" i="1057"/>
  <c r="Z45" i="1057"/>
  <c r="Y45" i="1057"/>
  <c r="X45" i="1057"/>
  <c r="W45" i="1057"/>
  <c r="V45" i="1057"/>
  <c r="U45" i="1057"/>
  <c r="T45" i="1057"/>
  <c r="AE44" i="1057"/>
  <c r="AE86" i="1057" s="1"/>
  <c r="AD44" i="1057"/>
  <c r="AD86" i="1057" s="1"/>
  <c r="AB44" i="1057"/>
  <c r="AA44" i="1057"/>
  <c r="Z44" i="1057"/>
  <c r="Z86" i="1057" s="1"/>
  <c r="Y44" i="1057"/>
  <c r="Y86" i="1057" s="1"/>
  <c r="X44" i="1057"/>
  <c r="X86" i="1057" s="1"/>
  <c r="W44" i="1057"/>
  <c r="W86" i="1057" s="1"/>
  <c r="V44" i="1057"/>
  <c r="V86" i="1057" s="1"/>
  <c r="U44" i="1057"/>
  <c r="U86" i="1057" s="1"/>
  <c r="AF43" i="1057"/>
  <c r="AE43" i="1057"/>
  <c r="AD43" i="1057"/>
  <c r="AC43" i="1057"/>
  <c r="AB43" i="1057"/>
  <c r="AA43" i="1057"/>
  <c r="Z43" i="1057"/>
  <c r="Y43" i="1057"/>
  <c r="X43" i="1057"/>
  <c r="W43" i="1057"/>
  <c r="V43" i="1057"/>
  <c r="U43" i="1057"/>
  <c r="T43" i="1057"/>
  <c r="AE42" i="1057"/>
  <c r="AE87" i="1057" s="1"/>
  <c r="AE199" i="1057" s="1"/>
  <c r="AD42" i="1057"/>
  <c r="AC42" i="1057"/>
  <c r="AB42" i="1057"/>
  <c r="AB87" i="1057" s="1"/>
  <c r="AB199" i="1057" s="1"/>
  <c r="AA42" i="1057"/>
  <c r="AA87" i="1057" s="1"/>
  <c r="AA199" i="1057" s="1"/>
  <c r="Z42" i="1057"/>
  <c r="Y42" i="1057"/>
  <c r="Y87" i="1057" s="1"/>
  <c r="Y199" i="1057" s="1"/>
  <c r="X42" i="1057"/>
  <c r="W42" i="1057"/>
  <c r="W87" i="1057" s="1"/>
  <c r="W199" i="1057" s="1"/>
  <c r="V42" i="1057"/>
  <c r="U42" i="1057"/>
  <c r="T42" i="1057"/>
  <c r="AE41" i="1057"/>
  <c r="AE84" i="1057" s="1"/>
  <c r="AD41" i="1057"/>
  <c r="AC41" i="1057"/>
  <c r="AC84" i="1057" s="1"/>
  <c r="AB41" i="1057"/>
  <c r="AB84" i="1057" s="1"/>
  <c r="AA41" i="1057"/>
  <c r="Z41" i="1057"/>
  <c r="Z84" i="1057" s="1"/>
  <c r="Y41" i="1057"/>
  <c r="Y84" i="1057" s="1"/>
  <c r="X41" i="1057"/>
  <c r="X84" i="1057" s="1"/>
  <c r="W41" i="1057"/>
  <c r="W84" i="1057" s="1"/>
  <c r="V41" i="1057"/>
  <c r="U41" i="1057"/>
  <c r="U84" i="1057" s="1"/>
  <c r="T41" i="1057"/>
  <c r="T84" i="1057" s="1"/>
  <c r="T104" i="1057" s="1"/>
  <c r="AE40" i="1057"/>
  <c r="AE83" i="1057" s="1"/>
  <c r="AD40" i="1057"/>
  <c r="AD83" i="1057" s="1"/>
  <c r="AC40" i="1057"/>
  <c r="AC83" i="1057" s="1"/>
  <c r="AB40" i="1057"/>
  <c r="AA40" i="1057"/>
  <c r="Z40" i="1057"/>
  <c r="Y40" i="1057"/>
  <c r="Y83" i="1057" s="1"/>
  <c r="X40" i="1057"/>
  <c r="W40" i="1057"/>
  <c r="W83" i="1057" s="1"/>
  <c r="V40" i="1057"/>
  <c r="V83" i="1057" s="1"/>
  <c r="U40" i="1057"/>
  <c r="U83" i="1057" s="1"/>
  <c r="T40" i="1057"/>
  <c r="T83" i="1057" s="1"/>
  <c r="AE39" i="1057"/>
  <c r="AD39" i="1057"/>
  <c r="AD82" i="1057" s="1"/>
  <c r="AC39" i="1057"/>
  <c r="AB39" i="1057"/>
  <c r="AA39" i="1057"/>
  <c r="Z39" i="1057"/>
  <c r="Z82" i="1057" s="1"/>
  <c r="Y39" i="1057"/>
  <c r="Y82" i="1057" s="1"/>
  <c r="X39" i="1057"/>
  <c r="W39" i="1057"/>
  <c r="V39" i="1057"/>
  <c r="V82" i="1057" s="1"/>
  <c r="U39" i="1057"/>
  <c r="T39" i="1057"/>
  <c r="AE38" i="1057"/>
  <c r="AD38" i="1057"/>
  <c r="AD81" i="1057" s="1"/>
  <c r="AC38" i="1057"/>
  <c r="AB38" i="1057"/>
  <c r="AA38" i="1057"/>
  <c r="Z38" i="1057"/>
  <c r="Z81" i="1057" s="1"/>
  <c r="Y38" i="1057"/>
  <c r="X38" i="1057"/>
  <c r="X81" i="1057" s="1"/>
  <c r="W38" i="1057"/>
  <c r="V38" i="1057"/>
  <c r="U38" i="1057"/>
  <c r="T38" i="1057"/>
  <c r="AE37" i="1057"/>
  <c r="AE79" i="1057" s="1"/>
  <c r="AD37" i="1057"/>
  <c r="AD79" i="1057" s="1"/>
  <c r="AC37" i="1057"/>
  <c r="AC79" i="1057" s="1"/>
  <c r="AB37" i="1057"/>
  <c r="AA37" i="1057"/>
  <c r="Z37" i="1057"/>
  <c r="Z79" i="1057" s="1"/>
  <c r="Y37" i="1057"/>
  <c r="X37" i="1057"/>
  <c r="X79" i="1057" s="1"/>
  <c r="W37" i="1057"/>
  <c r="W79" i="1057" s="1"/>
  <c r="V37" i="1057"/>
  <c r="V79" i="1057" s="1"/>
  <c r="U37" i="1057"/>
  <c r="U79" i="1057" s="1"/>
  <c r="T37" i="1057"/>
  <c r="T79" i="1057" s="1"/>
  <c r="AE36" i="1057"/>
  <c r="AD36" i="1057"/>
  <c r="AC36" i="1057"/>
  <c r="AC195" i="1057" s="1"/>
  <c r="AB36" i="1057"/>
  <c r="AA36" i="1057"/>
  <c r="Z36" i="1057"/>
  <c r="Y36" i="1057"/>
  <c r="Y78" i="1057" s="1"/>
  <c r="X36" i="1057"/>
  <c r="W36" i="1057"/>
  <c r="V36" i="1057"/>
  <c r="U36" i="1057"/>
  <c r="U195" i="1057" s="1"/>
  <c r="T36" i="1057"/>
  <c r="AE35" i="1057"/>
  <c r="AD35" i="1057"/>
  <c r="AC35" i="1057"/>
  <c r="AC80" i="1057" s="1"/>
  <c r="AB35" i="1057"/>
  <c r="AA35" i="1057"/>
  <c r="Z35" i="1057"/>
  <c r="Y35" i="1057"/>
  <c r="X35" i="1057"/>
  <c r="W35" i="1057"/>
  <c r="W194" i="1057" s="1"/>
  <c r="V35" i="1057"/>
  <c r="U35" i="1057"/>
  <c r="U80" i="1057" s="1"/>
  <c r="T35" i="1057"/>
  <c r="AE34" i="1057"/>
  <c r="AE191" i="1057" s="1"/>
  <c r="AD34" i="1057"/>
  <c r="AD191" i="1057" s="1"/>
  <c r="AC34" i="1057"/>
  <c r="AB34" i="1057"/>
  <c r="AB191" i="1057" s="1"/>
  <c r="AA34" i="1057"/>
  <c r="AA191" i="1057" s="1"/>
  <c r="Z34" i="1057"/>
  <c r="Z191" i="1057" s="1"/>
  <c r="Y34" i="1057"/>
  <c r="Y191" i="1057" s="1"/>
  <c r="X34" i="1057"/>
  <c r="W34" i="1057"/>
  <c r="W191" i="1057" s="1"/>
  <c r="V34" i="1057"/>
  <c r="V191" i="1057" s="1"/>
  <c r="U34" i="1057"/>
  <c r="T34" i="1057"/>
  <c r="T191" i="1057" s="1"/>
  <c r="AE33" i="1057"/>
  <c r="AE76" i="1057" s="1"/>
  <c r="AD33" i="1057"/>
  <c r="AC33" i="1057"/>
  <c r="AC76" i="1057" s="1"/>
  <c r="AB33" i="1057"/>
  <c r="AB76" i="1057" s="1"/>
  <c r="AA33" i="1057"/>
  <c r="Z33" i="1057"/>
  <c r="Z76" i="1057" s="1"/>
  <c r="Y33" i="1057"/>
  <c r="Y76" i="1057" s="1"/>
  <c r="X33" i="1057"/>
  <c r="X76" i="1057" s="1"/>
  <c r="W33" i="1057"/>
  <c r="W76" i="1057" s="1"/>
  <c r="V33" i="1057"/>
  <c r="V76" i="1057" s="1"/>
  <c r="U33" i="1057"/>
  <c r="U76" i="1057" s="1"/>
  <c r="T33" i="1057"/>
  <c r="T76" i="1057" s="1"/>
  <c r="AE32" i="1057"/>
  <c r="AE75" i="1057" s="1"/>
  <c r="AD32" i="1057"/>
  <c r="AD189" i="1057" s="1"/>
  <c r="AC32" i="1057"/>
  <c r="AC189" i="1057" s="1"/>
  <c r="AB32" i="1057"/>
  <c r="AB189" i="1057" s="1"/>
  <c r="AA32" i="1057"/>
  <c r="AA189" i="1057" s="1"/>
  <c r="Z32" i="1057"/>
  <c r="Z189" i="1057" s="1"/>
  <c r="Y32" i="1057"/>
  <c r="X32" i="1057"/>
  <c r="X189" i="1057" s="1"/>
  <c r="W32" i="1057"/>
  <c r="W189" i="1057" s="1"/>
  <c r="V32" i="1057"/>
  <c r="V189" i="1057" s="1"/>
  <c r="U32" i="1057"/>
  <c r="U189" i="1057" s="1"/>
  <c r="T32" i="1057"/>
  <c r="T189" i="1057" s="1"/>
  <c r="AE31" i="1057"/>
  <c r="AE188" i="1057" s="1"/>
  <c r="AD31" i="1057"/>
  <c r="AD188" i="1057" s="1"/>
  <c r="AC31" i="1057"/>
  <c r="AC188" i="1057" s="1"/>
  <c r="AB31" i="1057"/>
  <c r="AB188" i="1057" s="1"/>
  <c r="AA31" i="1057"/>
  <c r="Z31" i="1057"/>
  <c r="Z188" i="1057" s="1"/>
  <c r="Y31" i="1057"/>
  <c r="Y188" i="1057" s="1"/>
  <c r="X31" i="1057"/>
  <c r="X188" i="1057" s="1"/>
  <c r="W31" i="1057"/>
  <c r="W188" i="1057" s="1"/>
  <c r="V31" i="1057"/>
  <c r="V188" i="1057" s="1"/>
  <c r="U31" i="1057"/>
  <c r="U188" i="1057" s="1"/>
  <c r="T31" i="1057"/>
  <c r="T188" i="1057" s="1"/>
  <c r="AA30" i="1057"/>
  <c r="Z30" i="1057"/>
  <c r="Y30" i="1057"/>
  <c r="T30" i="1057"/>
  <c r="N30" i="1057"/>
  <c r="O30" i="1057" s="1"/>
  <c r="M30" i="1057"/>
  <c r="I30" i="1057"/>
  <c r="V30" i="1057" s="1"/>
  <c r="H30" i="1057"/>
  <c r="U30" i="1057" s="1"/>
  <c r="E30" i="1057"/>
  <c r="D30" i="1057"/>
  <c r="B30" i="1057"/>
  <c r="B31" i="1057" s="1"/>
  <c r="B32" i="1057" s="1"/>
  <c r="B33" i="1057" s="1"/>
  <c r="B34" i="1057" s="1"/>
  <c r="B35" i="1057" s="1"/>
  <c r="B36" i="1057" s="1"/>
  <c r="B37" i="1057" s="1"/>
  <c r="B38" i="1057" s="1"/>
  <c r="B39" i="1057" s="1"/>
  <c r="B40" i="1057" s="1"/>
  <c r="B41" i="1057" s="1"/>
  <c r="B42" i="1057" s="1"/>
  <c r="B43" i="1057" s="1"/>
  <c r="B44" i="1057" s="1"/>
  <c r="B45" i="1057" s="1"/>
  <c r="B46" i="1057" s="1"/>
  <c r="B47" i="1057" s="1"/>
  <c r="B48" i="1057" s="1"/>
  <c r="B49" i="1057" s="1"/>
  <c r="B50" i="1057" s="1"/>
  <c r="B51" i="1057" s="1"/>
  <c r="B52" i="1057" s="1"/>
  <c r="B53" i="1057" s="1"/>
  <c r="B54" i="1057" s="1"/>
  <c r="AB29" i="1057"/>
  <c r="AB228" i="1057" s="1"/>
  <c r="AA29" i="1057"/>
  <c r="AA228" i="1057" s="1"/>
  <c r="Z29" i="1057"/>
  <c r="Z228" i="1057" s="1"/>
  <c r="Y29" i="1057"/>
  <c r="Y228" i="1057" s="1"/>
  <c r="T29" i="1057"/>
  <c r="T228" i="1057" s="1"/>
  <c r="O29" i="1057"/>
  <c r="O228" i="1057" s="1"/>
  <c r="N29" i="1057"/>
  <c r="N228" i="1057" s="1"/>
  <c r="M29" i="1057"/>
  <c r="M228" i="1057" s="1"/>
  <c r="J29" i="1057"/>
  <c r="J228" i="1057" s="1"/>
  <c r="I29" i="1057"/>
  <c r="I228" i="1057" s="1"/>
  <c r="H29" i="1057"/>
  <c r="U29" i="1057" s="1"/>
  <c r="U228" i="1057" s="1"/>
  <c r="B29" i="1057"/>
  <c r="AE28" i="1057"/>
  <c r="AD28" i="1057"/>
  <c r="AC28" i="1057"/>
  <c r="AB28" i="1057"/>
  <c r="AA28" i="1057"/>
  <c r="Z28" i="1057"/>
  <c r="Y28" i="1057"/>
  <c r="X28" i="1057"/>
  <c r="W28" i="1057"/>
  <c r="V28" i="1057"/>
  <c r="U28" i="1057"/>
  <c r="T28" i="1057"/>
  <c r="AE27" i="1057"/>
  <c r="AE73" i="1057" s="1"/>
  <c r="AD27" i="1057"/>
  <c r="AD73" i="1057" s="1"/>
  <c r="AC27" i="1057"/>
  <c r="AC73" i="1057" s="1"/>
  <c r="AB27" i="1057"/>
  <c r="AA27" i="1057"/>
  <c r="AA73" i="1057" s="1"/>
  <c r="Z27" i="1057"/>
  <c r="Z73" i="1057" s="1"/>
  <c r="Y27" i="1057"/>
  <c r="Y73" i="1057" s="1"/>
  <c r="X27" i="1057"/>
  <c r="X73" i="1057" s="1"/>
  <c r="W27" i="1057"/>
  <c r="W73" i="1057" s="1"/>
  <c r="V27" i="1057"/>
  <c r="V73" i="1057" s="1"/>
  <c r="U27" i="1057"/>
  <c r="U73" i="1057" s="1"/>
  <c r="T27" i="1057"/>
  <c r="T73" i="1057" s="1"/>
  <c r="AE26" i="1057"/>
  <c r="AE72" i="1057" s="1"/>
  <c r="AE220" i="1057" s="1"/>
  <c r="AD26" i="1057"/>
  <c r="AD72" i="1057" s="1"/>
  <c r="AC26" i="1057"/>
  <c r="AC72" i="1057" s="1"/>
  <c r="AB26" i="1057"/>
  <c r="AA26" i="1057"/>
  <c r="AA72" i="1057" s="1"/>
  <c r="Z26" i="1057"/>
  <c r="Z72" i="1057" s="1"/>
  <c r="Y26" i="1057"/>
  <c r="Y72" i="1057" s="1"/>
  <c r="X26" i="1057"/>
  <c r="X72" i="1057" s="1"/>
  <c r="W26" i="1057"/>
  <c r="W72" i="1057" s="1"/>
  <c r="W220" i="1057" s="1"/>
  <c r="V26" i="1057"/>
  <c r="V72" i="1057" s="1"/>
  <c r="U26" i="1057"/>
  <c r="U72" i="1057" s="1"/>
  <c r="T26" i="1057"/>
  <c r="T72" i="1057" s="1"/>
  <c r="AF25" i="1057"/>
  <c r="AE25" i="1057"/>
  <c r="AD25" i="1057"/>
  <c r="AC25" i="1057"/>
  <c r="AB25" i="1057"/>
  <c r="AA25" i="1057"/>
  <c r="Z25" i="1057"/>
  <c r="Y25" i="1057"/>
  <c r="X25" i="1057"/>
  <c r="W25" i="1057"/>
  <c r="V25" i="1057"/>
  <c r="U25" i="1057"/>
  <c r="T25" i="1057"/>
  <c r="AE24" i="1057"/>
  <c r="AD24" i="1057"/>
  <c r="AC24" i="1057"/>
  <c r="Z24" i="1057"/>
  <c r="Y24" i="1057"/>
  <c r="X24" i="1057"/>
  <c r="W24" i="1057"/>
  <c r="V24" i="1057"/>
  <c r="U24" i="1057"/>
  <c r="T24" i="1057"/>
  <c r="N24" i="1057"/>
  <c r="AA24" i="1057" s="1"/>
  <c r="M24" i="1057"/>
  <c r="L24" i="1057"/>
  <c r="W23" i="1057"/>
  <c r="W182" i="1057" s="1"/>
  <c r="V23" i="1057"/>
  <c r="V182" i="1057" s="1"/>
  <c r="U23" i="1057"/>
  <c r="U182" i="1057" s="1"/>
  <c r="T23" i="1057"/>
  <c r="T182" i="1057" s="1"/>
  <c r="J23" i="1057"/>
  <c r="J182" i="1057" s="1"/>
  <c r="I23" i="1057"/>
  <c r="I182" i="1057" s="1"/>
  <c r="H23" i="1057"/>
  <c r="H182" i="1057" s="1"/>
  <c r="W22" i="1057"/>
  <c r="V22" i="1057"/>
  <c r="U22" i="1057"/>
  <c r="T22" i="1057"/>
  <c r="J22" i="1057"/>
  <c r="K22" i="1057" s="1"/>
  <c r="I22" i="1057"/>
  <c r="H22" i="1057"/>
  <c r="W21" i="1057"/>
  <c r="V21" i="1057"/>
  <c r="U21" i="1057"/>
  <c r="T21" i="1057"/>
  <c r="T64" i="1057" s="1"/>
  <c r="J21" i="1057"/>
  <c r="I21" i="1057"/>
  <c r="H21" i="1057"/>
  <c r="W20" i="1057"/>
  <c r="V20" i="1057"/>
  <c r="U20" i="1057"/>
  <c r="T20" i="1057"/>
  <c r="T63" i="1057" s="1"/>
  <c r="J20" i="1057"/>
  <c r="I20" i="1057"/>
  <c r="H20" i="1057"/>
  <c r="W19" i="1057"/>
  <c r="V19" i="1057"/>
  <c r="U19" i="1057"/>
  <c r="T19" i="1057"/>
  <c r="T62" i="1057" s="1"/>
  <c r="J19" i="1057"/>
  <c r="I19" i="1057"/>
  <c r="H19" i="1057"/>
  <c r="W18" i="1057"/>
  <c r="V18" i="1057"/>
  <c r="U18" i="1057"/>
  <c r="T18" i="1057"/>
  <c r="T175" i="1057" s="1"/>
  <c r="J18" i="1057"/>
  <c r="I18" i="1057"/>
  <c r="H18" i="1057"/>
  <c r="W17" i="1057"/>
  <c r="V17" i="1057"/>
  <c r="U17" i="1057"/>
  <c r="T17" i="1057"/>
  <c r="T60" i="1057" s="1"/>
  <c r="J17" i="1057"/>
  <c r="I17" i="1057"/>
  <c r="H17" i="1057"/>
  <c r="W16" i="1057"/>
  <c r="W173" i="1057" s="1"/>
  <c r="V16" i="1057"/>
  <c r="U16" i="1057"/>
  <c r="T16" i="1057"/>
  <c r="T59" i="1057" s="1"/>
  <c r="J16" i="1057"/>
  <c r="K16" i="1057" s="1"/>
  <c r="I16" i="1057"/>
  <c r="H16" i="1057"/>
  <c r="W15" i="1057"/>
  <c r="W172" i="1057" s="1"/>
  <c r="V15" i="1057"/>
  <c r="U15" i="1057"/>
  <c r="U172" i="1057" s="1"/>
  <c r="T15" i="1057"/>
  <c r="T58" i="1057" s="1"/>
  <c r="J15" i="1057"/>
  <c r="I15" i="1057"/>
  <c r="H15" i="1057"/>
  <c r="W14" i="1057"/>
  <c r="W171" i="1057" s="1"/>
  <c r="V14" i="1057"/>
  <c r="U14" i="1057"/>
  <c r="T14" i="1057"/>
  <c r="J14" i="1057"/>
  <c r="J171" i="1057" s="1"/>
  <c r="I14" i="1057"/>
  <c r="H14" i="1057"/>
  <c r="H171" i="1057" s="1"/>
  <c r="W13" i="1057"/>
  <c r="W56" i="1057" s="1"/>
  <c r="V13" i="1057"/>
  <c r="U13" i="1057"/>
  <c r="U56" i="1057" s="1"/>
  <c r="T13" i="1057"/>
  <c r="T56" i="1057" s="1"/>
  <c r="J13" i="1057"/>
  <c r="K13" i="1057" s="1"/>
  <c r="I13" i="1057"/>
  <c r="H13" i="1057"/>
  <c r="W12" i="1057"/>
  <c r="V12" i="1057"/>
  <c r="U12" i="1057"/>
  <c r="T12" i="1057"/>
  <c r="J12" i="1057"/>
  <c r="I12" i="1057"/>
  <c r="H12" i="1057"/>
  <c r="W11" i="1057"/>
  <c r="W10" i="1057" s="1"/>
  <c r="V11" i="1057"/>
  <c r="U11" i="1057"/>
  <c r="T11" i="1057"/>
  <c r="J11" i="1057"/>
  <c r="K11" i="1057" s="1"/>
  <c r="I11" i="1057"/>
  <c r="H11" i="1057"/>
  <c r="H104" i="1057" s="1"/>
  <c r="V10" i="1057"/>
  <c r="V54" i="1057" s="1"/>
  <c r="U10" i="1057"/>
  <c r="T10" i="1057"/>
  <c r="T130" i="1057" s="1"/>
  <c r="T164" i="1057" s="1"/>
  <c r="I10" i="1057"/>
  <c r="H10" i="1057"/>
  <c r="V9" i="1057"/>
  <c r="V88" i="1057" s="1"/>
  <c r="V109" i="1057" s="1"/>
  <c r="U9" i="1057"/>
  <c r="U88" i="1057" s="1"/>
  <c r="U109" i="1057" s="1"/>
  <c r="T9" i="1057"/>
  <c r="I9" i="1057"/>
  <c r="J9" i="1057" s="1"/>
  <c r="H9" i="1057"/>
  <c r="H88" i="1057" s="1" a="1"/>
  <c r="H88" i="1057" s="1"/>
  <c r="U8" i="1057"/>
  <c r="T8" i="1057"/>
  <c r="H8" i="1057"/>
  <c r="H61" i="1057" s="1"/>
  <c r="AB7" i="1057"/>
  <c r="AA7" i="1057"/>
  <c r="Z7" i="1057"/>
  <c r="Y7" i="1057"/>
  <c r="T7" i="1057"/>
  <c r="R7" i="1057"/>
  <c r="AE7" i="1057" s="1"/>
  <c r="Q7" i="1057"/>
  <c r="AD7" i="1057" s="1"/>
  <c r="P7" i="1057"/>
  <c r="AC7" i="1057" s="1"/>
  <c r="O7" i="1057"/>
  <c r="N7" i="1057"/>
  <c r="M7" i="1057"/>
  <c r="L7" i="1057"/>
  <c r="K7" i="1057"/>
  <c r="X7" i="1057" s="1"/>
  <c r="J7" i="1057"/>
  <c r="W7" i="1057" s="1"/>
  <c r="I7" i="1057"/>
  <c r="V7" i="1057" s="1"/>
  <c r="H7" i="1057"/>
  <c r="U7" i="1057" s="1"/>
  <c r="AF6" i="1057"/>
  <c r="AC6" i="1057"/>
  <c r="AB6" i="1057"/>
  <c r="W6" i="1057"/>
  <c r="U6" i="1057"/>
  <c r="U180" i="1057" s="1"/>
  <c r="T6" i="1057"/>
  <c r="T166" i="1057" s="1"/>
  <c r="P6" i="1057"/>
  <c r="P77" i="1057" s="1"/>
  <c r="K6" i="1057"/>
  <c r="I6" i="1057"/>
  <c r="H6" i="1057"/>
  <c r="AA5" i="1057"/>
  <c r="Z5" i="1057"/>
  <c r="Y5" i="1057"/>
  <c r="X5" i="1057"/>
  <c r="T5" i="1057"/>
  <c r="T105" i="1057" s="1"/>
  <c r="R5" i="1057"/>
  <c r="Q5" i="1057"/>
  <c r="P5" i="1057"/>
  <c r="O5" i="1057"/>
  <c r="O105" i="1057" s="1"/>
  <c r="O218" i="1057" s="1"/>
  <c r="N5" i="1057"/>
  <c r="N105" i="1057" s="1"/>
  <c r="N218" i="1057" s="1"/>
  <c r="M5" i="1057"/>
  <c r="M124" i="1057" s="1"/>
  <c r="L5" i="1057"/>
  <c r="K5" i="1057"/>
  <c r="J5" i="1057"/>
  <c r="I5" i="1057"/>
  <c r="H5" i="1057"/>
  <c r="T4" i="1057"/>
  <c r="T133" i="1057" s="1"/>
  <c r="J4" i="1057"/>
  <c r="I4" i="1057"/>
  <c r="H4" i="1057"/>
  <c r="B3" i="1057"/>
  <c r="B4" i="1057" s="1"/>
  <c r="B5" i="1057" s="1"/>
  <c r="B6" i="1057" s="1"/>
  <c r="B7" i="1057" s="1"/>
  <c r="B10" i="1057" s="1"/>
  <c r="B12" i="1057" s="1"/>
  <c r="B13" i="1057" s="1"/>
  <c r="B14" i="1057" s="1"/>
  <c r="B15" i="1057" s="1"/>
  <c r="B16" i="1057" s="1"/>
  <c r="B17" i="1057" s="1"/>
  <c r="B18" i="1057" s="1"/>
  <c r="B19" i="1057" s="1"/>
  <c r="B20" i="1057" s="1"/>
  <c r="B21" i="1057" s="1"/>
  <c r="B22" i="1057" s="1"/>
  <c r="B23" i="1057" s="1"/>
  <c r="B24" i="1057" s="1"/>
  <c r="B25" i="1057" s="1"/>
  <c r="B26" i="1057" s="1"/>
  <c r="AE2" i="1057"/>
  <c r="AE52" i="1057" s="1"/>
  <c r="AD2" i="1057"/>
  <c r="AD52" i="1057" s="1"/>
  <c r="AC2" i="1057"/>
  <c r="AC52" i="1057" s="1"/>
  <c r="AB2" i="1057"/>
  <c r="AB52" i="1057" s="1"/>
  <c r="AA2" i="1057"/>
  <c r="AA52" i="1057" s="1"/>
  <c r="Z2" i="1057"/>
  <c r="Z52" i="1057" s="1"/>
  <c r="Y2" i="1057"/>
  <c r="Y52" i="1057" s="1"/>
  <c r="X2" i="1057"/>
  <c r="X52" i="1057" s="1"/>
  <c r="W2" i="1057"/>
  <c r="W52" i="1057" s="1"/>
  <c r="V2" i="1057"/>
  <c r="V52" i="1057" s="1"/>
  <c r="U2" i="1057"/>
  <c r="U52" i="1057" s="1"/>
  <c r="T2" i="1057"/>
  <c r="T52" i="1057" s="1"/>
  <c r="R2" i="1057"/>
  <c r="R52" i="1057" s="1"/>
  <c r="Q2" i="1057"/>
  <c r="Q52" i="1057" s="1"/>
  <c r="P2" i="1057"/>
  <c r="P52" i="1057" s="1"/>
  <c r="O2" i="1057"/>
  <c r="O52" i="1057" s="1"/>
  <c r="N2" i="1057"/>
  <c r="N52" i="1057" s="1"/>
  <c r="M2" i="1057"/>
  <c r="M52" i="1057" s="1"/>
  <c r="L2" i="1057"/>
  <c r="L52" i="1057" s="1"/>
  <c r="K2" i="1057"/>
  <c r="K52" i="1057" s="1"/>
  <c r="J2" i="1057"/>
  <c r="J52" i="1057" s="1"/>
  <c r="I2" i="1057"/>
  <c r="I52" i="1057" s="1"/>
  <c r="H2" i="1057"/>
  <c r="H52" i="1057" s="1"/>
  <c r="G2" i="1057"/>
  <c r="G52" i="1057" s="1"/>
  <c r="B2" i="1057"/>
  <c r="U1" i="1057"/>
  <c r="V1" i="1057" s="1"/>
  <c r="W1" i="1057" s="1"/>
  <c r="X1" i="1057" s="1"/>
  <c r="Y1" i="1057" s="1"/>
  <c r="Z1" i="1057" s="1"/>
  <c r="AA1" i="1057" s="1"/>
  <c r="AB1" i="1057" s="1"/>
  <c r="AC1" i="1057" s="1"/>
  <c r="AD1" i="1057" s="1"/>
  <c r="AE1" i="1057" s="1"/>
  <c r="I1" i="1057"/>
  <c r="J1" i="1057" s="1"/>
  <c r="K1" i="1057" s="1"/>
  <c r="L1" i="1057" s="1"/>
  <c r="M1" i="1057" s="1"/>
  <c r="N1" i="1057" s="1"/>
  <c r="O1" i="1057" s="1"/>
  <c r="P1" i="1057" s="1"/>
  <c r="Q1" i="1057" s="1"/>
  <c r="R1" i="1057" s="1"/>
  <c r="H1" i="1057"/>
  <c r="AE238" i="1056"/>
  <c r="AD238" i="1056"/>
  <c r="AC238" i="1056"/>
  <c r="AB238" i="1056"/>
  <c r="AA238" i="1056"/>
  <c r="Z238" i="1056"/>
  <c r="Y238" i="1056"/>
  <c r="X238" i="1056"/>
  <c r="W238" i="1056"/>
  <c r="V238" i="1056"/>
  <c r="U238" i="1056"/>
  <c r="T238" i="1056"/>
  <c r="S238" i="1056"/>
  <c r="R238" i="1056"/>
  <c r="Q238" i="1056"/>
  <c r="P238" i="1056"/>
  <c r="O238" i="1056"/>
  <c r="N238" i="1056"/>
  <c r="M238" i="1056"/>
  <c r="L238" i="1056"/>
  <c r="K238" i="1056"/>
  <c r="J238" i="1056"/>
  <c r="I238" i="1056"/>
  <c r="H238" i="1056"/>
  <c r="G238" i="1056"/>
  <c r="S236" i="1056"/>
  <c r="G236" i="1056"/>
  <c r="AE235" i="1056"/>
  <c r="AD235" i="1056"/>
  <c r="AC235" i="1056"/>
  <c r="AB235" i="1056"/>
  <c r="AA235" i="1056"/>
  <c r="Z235" i="1056"/>
  <c r="Y235" i="1056"/>
  <c r="X235" i="1056"/>
  <c r="W235" i="1056"/>
  <c r="V235" i="1056"/>
  <c r="U235" i="1056"/>
  <c r="T235" i="1056"/>
  <c r="S235" i="1056"/>
  <c r="R235" i="1056"/>
  <c r="Q235" i="1056"/>
  <c r="P235" i="1056"/>
  <c r="O235" i="1056"/>
  <c r="N235" i="1056"/>
  <c r="M235" i="1056"/>
  <c r="L235" i="1056"/>
  <c r="K235" i="1056"/>
  <c r="J235" i="1056"/>
  <c r="I235" i="1056"/>
  <c r="H235" i="1056"/>
  <c r="G235" i="1056"/>
  <c r="AE234" i="1056"/>
  <c r="AD234" i="1056"/>
  <c r="AC234" i="1056"/>
  <c r="AB234" i="1056"/>
  <c r="AA234" i="1056"/>
  <c r="Z234" i="1056"/>
  <c r="Y234" i="1056"/>
  <c r="X234" i="1056"/>
  <c r="W234" i="1056"/>
  <c r="V234" i="1056"/>
  <c r="U234" i="1056"/>
  <c r="T234" i="1056"/>
  <c r="S234" i="1056"/>
  <c r="R234" i="1056"/>
  <c r="Q234" i="1056"/>
  <c r="P234" i="1056"/>
  <c r="O234" i="1056"/>
  <c r="N234" i="1056"/>
  <c r="M234" i="1056"/>
  <c r="L234" i="1056"/>
  <c r="K234" i="1056"/>
  <c r="J234" i="1056"/>
  <c r="I234" i="1056"/>
  <c r="H234" i="1056"/>
  <c r="G234" i="1056"/>
  <c r="AE233" i="1056"/>
  <c r="AD233" i="1056"/>
  <c r="AC233" i="1056"/>
  <c r="AB233" i="1056"/>
  <c r="AA233" i="1056"/>
  <c r="Z233" i="1056"/>
  <c r="Y233" i="1056"/>
  <c r="X233" i="1056"/>
  <c r="W233" i="1056"/>
  <c r="V233" i="1056"/>
  <c r="U233" i="1056"/>
  <c r="T233" i="1056"/>
  <c r="S233" i="1056"/>
  <c r="R233" i="1056"/>
  <c r="Q233" i="1056"/>
  <c r="P233" i="1056"/>
  <c r="O233" i="1056"/>
  <c r="N233" i="1056"/>
  <c r="M233" i="1056"/>
  <c r="L233" i="1056"/>
  <c r="K233" i="1056"/>
  <c r="J233" i="1056"/>
  <c r="I233" i="1056"/>
  <c r="H233" i="1056"/>
  <c r="G233" i="1056"/>
  <c r="B233" i="1056"/>
  <c r="B234" i="1056" s="1"/>
  <c r="B235" i="1056" s="1"/>
  <c r="B236" i="1056" s="1"/>
  <c r="B237" i="1056" s="1"/>
  <c r="AE232" i="1056"/>
  <c r="AD232" i="1056"/>
  <c r="AC232" i="1056"/>
  <c r="AB232" i="1056"/>
  <c r="AA232" i="1056"/>
  <c r="Z232" i="1056"/>
  <c r="Y232" i="1056"/>
  <c r="X232" i="1056"/>
  <c r="W232" i="1056"/>
  <c r="V232" i="1056"/>
  <c r="U232" i="1056"/>
  <c r="T232" i="1056"/>
  <c r="S232" i="1056"/>
  <c r="R232" i="1056"/>
  <c r="Q232" i="1056"/>
  <c r="P232" i="1056"/>
  <c r="O232" i="1056"/>
  <c r="N232" i="1056"/>
  <c r="M232" i="1056"/>
  <c r="L232" i="1056"/>
  <c r="K232" i="1056"/>
  <c r="J232" i="1056"/>
  <c r="I232" i="1056"/>
  <c r="H232" i="1056"/>
  <c r="G232" i="1056"/>
  <c r="B232" i="1056"/>
  <c r="AE231" i="1056"/>
  <c r="AD231" i="1056"/>
  <c r="AC231" i="1056"/>
  <c r="AB231" i="1056"/>
  <c r="AA231" i="1056"/>
  <c r="Z231" i="1056"/>
  <c r="Y231" i="1056"/>
  <c r="X231" i="1056"/>
  <c r="W231" i="1056"/>
  <c r="V231" i="1056"/>
  <c r="U231" i="1056"/>
  <c r="T231" i="1056"/>
  <c r="S231" i="1056"/>
  <c r="R231" i="1056"/>
  <c r="Q231" i="1056"/>
  <c r="P231" i="1056"/>
  <c r="O231" i="1056"/>
  <c r="N231" i="1056"/>
  <c r="M231" i="1056"/>
  <c r="L231" i="1056"/>
  <c r="K231" i="1056"/>
  <c r="J231" i="1056"/>
  <c r="I231" i="1056"/>
  <c r="H231" i="1056"/>
  <c r="G231" i="1056"/>
  <c r="F230" i="1056"/>
  <c r="F229" i="1056"/>
  <c r="S228" i="1056"/>
  <c r="L228" i="1056"/>
  <c r="G228" i="1056"/>
  <c r="AE227" i="1056"/>
  <c r="AD227" i="1056"/>
  <c r="AC227" i="1056"/>
  <c r="AB227" i="1056"/>
  <c r="AA227" i="1056"/>
  <c r="Z227" i="1056"/>
  <c r="Y227" i="1056"/>
  <c r="X227" i="1056"/>
  <c r="W227" i="1056"/>
  <c r="V227" i="1056"/>
  <c r="U227" i="1056"/>
  <c r="T227" i="1056"/>
  <c r="S227" i="1056"/>
  <c r="R227" i="1056"/>
  <c r="Q227" i="1056"/>
  <c r="P227" i="1056"/>
  <c r="O227" i="1056"/>
  <c r="N227" i="1056"/>
  <c r="M227" i="1056"/>
  <c r="L227" i="1056"/>
  <c r="K227" i="1056"/>
  <c r="J227" i="1056"/>
  <c r="I227" i="1056"/>
  <c r="H227" i="1056"/>
  <c r="G227" i="1056"/>
  <c r="AE226" i="1056"/>
  <c r="AD226" i="1056"/>
  <c r="AC226" i="1056"/>
  <c r="AB226" i="1056"/>
  <c r="AA226" i="1056"/>
  <c r="Z226" i="1056"/>
  <c r="Y226" i="1056"/>
  <c r="X226" i="1056"/>
  <c r="W226" i="1056"/>
  <c r="V226" i="1056"/>
  <c r="U226" i="1056"/>
  <c r="T226" i="1056"/>
  <c r="S226" i="1056"/>
  <c r="R226" i="1056"/>
  <c r="Q226" i="1056"/>
  <c r="P226" i="1056"/>
  <c r="O226" i="1056"/>
  <c r="N226" i="1056"/>
  <c r="M226" i="1056"/>
  <c r="L226" i="1056"/>
  <c r="K226" i="1056"/>
  <c r="J226" i="1056"/>
  <c r="I226" i="1056"/>
  <c r="H226" i="1056"/>
  <c r="G226" i="1056"/>
  <c r="S225" i="1056"/>
  <c r="AE224" i="1056"/>
  <c r="AD224" i="1056"/>
  <c r="AC224" i="1056"/>
  <c r="AB224" i="1056"/>
  <c r="AA224" i="1056"/>
  <c r="Z224" i="1056"/>
  <c r="Y224" i="1056"/>
  <c r="X224" i="1056"/>
  <c r="W224" i="1056"/>
  <c r="V224" i="1056"/>
  <c r="U224" i="1056"/>
  <c r="T224" i="1056"/>
  <c r="S224" i="1056"/>
  <c r="R224" i="1056"/>
  <c r="Q224" i="1056"/>
  <c r="P224" i="1056"/>
  <c r="O224" i="1056"/>
  <c r="N224" i="1056"/>
  <c r="M224" i="1056"/>
  <c r="L224" i="1056"/>
  <c r="K224" i="1056"/>
  <c r="J224" i="1056"/>
  <c r="I224" i="1056"/>
  <c r="H224" i="1056"/>
  <c r="G224" i="1056"/>
  <c r="AE223" i="1056"/>
  <c r="AD223" i="1056"/>
  <c r="AC223" i="1056"/>
  <c r="AB223" i="1056"/>
  <c r="AA223" i="1056"/>
  <c r="Z223" i="1056"/>
  <c r="Y223" i="1056"/>
  <c r="X223" i="1056"/>
  <c r="W223" i="1056"/>
  <c r="V223" i="1056"/>
  <c r="U223" i="1056"/>
  <c r="T223" i="1056"/>
  <c r="S223" i="1056"/>
  <c r="R223" i="1056"/>
  <c r="Q223" i="1056"/>
  <c r="P223" i="1056"/>
  <c r="O223" i="1056"/>
  <c r="N223" i="1056"/>
  <c r="M223" i="1056"/>
  <c r="L223" i="1056"/>
  <c r="K223" i="1056"/>
  <c r="J223" i="1056"/>
  <c r="I223" i="1056"/>
  <c r="H223" i="1056"/>
  <c r="G223" i="1056"/>
  <c r="D222" i="1056"/>
  <c r="S221" i="1056"/>
  <c r="S220" i="1056"/>
  <c r="S219" i="1056"/>
  <c r="D219" i="1056"/>
  <c r="S218" i="1056"/>
  <c r="D218" i="1056"/>
  <c r="S217" i="1056"/>
  <c r="G217" i="1056"/>
  <c r="S216" i="1056" a="1"/>
  <c r="S216" i="1056" s="1"/>
  <c r="S215" i="1056"/>
  <c r="S214" i="1056"/>
  <c r="S213" i="1056"/>
  <c r="S212" i="1056"/>
  <c r="S211" i="1056"/>
  <c r="S210" i="1056"/>
  <c r="S209" i="1056"/>
  <c r="S208" i="1056"/>
  <c r="S207" i="1056"/>
  <c r="S206" i="1056"/>
  <c r="S205" i="1056"/>
  <c r="S204" i="1056"/>
  <c r="S203" i="1056"/>
  <c r="S202" i="1056"/>
  <c r="AC199" i="1056"/>
  <c r="S199" i="1056"/>
  <c r="S198" i="1056"/>
  <c r="S197" i="1056"/>
  <c r="S196" i="1056"/>
  <c r="S195" i="1056"/>
  <c r="O195" i="1056"/>
  <c r="J195" i="1056"/>
  <c r="G195" i="1056"/>
  <c r="S194" i="1056"/>
  <c r="O194" i="1056"/>
  <c r="J194" i="1056"/>
  <c r="G194" i="1056"/>
  <c r="S193" i="1056"/>
  <c r="O193" i="1056"/>
  <c r="J193" i="1056"/>
  <c r="G193" i="1056"/>
  <c r="S192" i="1056"/>
  <c r="O192" i="1056"/>
  <c r="J192" i="1056"/>
  <c r="G192" i="1056"/>
  <c r="S191" i="1056"/>
  <c r="R191" i="1056"/>
  <c r="Q191" i="1056"/>
  <c r="P191" i="1056"/>
  <c r="O191" i="1056"/>
  <c r="N191" i="1056"/>
  <c r="M191" i="1056"/>
  <c r="L191" i="1056"/>
  <c r="K191" i="1056"/>
  <c r="J191" i="1056"/>
  <c r="I191" i="1056"/>
  <c r="H191" i="1056"/>
  <c r="G191" i="1056"/>
  <c r="AE190" i="1056"/>
  <c r="AD190" i="1056"/>
  <c r="AC190" i="1056"/>
  <c r="AB190" i="1056"/>
  <c r="AA190" i="1056"/>
  <c r="Z190" i="1056"/>
  <c r="Y190" i="1056"/>
  <c r="X190" i="1056"/>
  <c r="W190" i="1056"/>
  <c r="V190" i="1056"/>
  <c r="U190" i="1056"/>
  <c r="T190" i="1056"/>
  <c r="S190" i="1056"/>
  <c r="R190" i="1056"/>
  <c r="Q190" i="1056"/>
  <c r="P190" i="1056"/>
  <c r="O190" i="1056"/>
  <c r="N190" i="1056"/>
  <c r="M190" i="1056"/>
  <c r="L190" i="1056"/>
  <c r="K190" i="1056"/>
  <c r="J190" i="1056"/>
  <c r="I190" i="1056"/>
  <c r="H190" i="1056"/>
  <c r="G190" i="1056"/>
  <c r="S189" i="1056"/>
  <c r="R189" i="1056"/>
  <c r="Q189" i="1056"/>
  <c r="P189" i="1056"/>
  <c r="O189" i="1056"/>
  <c r="N189" i="1056"/>
  <c r="M189" i="1056"/>
  <c r="L189" i="1056"/>
  <c r="K189" i="1056"/>
  <c r="J189" i="1056"/>
  <c r="I189" i="1056"/>
  <c r="H189" i="1056"/>
  <c r="G189" i="1056"/>
  <c r="S188" i="1056"/>
  <c r="R188" i="1056"/>
  <c r="Q188" i="1056"/>
  <c r="P188" i="1056"/>
  <c r="O188" i="1056"/>
  <c r="N188" i="1056"/>
  <c r="M188" i="1056"/>
  <c r="L188" i="1056"/>
  <c r="K188" i="1056"/>
  <c r="J188" i="1056"/>
  <c r="I188" i="1056"/>
  <c r="H188" i="1056"/>
  <c r="G188" i="1056"/>
  <c r="AE183" i="1056"/>
  <c r="AD183" i="1056"/>
  <c r="AC183" i="1056"/>
  <c r="AB183" i="1056"/>
  <c r="AA183" i="1056"/>
  <c r="Z183" i="1056"/>
  <c r="Y183" i="1056"/>
  <c r="X183" i="1056"/>
  <c r="W183" i="1056"/>
  <c r="V183" i="1056"/>
  <c r="U183" i="1056"/>
  <c r="T183" i="1056"/>
  <c r="S183" i="1056"/>
  <c r="R183" i="1056"/>
  <c r="Q183" i="1056"/>
  <c r="P183" i="1056"/>
  <c r="O183" i="1056"/>
  <c r="N183" i="1056"/>
  <c r="M183" i="1056"/>
  <c r="L183" i="1056"/>
  <c r="K183" i="1056"/>
  <c r="J183" i="1056"/>
  <c r="I183" i="1056"/>
  <c r="H183" i="1056"/>
  <c r="G183" i="1056"/>
  <c r="S182" i="1056"/>
  <c r="G182" i="1056"/>
  <c r="S181" i="1056"/>
  <c r="G181" i="1056"/>
  <c r="S180" i="1056"/>
  <c r="G180" i="1056"/>
  <c r="S179" i="1056"/>
  <c r="G179" i="1056"/>
  <c r="S178" i="1056"/>
  <c r="G178" i="1056"/>
  <c r="S177" i="1056"/>
  <c r="G177" i="1056"/>
  <c r="B172" i="1056"/>
  <c r="B173" i="1056" s="1"/>
  <c r="B174" i="1056" s="1"/>
  <c r="B175" i="1056" s="1"/>
  <c r="B176" i="1056" s="1"/>
  <c r="B177" i="1056" s="1"/>
  <c r="B178" i="1056" s="1"/>
  <c r="B179" i="1056" s="1"/>
  <c r="B180" i="1056" s="1"/>
  <c r="B181" i="1056" s="1"/>
  <c r="B182" i="1056" s="1"/>
  <c r="B183" i="1056" s="1"/>
  <c r="B184" i="1056" s="1"/>
  <c r="B185" i="1056" s="1"/>
  <c r="B186" i="1056" s="1"/>
  <c r="B170" i="1056"/>
  <c r="B171" i="1056" s="1"/>
  <c r="S169" i="1056"/>
  <c r="G169" i="1056"/>
  <c r="B169" i="1056"/>
  <c r="S168" i="1056"/>
  <c r="G168" i="1056"/>
  <c r="B168" i="1056"/>
  <c r="S167" i="1056"/>
  <c r="G167" i="1056"/>
  <c r="G166" i="1056"/>
  <c r="G165" i="1056"/>
  <c r="T162" i="1056"/>
  <c r="G162" i="1056"/>
  <c r="G139" i="1056"/>
  <c r="G134" i="1056"/>
  <c r="G133" i="1056"/>
  <c r="G132" i="1056"/>
  <c r="G131" i="1056"/>
  <c r="G130" i="1056" a="1"/>
  <c r="G130" i="1056" s="1"/>
  <c r="G164" i="1056" s="1"/>
  <c r="G129" i="1056"/>
  <c r="G163" i="1056" s="1"/>
  <c r="F128" i="1056"/>
  <c r="F127" i="1056"/>
  <c r="G125" i="1056"/>
  <c r="G124" i="1056"/>
  <c r="G135" i="1056" s="1"/>
  <c r="G123" i="1056"/>
  <c r="G111" i="1056"/>
  <c r="B111" i="1056"/>
  <c r="G108" i="1056"/>
  <c r="B108" i="1056"/>
  <c r="B107" i="1056"/>
  <c r="D220" i="1056" s="1"/>
  <c r="S106" i="1056"/>
  <c r="G105" i="1056"/>
  <c r="G218" i="1056" s="1"/>
  <c r="D98" i="1056"/>
  <c r="D97" i="1056"/>
  <c r="D96" i="1056"/>
  <c r="D95" i="1056"/>
  <c r="D94" i="1056"/>
  <c r="D93" i="1056"/>
  <c r="G88" i="1056" a="1"/>
  <c r="G88" i="1056" s="1"/>
  <c r="R87" i="1056"/>
  <c r="R199" i="1056" s="1"/>
  <c r="Q87" i="1056"/>
  <c r="Q199" i="1056" s="1"/>
  <c r="P87" i="1056"/>
  <c r="P199" i="1056" s="1"/>
  <c r="O87" i="1056"/>
  <c r="O199" i="1056" s="1"/>
  <c r="N87" i="1056"/>
  <c r="N199" i="1056" s="1"/>
  <c r="M87" i="1056"/>
  <c r="M199" i="1056" s="1"/>
  <c r="L87" i="1056"/>
  <c r="L199" i="1056" s="1"/>
  <c r="K87" i="1056"/>
  <c r="K199" i="1056" s="1"/>
  <c r="J87" i="1056"/>
  <c r="J199" i="1056" s="1"/>
  <c r="I87" i="1056"/>
  <c r="I199" i="1056" s="1"/>
  <c r="H87" i="1056"/>
  <c r="H199" i="1056" s="1"/>
  <c r="G87" i="1056"/>
  <c r="W86" i="1056"/>
  <c r="R86" i="1056"/>
  <c r="Q86" i="1056"/>
  <c r="O86" i="1056"/>
  <c r="N86" i="1056"/>
  <c r="M86" i="1056"/>
  <c r="L86" i="1056"/>
  <c r="K86" i="1056"/>
  <c r="J86" i="1056"/>
  <c r="I86" i="1056"/>
  <c r="H86" i="1056"/>
  <c r="W85" i="1056"/>
  <c r="R85" i="1056"/>
  <c r="Q85" i="1056"/>
  <c r="P85" i="1056"/>
  <c r="O85" i="1056"/>
  <c r="N85" i="1056"/>
  <c r="M85" i="1056"/>
  <c r="L85" i="1056"/>
  <c r="K85" i="1056"/>
  <c r="J85" i="1056"/>
  <c r="I85" i="1056"/>
  <c r="H85" i="1056"/>
  <c r="G85" i="1056"/>
  <c r="AE84" i="1056"/>
  <c r="V84" i="1056"/>
  <c r="R84" i="1056"/>
  <c r="Q84" i="1056"/>
  <c r="P84" i="1056"/>
  <c r="O84" i="1056"/>
  <c r="N84" i="1056"/>
  <c r="M84" i="1056"/>
  <c r="L84" i="1056"/>
  <c r="K84" i="1056"/>
  <c r="J84" i="1056"/>
  <c r="I84" i="1056"/>
  <c r="H84" i="1056"/>
  <c r="G84" i="1056"/>
  <c r="U83" i="1056"/>
  <c r="R83" i="1056"/>
  <c r="Q83" i="1056"/>
  <c r="P83" i="1056"/>
  <c r="O83" i="1056"/>
  <c r="N83" i="1056"/>
  <c r="M83" i="1056"/>
  <c r="L83" i="1056"/>
  <c r="K83" i="1056"/>
  <c r="J83" i="1056"/>
  <c r="I83" i="1056"/>
  <c r="H83" i="1056"/>
  <c r="G83" i="1056"/>
  <c r="R82" i="1056"/>
  <c r="Q82" i="1056"/>
  <c r="P82" i="1056"/>
  <c r="O82" i="1056"/>
  <c r="N82" i="1056"/>
  <c r="M82" i="1056"/>
  <c r="L82" i="1056"/>
  <c r="K82" i="1056"/>
  <c r="J82" i="1056"/>
  <c r="I82" i="1056"/>
  <c r="H82" i="1056"/>
  <c r="G82" i="1056"/>
  <c r="AE81" i="1056"/>
  <c r="V81" i="1056"/>
  <c r="R81" i="1056"/>
  <c r="Q81" i="1056"/>
  <c r="P81" i="1056"/>
  <c r="O81" i="1056"/>
  <c r="N81" i="1056"/>
  <c r="M81" i="1056"/>
  <c r="L81" i="1056"/>
  <c r="K81" i="1056"/>
  <c r="J81" i="1056"/>
  <c r="I81" i="1056"/>
  <c r="H81" i="1056"/>
  <c r="G81" i="1056"/>
  <c r="AF80" i="1056"/>
  <c r="R80" i="1056"/>
  <c r="Q80" i="1056"/>
  <c r="P80" i="1056"/>
  <c r="O80" i="1056"/>
  <c r="N80" i="1056"/>
  <c r="M80" i="1056"/>
  <c r="L80" i="1056"/>
  <c r="K80" i="1056"/>
  <c r="J80" i="1056"/>
  <c r="I80" i="1056"/>
  <c r="H80" i="1056"/>
  <c r="G80" i="1056"/>
  <c r="R79" i="1056"/>
  <c r="Q79" i="1056"/>
  <c r="P79" i="1056"/>
  <c r="O79" i="1056"/>
  <c r="N79" i="1056"/>
  <c r="M79" i="1056"/>
  <c r="L79" i="1056"/>
  <c r="K79" i="1056"/>
  <c r="J79" i="1056"/>
  <c r="I79" i="1056"/>
  <c r="H79" i="1056"/>
  <c r="G79" i="1056"/>
  <c r="AC78" i="1056"/>
  <c r="R78" i="1056"/>
  <c r="Q78" i="1056"/>
  <c r="P78" i="1056"/>
  <c r="O78" i="1056"/>
  <c r="N78" i="1056"/>
  <c r="M78" i="1056"/>
  <c r="L78" i="1056"/>
  <c r="K78" i="1056"/>
  <c r="J78" i="1056"/>
  <c r="I78" i="1056"/>
  <c r="H78" i="1056"/>
  <c r="G78" i="1056"/>
  <c r="T77" i="1056"/>
  <c r="O77" i="1056"/>
  <c r="J77" i="1056"/>
  <c r="G77" i="1056"/>
  <c r="R76" i="1056"/>
  <c r="Q76" i="1056"/>
  <c r="P76" i="1056"/>
  <c r="O76" i="1056"/>
  <c r="N76" i="1056"/>
  <c r="M76" i="1056"/>
  <c r="L76" i="1056"/>
  <c r="K76" i="1056"/>
  <c r="J76" i="1056"/>
  <c r="I76" i="1056"/>
  <c r="H76" i="1056"/>
  <c r="G76" i="1056"/>
  <c r="AF76" i="1056" s="1"/>
  <c r="AB75" i="1056"/>
  <c r="R75" i="1056"/>
  <c r="Q75" i="1056"/>
  <c r="P75" i="1056"/>
  <c r="O75" i="1056"/>
  <c r="N75" i="1056"/>
  <c r="M75" i="1056"/>
  <c r="L75" i="1056"/>
  <c r="K75" i="1056"/>
  <c r="J75" i="1056"/>
  <c r="AF75" i="1056" s="1"/>
  <c r="I75" i="1056"/>
  <c r="H75" i="1056"/>
  <c r="G75" i="1056"/>
  <c r="R74" i="1056"/>
  <c r="Q74" i="1056"/>
  <c r="P74" i="1056"/>
  <c r="O74" i="1056"/>
  <c r="N74" i="1056"/>
  <c r="M74" i="1056"/>
  <c r="L74" i="1056"/>
  <c r="K74" i="1056"/>
  <c r="J74" i="1056"/>
  <c r="AF74" i="1056" s="1"/>
  <c r="I74" i="1056"/>
  <c r="H74" i="1056"/>
  <c r="G74" i="1056"/>
  <c r="R73" i="1056"/>
  <c r="Q73" i="1056"/>
  <c r="P73" i="1056"/>
  <c r="O73" i="1056"/>
  <c r="N73" i="1056"/>
  <c r="M73" i="1056"/>
  <c r="L73" i="1056"/>
  <c r="K73" i="1056"/>
  <c r="J73" i="1056"/>
  <c r="I73" i="1056"/>
  <c r="H73" i="1056"/>
  <c r="G73" i="1056"/>
  <c r="AC72" i="1056"/>
  <c r="T72" i="1056"/>
  <c r="R72" i="1056"/>
  <c r="R220" i="1056" s="1"/>
  <c r="Q72" i="1056"/>
  <c r="P72" i="1056"/>
  <c r="O72" i="1056"/>
  <c r="N72" i="1056"/>
  <c r="M72" i="1056"/>
  <c r="L72" i="1056"/>
  <c r="K72" i="1056"/>
  <c r="J72" i="1056"/>
  <c r="I72" i="1056"/>
  <c r="H72" i="1056"/>
  <c r="H220" i="1056" s="1"/>
  <c r="G72" i="1056"/>
  <c r="G220" i="1056" s="1"/>
  <c r="G69" i="1056"/>
  <c r="AG68" i="1056"/>
  <c r="E68" i="1056"/>
  <c r="D68" i="1056"/>
  <c r="G68" i="1056" s="1"/>
  <c r="C68" i="1056"/>
  <c r="AG67" i="1056"/>
  <c r="G67" i="1056"/>
  <c r="AG66" i="1056"/>
  <c r="G66" i="1056"/>
  <c r="G213" i="1056" s="1"/>
  <c r="AG65" i="1056"/>
  <c r="G65" i="1056"/>
  <c r="AG64" i="1056"/>
  <c r="G64" i="1056"/>
  <c r="G212" i="1056" s="1"/>
  <c r="AG63" i="1056"/>
  <c r="G63" i="1056"/>
  <c r="AG62" i="1056"/>
  <c r="E62" i="1056"/>
  <c r="D62" i="1056"/>
  <c r="C62" i="1056"/>
  <c r="AG61" i="1056"/>
  <c r="E61" i="1056"/>
  <c r="D61" i="1056"/>
  <c r="C61" i="1056"/>
  <c r="AG60" i="1056"/>
  <c r="G60" i="1056"/>
  <c r="E60" i="1056"/>
  <c r="D60" i="1056"/>
  <c r="C60" i="1056"/>
  <c r="AG59" i="1056"/>
  <c r="E59" i="1056"/>
  <c r="D59" i="1056"/>
  <c r="C59" i="1056"/>
  <c r="AG58" i="1056"/>
  <c r="E58" i="1056"/>
  <c r="D58" i="1056"/>
  <c r="C58" i="1056"/>
  <c r="AG57" i="1056"/>
  <c r="E57" i="1056"/>
  <c r="D57" i="1056"/>
  <c r="C57" i="1056"/>
  <c r="AG56" i="1056"/>
  <c r="G56" i="1056"/>
  <c r="AG55" i="1056"/>
  <c r="G55" i="1056"/>
  <c r="AG54" i="1056"/>
  <c r="G54" i="1056"/>
  <c r="AG53" i="1056"/>
  <c r="H53" i="1056"/>
  <c r="G53" i="1056"/>
  <c r="A52" i="1056"/>
  <c r="U51" i="1056"/>
  <c r="T51" i="1056"/>
  <c r="H51" i="1056"/>
  <c r="I51" i="1056" s="1"/>
  <c r="U50" i="1056"/>
  <c r="T50" i="1056"/>
  <c r="H50" i="1056"/>
  <c r="I50" i="1056" s="1"/>
  <c r="U49" i="1056"/>
  <c r="T49" i="1056"/>
  <c r="H49" i="1056"/>
  <c r="I49" i="1056" s="1"/>
  <c r="AE48" i="1056"/>
  <c r="AD48" i="1056"/>
  <c r="AC48" i="1056"/>
  <c r="AB48" i="1056"/>
  <c r="AA48" i="1056"/>
  <c r="Z48" i="1056"/>
  <c r="Y48" i="1056"/>
  <c r="X48" i="1056"/>
  <c r="W48" i="1056"/>
  <c r="V48" i="1056"/>
  <c r="U48" i="1056"/>
  <c r="T48" i="1056"/>
  <c r="AE47" i="1056"/>
  <c r="AD47" i="1056"/>
  <c r="AC47" i="1056"/>
  <c r="AB47" i="1056"/>
  <c r="AA47" i="1056"/>
  <c r="Z47" i="1056"/>
  <c r="Y47" i="1056"/>
  <c r="X47" i="1056"/>
  <c r="W47" i="1056"/>
  <c r="V47" i="1056"/>
  <c r="U47" i="1056"/>
  <c r="T47" i="1056"/>
  <c r="AE46" i="1056"/>
  <c r="AD46" i="1056"/>
  <c r="AC46" i="1056"/>
  <c r="AB46" i="1056"/>
  <c r="AA46" i="1056"/>
  <c r="Z46" i="1056"/>
  <c r="Y46" i="1056"/>
  <c r="X46" i="1056"/>
  <c r="W46" i="1056"/>
  <c r="V46" i="1056"/>
  <c r="U46" i="1056"/>
  <c r="T46" i="1056"/>
  <c r="AE45" i="1056"/>
  <c r="AD45" i="1056"/>
  <c r="AC45" i="1056"/>
  <c r="AB45" i="1056"/>
  <c r="AA45" i="1056"/>
  <c r="Z45" i="1056"/>
  <c r="Y45" i="1056"/>
  <c r="X45" i="1056"/>
  <c r="W45" i="1056"/>
  <c r="V45" i="1056"/>
  <c r="U45" i="1056"/>
  <c r="T45" i="1056"/>
  <c r="AE44" i="1056"/>
  <c r="AE86" i="1056" s="1"/>
  <c r="AD44" i="1056"/>
  <c r="AD86" i="1056" s="1"/>
  <c r="AB44" i="1056"/>
  <c r="AB86" i="1056" s="1"/>
  <c r="AA44" i="1056"/>
  <c r="AA86" i="1056" s="1"/>
  <c r="Z44" i="1056"/>
  <c r="Z86" i="1056" s="1"/>
  <c r="Y44" i="1056"/>
  <c r="Y86" i="1056" s="1"/>
  <c r="X44" i="1056"/>
  <c r="X86" i="1056" s="1"/>
  <c r="W44" i="1056"/>
  <c r="V44" i="1056"/>
  <c r="V86" i="1056" s="1"/>
  <c r="U44" i="1056"/>
  <c r="U86" i="1056" s="1"/>
  <c r="AF43" i="1056"/>
  <c r="AE43" i="1056"/>
  <c r="AD43" i="1056"/>
  <c r="AC43" i="1056"/>
  <c r="AB43" i="1056"/>
  <c r="AA43" i="1056"/>
  <c r="Z43" i="1056"/>
  <c r="Y43" i="1056"/>
  <c r="X43" i="1056"/>
  <c r="W43" i="1056"/>
  <c r="V43" i="1056"/>
  <c r="U43" i="1056"/>
  <c r="T43" i="1056"/>
  <c r="AE42" i="1056"/>
  <c r="AD42" i="1056"/>
  <c r="AC42" i="1056"/>
  <c r="AB42" i="1056"/>
  <c r="AA42" i="1056"/>
  <c r="Z42" i="1056"/>
  <c r="Y42" i="1056"/>
  <c r="Y87" i="1056" s="1"/>
  <c r="Y199" i="1056" s="1"/>
  <c r="X42" i="1056"/>
  <c r="W42" i="1056"/>
  <c r="W87" i="1056" s="1"/>
  <c r="W199" i="1056" s="1"/>
  <c r="V42" i="1056"/>
  <c r="U42" i="1056"/>
  <c r="T42" i="1056"/>
  <c r="AE41" i="1056"/>
  <c r="AD41" i="1056"/>
  <c r="AD84" i="1056" s="1"/>
  <c r="AC41" i="1056"/>
  <c r="AC84" i="1056" s="1"/>
  <c r="AB41" i="1056"/>
  <c r="AB84" i="1056" s="1"/>
  <c r="AA41" i="1056"/>
  <c r="AA84" i="1056" s="1"/>
  <c r="Z41" i="1056"/>
  <c r="Z84" i="1056" s="1"/>
  <c r="Y41" i="1056"/>
  <c r="Y84" i="1056" s="1"/>
  <c r="X41" i="1056"/>
  <c r="X84" i="1056" s="1"/>
  <c r="W41" i="1056"/>
  <c r="W84" i="1056" s="1"/>
  <c r="V41" i="1056"/>
  <c r="U41" i="1056"/>
  <c r="U84" i="1056" s="1"/>
  <c r="T41" i="1056"/>
  <c r="T84" i="1056" s="1"/>
  <c r="AE40" i="1056"/>
  <c r="AD40" i="1056"/>
  <c r="AC40" i="1056"/>
  <c r="AB40" i="1056"/>
  <c r="AA40" i="1056"/>
  <c r="Z40" i="1056"/>
  <c r="Y40" i="1056"/>
  <c r="X40" i="1056"/>
  <c r="W40" i="1056"/>
  <c r="V40" i="1056"/>
  <c r="U40" i="1056"/>
  <c r="T40" i="1056"/>
  <c r="AE39" i="1056"/>
  <c r="AE82" i="1056" s="1"/>
  <c r="AD39" i="1056"/>
  <c r="AC39" i="1056"/>
  <c r="AB39" i="1056"/>
  <c r="AA39" i="1056"/>
  <c r="Z39" i="1056"/>
  <c r="Z82" i="1056" s="1"/>
  <c r="Y39" i="1056"/>
  <c r="X39" i="1056"/>
  <c r="X82" i="1056" s="1"/>
  <c r="W39" i="1056"/>
  <c r="W82" i="1056" s="1"/>
  <c r="V39" i="1056"/>
  <c r="U39" i="1056"/>
  <c r="T39" i="1056"/>
  <c r="AE38" i="1056"/>
  <c r="AD38" i="1056"/>
  <c r="AC38" i="1056"/>
  <c r="AB38" i="1056"/>
  <c r="AA38" i="1056"/>
  <c r="Z38" i="1056"/>
  <c r="Y38" i="1056"/>
  <c r="X38" i="1056"/>
  <c r="W38" i="1056"/>
  <c r="W81" i="1056" s="1"/>
  <c r="V38" i="1056"/>
  <c r="U38" i="1056"/>
  <c r="T38" i="1056"/>
  <c r="B38" i="1056"/>
  <c r="B39" i="1056" s="1"/>
  <c r="B40" i="1056" s="1"/>
  <c r="B41" i="1056" s="1"/>
  <c r="B42" i="1056" s="1"/>
  <c r="B43" i="1056" s="1"/>
  <c r="B44" i="1056" s="1"/>
  <c r="B45" i="1056" s="1"/>
  <c r="B46" i="1056" s="1"/>
  <c r="B47" i="1056" s="1"/>
  <c r="B48" i="1056" s="1"/>
  <c r="B49" i="1056" s="1"/>
  <c r="B50" i="1056" s="1"/>
  <c r="B51" i="1056" s="1"/>
  <c r="B52" i="1056" s="1"/>
  <c r="B53" i="1056" s="1"/>
  <c r="B54" i="1056" s="1"/>
  <c r="AE37" i="1056"/>
  <c r="AE79" i="1056" s="1"/>
  <c r="AD37" i="1056"/>
  <c r="AD79" i="1056" s="1"/>
  <c r="AC37" i="1056"/>
  <c r="AC79" i="1056" s="1"/>
  <c r="AB37" i="1056"/>
  <c r="AB79" i="1056" s="1"/>
  <c r="AA37" i="1056"/>
  <c r="AA79" i="1056" s="1"/>
  <c r="Z37" i="1056"/>
  <c r="Z79" i="1056" s="1"/>
  <c r="Y37" i="1056"/>
  <c r="Y79" i="1056" s="1"/>
  <c r="X37" i="1056"/>
  <c r="X79" i="1056" s="1"/>
  <c r="W37" i="1056"/>
  <c r="W79" i="1056" s="1"/>
  <c r="V37" i="1056"/>
  <c r="V79" i="1056" s="1"/>
  <c r="U37" i="1056"/>
  <c r="U79" i="1056" s="1"/>
  <c r="T37" i="1056"/>
  <c r="T79" i="1056" s="1"/>
  <c r="AE36" i="1056"/>
  <c r="AD36" i="1056"/>
  <c r="AD78" i="1056" s="1"/>
  <c r="AC36" i="1056"/>
  <c r="AB36" i="1056"/>
  <c r="AA36" i="1056"/>
  <c r="Z36" i="1056"/>
  <c r="Y36" i="1056"/>
  <c r="Y78" i="1056" s="1"/>
  <c r="X36" i="1056"/>
  <c r="X78" i="1056" s="1"/>
  <c r="W36" i="1056"/>
  <c r="V36" i="1056"/>
  <c r="V78" i="1056" s="1"/>
  <c r="U36" i="1056"/>
  <c r="T36" i="1056"/>
  <c r="AE35" i="1056"/>
  <c r="AD35" i="1056"/>
  <c r="AC35" i="1056"/>
  <c r="AB35" i="1056"/>
  <c r="AA35" i="1056"/>
  <c r="Z35" i="1056"/>
  <c r="Y35" i="1056"/>
  <c r="X35" i="1056"/>
  <c r="W35" i="1056"/>
  <c r="W80" i="1056" s="1"/>
  <c r="V35" i="1056"/>
  <c r="U35" i="1056"/>
  <c r="T35" i="1056"/>
  <c r="AE34" i="1056"/>
  <c r="AD34" i="1056"/>
  <c r="AC34" i="1056"/>
  <c r="AB34" i="1056"/>
  <c r="AA34" i="1056"/>
  <c r="AA191" i="1056" s="1"/>
  <c r="Z34" i="1056"/>
  <c r="Z191" i="1056" s="1"/>
  <c r="Y34" i="1056"/>
  <c r="Y85" i="1056" s="1"/>
  <c r="X34" i="1056"/>
  <c r="X191" i="1056" s="1"/>
  <c r="W34" i="1056"/>
  <c r="V34" i="1056"/>
  <c r="U34" i="1056"/>
  <c r="T34" i="1056"/>
  <c r="AE33" i="1056"/>
  <c r="AE76" i="1056" s="1"/>
  <c r="AD33" i="1056"/>
  <c r="AD76" i="1056" s="1"/>
  <c r="AC33" i="1056"/>
  <c r="AC76" i="1056" s="1"/>
  <c r="AB33" i="1056"/>
  <c r="AB76" i="1056" s="1"/>
  <c r="AA33" i="1056"/>
  <c r="AA76" i="1056" s="1"/>
  <c r="Z33" i="1056"/>
  <c r="Z76" i="1056" s="1"/>
  <c r="Y33" i="1056"/>
  <c r="Y76" i="1056" s="1"/>
  <c r="X33" i="1056"/>
  <c r="X76" i="1056" s="1"/>
  <c r="W33" i="1056"/>
  <c r="W76" i="1056" s="1"/>
  <c r="V33" i="1056"/>
  <c r="V76" i="1056" s="1"/>
  <c r="U33" i="1056"/>
  <c r="U76" i="1056" s="1"/>
  <c r="T33" i="1056"/>
  <c r="T76" i="1056" s="1"/>
  <c r="AE32" i="1056"/>
  <c r="AD32" i="1056"/>
  <c r="AC32" i="1056"/>
  <c r="AB32" i="1056"/>
  <c r="AB189" i="1056" s="1"/>
  <c r="AA32" i="1056"/>
  <c r="AA189" i="1056" s="1"/>
  <c r="Z32" i="1056"/>
  <c r="Y32" i="1056"/>
  <c r="X32" i="1056"/>
  <c r="W32" i="1056"/>
  <c r="V32" i="1056"/>
  <c r="U32" i="1056"/>
  <c r="T32" i="1056"/>
  <c r="T189" i="1056" s="1"/>
  <c r="AE31" i="1056"/>
  <c r="AD31" i="1056"/>
  <c r="AC31" i="1056"/>
  <c r="AB31" i="1056"/>
  <c r="AA31" i="1056"/>
  <c r="Z31" i="1056"/>
  <c r="Z188" i="1056" s="1"/>
  <c r="Y31" i="1056"/>
  <c r="X31" i="1056"/>
  <c r="W31" i="1056"/>
  <c r="V31" i="1056"/>
  <c r="U31" i="1056"/>
  <c r="T31" i="1056"/>
  <c r="B31" i="1056"/>
  <c r="B32" i="1056" s="1"/>
  <c r="B33" i="1056" s="1"/>
  <c r="B34" i="1056" s="1"/>
  <c r="B35" i="1056" s="1"/>
  <c r="B36" i="1056" s="1"/>
  <c r="B37" i="1056" s="1"/>
  <c r="Y30" i="1056"/>
  <c r="T30" i="1056"/>
  <c r="M30" i="1056"/>
  <c r="H30" i="1056"/>
  <c r="U30" i="1056" s="1"/>
  <c r="E30" i="1056"/>
  <c r="D30" i="1056"/>
  <c r="Y29" i="1056"/>
  <c r="Y228" i="1056" s="1"/>
  <c r="U29" i="1056"/>
  <c r="U228" i="1056" s="1"/>
  <c r="T29" i="1056"/>
  <c r="T228" i="1056" s="1"/>
  <c r="M29" i="1056"/>
  <c r="M228" i="1056" s="1"/>
  <c r="I29" i="1056"/>
  <c r="H29" i="1056"/>
  <c r="H228" i="1056" s="1"/>
  <c r="B29" i="1056"/>
  <c r="B30" i="1056" s="1"/>
  <c r="AE28" i="1056"/>
  <c r="AD28" i="1056"/>
  <c r="AC28" i="1056"/>
  <c r="AB28" i="1056"/>
  <c r="AA28" i="1056"/>
  <c r="Z28" i="1056"/>
  <c r="Y28" i="1056"/>
  <c r="X28" i="1056"/>
  <c r="W28" i="1056"/>
  <c r="V28" i="1056"/>
  <c r="U28" i="1056"/>
  <c r="T28" i="1056"/>
  <c r="AE27" i="1056"/>
  <c r="AE73" i="1056" s="1"/>
  <c r="AD27" i="1056"/>
  <c r="AD73" i="1056" s="1"/>
  <c r="AC27" i="1056"/>
  <c r="AC73" i="1056" s="1"/>
  <c r="AB27" i="1056"/>
  <c r="AB73" i="1056" s="1"/>
  <c r="AA27" i="1056"/>
  <c r="AA73" i="1056" s="1"/>
  <c r="Z27" i="1056"/>
  <c r="Z73" i="1056" s="1"/>
  <c r="Y27" i="1056"/>
  <c r="Y73" i="1056" s="1"/>
  <c r="X27" i="1056"/>
  <c r="X73" i="1056" s="1"/>
  <c r="W27" i="1056"/>
  <c r="W73" i="1056" s="1"/>
  <c r="V27" i="1056"/>
  <c r="V73" i="1056" s="1"/>
  <c r="U27" i="1056"/>
  <c r="U73" i="1056" s="1"/>
  <c r="T27" i="1056"/>
  <c r="T73" i="1056" s="1"/>
  <c r="AE26" i="1056"/>
  <c r="AE72" i="1056" s="1"/>
  <c r="AD26" i="1056"/>
  <c r="AD72" i="1056" s="1"/>
  <c r="AC26" i="1056"/>
  <c r="AB26" i="1056"/>
  <c r="AB72" i="1056" s="1"/>
  <c r="AA26" i="1056"/>
  <c r="AA72" i="1056" s="1"/>
  <c r="Z26" i="1056"/>
  <c r="Z72" i="1056" s="1"/>
  <c r="Y26" i="1056"/>
  <c r="Y72" i="1056" s="1"/>
  <c r="X26" i="1056"/>
  <c r="X72" i="1056" s="1"/>
  <c r="W26" i="1056"/>
  <c r="W72" i="1056" s="1"/>
  <c r="V26" i="1056"/>
  <c r="V72" i="1056" s="1"/>
  <c r="U26" i="1056"/>
  <c r="U72" i="1056" s="1"/>
  <c r="T26" i="1056"/>
  <c r="AF25" i="1056"/>
  <c r="AE25" i="1056"/>
  <c r="AD25" i="1056"/>
  <c r="AC25" i="1056"/>
  <c r="AB25" i="1056"/>
  <c r="AA25" i="1056"/>
  <c r="Z25" i="1056"/>
  <c r="Y25" i="1056"/>
  <c r="X25" i="1056"/>
  <c r="W25" i="1056"/>
  <c r="V25" i="1056"/>
  <c r="U25" i="1056"/>
  <c r="T25" i="1056"/>
  <c r="AE24" i="1056"/>
  <c r="AD24" i="1056"/>
  <c r="AC24" i="1056"/>
  <c r="X24" i="1056"/>
  <c r="W24" i="1056"/>
  <c r="V24" i="1056"/>
  <c r="U24" i="1056"/>
  <c r="T24" i="1056"/>
  <c r="L24" i="1056"/>
  <c r="Y24" i="1056" s="1"/>
  <c r="U23" i="1056"/>
  <c r="T23" i="1056"/>
  <c r="H23" i="1056"/>
  <c r="H182" i="1056" s="1"/>
  <c r="U22" i="1056"/>
  <c r="T22" i="1056"/>
  <c r="H22" i="1056"/>
  <c r="I22" i="1056" s="1"/>
  <c r="U21" i="1056"/>
  <c r="T21" i="1056"/>
  <c r="H21" i="1056"/>
  <c r="U20" i="1056"/>
  <c r="T20" i="1056"/>
  <c r="H20" i="1056"/>
  <c r="U19" i="1056"/>
  <c r="T19" i="1056"/>
  <c r="T62" i="1056" s="1"/>
  <c r="H19" i="1056"/>
  <c r="U18" i="1056"/>
  <c r="T18" i="1056"/>
  <c r="H18" i="1056"/>
  <c r="U17" i="1056"/>
  <c r="T17" i="1056"/>
  <c r="H17" i="1056"/>
  <c r="U16" i="1056"/>
  <c r="T16" i="1056"/>
  <c r="H16" i="1056"/>
  <c r="U15" i="1056"/>
  <c r="T15" i="1056"/>
  <c r="T58" i="1056" s="1"/>
  <c r="H15" i="1056"/>
  <c r="U14" i="1056"/>
  <c r="T14" i="1056"/>
  <c r="H14" i="1056"/>
  <c r="U13" i="1056"/>
  <c r="T13" i="1056"/>
  <c r="H13" i="1056"/>
  <c r="I13" i="1056" s="1"/>
  <c r="U12" i="1056"/>
  <c r="T12" i="1056"/>
  <c r="H12" i="1056"/>
  <c r="I12" i="1056" s="1"/>
  <c r="U11" i="1056"/>
  <c r="U10" i="1056" s="1"/>
  <c r="T11" i="1056"/>
  <c r="H11" i="1056"/>
  <c r="I11" i="1056" s="1"/>
  <c r="T10" i="1056"/>
  <c r="H10" i="1056"/>
  <c r="U9" i="1056"/>
  <c r="U88" i="1056" s="1"/>
  <c r="U109" i="1056" s="1"/>
  <c r="T9" i="1056"/>
  <c r="T88" i="1056" s="1"/>
  <c r="T109" i="1056" s="1"/>
  <c r="H9" i="1056"/>
  <c r="I9" i="1056" s="1"/>
  <c r="T8" i="1056"/>
  <c r="H8" i="1056"/>
  <c r="H57" i="1056" s="1"/>
  <c r="AC7" i="1056"/>
  <c r="AA7" i="1056"/>
  <c r="Z7" i="1056"/>
  <c r="X7" i="1056"/>
  <c r="U7" i="1056"/>
  <c r="T7" i="1056"/>
  <c r="R7" i="1056"/>
  <c r="AE7" i="1056" s="1"/>
  <c r="Q7" i="1056"/>
  <c r="AD7" i="1056" s="1"/>
  <c r="P7" i="1056"/>
  <c r="O7" i="1056"/>
  <c r="AB7" i="1056" s="1"/>
  <c r="N7" i="1056"/>
  <c r="M7" i="1056"/>
  <c r="L7" i="1056"/>
  <c r="Y7" i="1056" s="1"/>
  <c r="K7" i="1056"/>
  <c r="J7" i="1056"/>
  <c r="W7" i="1056" s="1"/>
  <c r="I7" i="1056"/>
  <c r="V7" i="1056" s="1"/>
  <c r="H7" i="1056"/>
  <c r="AF6" i="1056"/>
  <c r="AB6" i="1056"/>
  <c r="X6" i="1056"/>
  <c r="W6" i="1056"/>
  <c r="T6" i="1056"/>
  <c r="P6" i="1056"/>
  <c r="AC6" i="1056" s="1"/>
  <c r="M6" i="1056"/>
  <c r="L6" i="1056"/>
  <c r="K6" i="1056"/>
  <c r="H6" i="1056"/>
  <c r="H63" i="1056" s="1"/>
  <c r="AE5" i="1056"/>
  <c r="AB5" i="1056"/>
  <c r="Z5" i="1056"/>
  <c r="Y5" i="1056"/>
  <c r="W5" i="1056"/>
  <c r="T5" i="1056"/>
  <c r="R5" i="1056"/>
  <c r="Q5" i="1056"/>
  <c r="P5" i="1056"/>
  <c r="O5" i="1056"/>
  <c r="N5" i="1056"/>
  <c r="AA5" i="1056" s="1"/>
  <c r="M5" i="1056"/>
  <c r="L5" i="1056"/>
  <c r="K5" i="1056"/>
  <c r="J5" i="1056"/>
  <c r="I5" i="1056"/>
  <c r="H5" i="1056"/>
  <c r="T4" i="1056"/>
  <c r="H4" i="1056"/>
  <c r="AE2" i="1056"/>
  <c r="AE52" i="1056" s="1"/>
  <c r="AD2" i="1056"/>
  <c r="AD52" i="1056" s="1"/>
  <c r="AC2" i="1056"/>
  <c r="AC52" i="1056" s="1"/>
  <c r="AB2" i="1056"/>
  <c r="AB52" i="1056" s="1"/>
  <c r="AA2" i="1056"/>
  <c r="AA52" i="1056" s="1"/>
  <c r="Z2" i="1056"/>
  <c r="Z52" i="1056" s="1"/>
  <c r="Y2" i="1056"/>
  <c r="Y52" i="1056" s="1"/>
  <c r="X2" i="1056"/>
  <c r="X52" i="1056" s="1"/>
  <c r="W2" i="1056"/>
  <c r="W52" i="1056" s="1"/>
  <c r="V2" i="1056"/>
  <c r="V52" i="1056" s="1"/>
  <c r="U2" i="1056"/>
  <c r="U52" i="1056" s="1"/>
  <c r="T2" i="1056"/>
  <c r="T52" i="1056" s="1"/>
  <c r="R2" i="1056"/>
  <c r="R52" i="1056" s="1"/>
  <c r="Q2" i="1056"/>
  <c r="Q52" i="1056" s="1"/>
  <c r="P2" i="1056"/>
  <c r="P52" i="1056" s="1"/>
  <c r="O2" i="1056"/>
  <c r="O52" i="1056" s="1"/>
  <c r="N2" i="1056"/>
  <c r="N52" i="1056" s="1"/>
  <c r="M2" i="1056"/>
  <c r="M52" i="1056" s="1"/>
  <c r="L2" i="1056"/>
  <c r="L52" i="1056" s="1"/>
  <c r="K2" i="1056"/>
  <c r="K52" i="1056" s="1"/>
  <c r="J2" i="1056"/>
  <c r="J52" i="1056" s="1"/>
  <c r="I2" i="1056"/>
  <c r="I52" i="1056" s="1"/>
  <c r="H2" i="1056"/>
  <c r="H52" i="1056" s="1"/>
  <c r="G2" i="1056"/>
  <c r="G52" i="1056" s="1"/>
  <c r="B2" i="1056"/>
  <c r="B3" i="1056" s="1"/>
  <c r="B4" i="1056" s="1"/>
  <c r="B5" i="1056" s="1"/>
  <c r="B6" i="1056" s="1"/>
  <c r="B7" i="1056" s="1"/>
  <c r="B10" i="1056" s="1"/>
  <c r="B12" i="1056" s="1"/>
  <c r="B13" i="1056" s="1"/>
  <c r="B14" i="1056" s="1"/>
  <c r="B15" i="1056" s="1"/>
  <c r="B16" i="1056" s="1"/>
  <c r="B17" i="1056" s="1"/>
  <c r="B18" i="1056" s="1"/>
  <c r="B19" i="1056" s="1"/>
  <c r="B20" i="1056" s="1"/>
  <c r="B21" i="1056" s="1"/>
  <c r="B22" i="1056" s="1"/>
  <c r="B23" i="1056" s="1"/>
  <c r="B24" i="1056" s="1"/>
  <c r="B25" i="1056" s="1"/>
  <c r="B26" i="1056" s="1"/>
  <c r="AA1" i="1056"/>
  <c r="AB1" i="1056" s="1"/>
  <c r="AC1" i="1056" s="1"/>
  <c r="AD1" i="1056" s="1"/>
  <c r="AE1" i="1056" s="1"/>
  <c r="W1" i="1056"/>
  <c r="X1" i="1056" s="1"/>
  <c r="Y1" i="1056" s="1"/>
  <c r="Z1" i="1056" s="1"/>
  <c r="V1" i="1056"/>
  <c r="U1" i="1056"/>
  <c r="H1" i="1056"/>
  <c r="I1" i="1056" s="1"/>
  <c r="J1" i="1056" s="1"/>
  <c r="K1" i="1056" s="1"/>
  <c r="L1" i="1056" s="1"/>
  <c r="M1" i="1056" s="1"/>
  <c r="N1" i="1056" s="1"/>
  <c r="O1" i="1056" s="1"/>
  <c r="P1" i="1056" s="1"/>
  <c r="Q1" i="1056" s="1"/>
  <c r="R1" i="1056" s="1"/>
  <c r="AE238" i="1055"/>
  <c r="AD238" i="1055"/>
  <c r="AC238" i="1055"/>
  <c r="AB238" i="1055"/>
  <c r="AA238" i="1055"/>
  <c r="Z238" i="1055"/>
  <c r="Y238" i="1055"/>
  <c r="X238" i="1055"/>
  <c r="W238" i="1055"/>
  <c r="V238" i="1055"/>
  <c r="U238" i="1055"/>
  <c r="T238" i="1055"/>
  <c r="S238" i="1055"/>
  <c r="R238" i="1055"/>
  <c r="Q238" i="1055"/>
  <c r="P238" i="1055"/>
  <c r="O238" i="1055"/>
  <c r="N238" i="1055"/>
  <c r="M238" i="1055"/>
  <c r="L238" i="1055"/>
  <c r="K238" i="1055"/>
  <c r="J238" i="1055"/>
  <c r="I238" i="1055"/>
  <c r="H238" i="1055"/>
  <c r="G238" i="1055"/>
  <c r="S236" i="1055"/>
  <c r="G236" i="1055"/>
  <c r="AE235" i="1055"/>
  <c r="AD235" i="1055"/>
  <c r="AC235" i="1055"/>
  <c r="AB235" i="1055"/>
  <c r="AA235" i="1055"/>
  <c r="Z235" i="1055"/>
  <c r="Y235" i="1055"/>
  <c r="X235" i="1055"/>
  <c r="W235" i="1055"/>
  <c r="V235" i="1055"/>
  <c r="U235" i="1055"/>
  <c r="T235" i="1055"/>
  <c r="S235" i="1055"/>
  <c r="R235" i="1055"/>
  <c r="Q235" i="1055"/>
  <c r="P235" i="1055"/>
  <c r="O235" i="1055"/>
  <c r="N235" i="1055"/>
  <c r="M235" i="1055"/>
  <c r="L235" i="1055"/>
  <c r="K235" i="1055"/>
  <c r="J235" i="1055"/>
  <c r="I235" i="1055"/>
  <c r="H235" i="1055"/>
  <c r="G235" i="1055"/>
  <c r="AE234" i="1055"/>
  <c r="AD234" i="1055"/>
  <c r="AC234" i="1055"/>
  <c r="AB234" i="1055"/>
  <c r="AA234" i="1055"/>
  <c r="Z234" i="1055"/>
  <c r="Y234" i="1055"/>
  <c r="X234" i="1055"/>
  <c r="W234" i="1055"/>
  <c r="V234" i="1055"/>
  <c r="U234" i="1055"/>
  <c r="T234" i="1055"/>
  <c r="S234" i="1055"/>
  <c r="R234" i="1055"/>
  <c r="Q234" i="1055"/>
  <c r="P234" i="1055"/>
  <c r="O234" i="1055"/>
  <c r="N234" i="1055"/>
  <c r="M234" i="1055"/>
  <c r="L234" i="1055"/>
  <c r="K234" i="1055"/>
  <c r="J234" i="1055"/>
  <c r="I234" i="1055"/>
  <c r="H234" i="1055"/>
  <c r="G234" i="1055"/>
  <c r="AE233" i="1055"/>
  <c r="AD233" i="1055"/>
  <c r="AC233" i="1055"/>
  <c r="AB233" i="1055"/>
  <c r="AA233" i="1055"/>
  <c r="Z233" i="1055"/>
  <c r="Y233" i="1055"/>
  <c r="X233" i="1055"/>
  <c r="W233" i="1055"/>
  <c r="V233" i="1055"/>
  <c r="U233" i="1055"/>
  <c r="T233" i="1055"/>
  <c r="S233" i="1055"/>
  <c r="R233" i="1055"/>
  <c r="Q233" i="1055"/>
  <c r="P233" i="1055"/>
  <c r="O233" i="1055"/>
  <c r="N233" i="1055"/>
  <c r="M233" i="1055"/>
  <c r="L233" i="1055"/>
  <c r="K233" i="1055"/>
  <c r="J233" i="1055"/>
  <c r="I233" i="1055"/>
  <c r="H233" i="1055"/>
  <c r="G233" i="1055"/>
  <c r="AE232" i="1055"/>
  <c r="AD232" i="1055"/>
  <c r="AC232" i="1055"/>
  <c r="AB232" i="1055"/>
  <c r="AA232" i="1055"/>
  <c r="Z232" i="1055"/>
  <c r="Y232" i="1055"/>
  <c r="X232" i="1055"/>
  <c r="W232" i="1055"/>
  <c r="V232" i="1055"/>
  <c r="U232" i="1055"/>
  <c r="T232" i="1055"/>
  <c r="S232" i="1055"/>
  <c r="R232" i="1055"/>
  <c r="Q232" i="1055"/>
  <c r="P232" i="1055"/>
  <c r="O232" i="1055"/>
  <c r="N232" i="1055"/>
  <c r="M232" i="1055"/>
  <c r="L232" i="1055"/>
  <c r="K232" i="1055"/>
  <c r="J232" i="1055"/>
  <c r="I232" i="1055"/>
  <c r="H232" i="1055"/>
  <c r="G232" i="1055"/>
  <c r="B232" i="1055"/>
  <c r="B233" i="1055" s="1"/>
  <c r="B234" i="1055" s="1"/>
  <c r="B235" i="1055" s="1"/>
  <c r="B236" i="1055" s="1"/>
  <c r="B237" i="1055" s="1"/>
  <c r="AE231" i="1055"/>
  <c r="AD231" i="1055"/>
  <c r="AC231" i="1055"/>
  <c r="AB231" i="1055"/>
  <c r="AA231" i="1055"/>
  <c r="Z231" i="1055"/>
  <c r="Y231" i="1055"/>
  <c r="X231" i="1055"/>
  <c r="W231" i="1055"/>
  <c r="V231" i="1055"/>
  <c r="U231" i="1055"/>
  <c r="T231" i="1055"/>
  <c r="S231" i="1055"/>
  <c r="R231" i="1055"/>
  <c r="Q231" i="1055"/>
  <c r="P231" i="1055"/>
  <c r="O231" i="1055"/>
  <c r="N231" i="1055"/>
  <c r="M231" i="1055"/>
  <c r="L231" i="1055"/>
  <c r="K231" i="1055"/>
  <c r="J231" i="1055"/>
  <c r="I231" i="1055"/>
  <c r="H231" i="1055"/>
  <c r="G231" i="1055"/>
  <c r="F230" i="1055"/>
  <c r="F229" i="1055"/>
  <c r="S228" i="1055"/>
  <c r="L228" i="1055"/>
  <c r="G228" i="1055"/>
  <c r="AE227" i="1055"/>
  <c r="AD227" i="1055"/>
  <c r="AC227" i="1055"/>
  <c r="AB227" i="1055"/>
  <c r="AA227" i="1055"/>
  <c r="Z227" i="1055"/>
  <c r="Y227" i="1055"/>
  <c r="X227" i="1055"/>
  <c r="W227" i="1055"/>
  <c r="V227" i="1055"/>
  <c r="U227" i="1055"/>
  <c r="T227" i="1055"/>
  <c r="S227" i="1055"/>
  <c r="R227" i="1055"/>
  <c r="Q227" i="1055"/>
  <c r="P227" i="1055"/>
  <c r="O227" i="1055"/>
  <c r="N227" i="1055"/>
  <c r="M227" i="1055"/>
  <c r="L227" i="1055"/>
  <c r="K227" i="1055"/>
  <c r="J227" i="1055"/>
  <c r="I227" i="1055"/>
  <c r="H227" i="1055"/>
  <c r="G227" i="1055"/>
  <c r="AE226" i="1055"/>
  <c r="AD226" i="1055"/>
  <c r="AC226" i="1055"/>
  <c r="AB226" i="1055"/>
  <c r="AA226" i="1055"/>
  <c r="Z226" i="1055"/>
  <c r="Y226" i="1055"/>
  <c r="X226" i="1055"/>
  <c r="W226" i="1055"/>
  <c r="V226" i="1055"/>
  <c r="U226" i="1055"/>
  <c r="T226" i="1055"/>
  <c r="S226" i="1055"/>
  <c r="R226" i="1055"/>
  <c r="Q226" i="1055"/>
  <c r="P226" i="1055"/>
  <c r="O226" i="1055"/>
  <c r="N226" i="1055"/>
  <c r="M226" i="1055"/>
  <c r="L226" i="1055"/>
  <c r="K226" i="1055"/>
  <c r="J226" i="1055"/>
  <c r="I226" i="1055"/>
  <c r="H226" i="1055"/>
  <c r="G226" i="1055"/>
  <c r="S225" i="1055"/>
  <c r="AE224" i="1055"/>
  <c r="AD224" i="1055"/>
  <c r="AC224" i="1055"/>
  <c r="AB224" i="1055"/>
  <c r="AA224" i="1055"/>
  <c r="Z224" i="1055"/>
  <c r="Y224" i="1055"/>
  <c r="X224" i="1055"/>
  <c r="W224" i="1055"/>
  <c r="V224" i="1055"/>
  <c r="U224" i="1055"/>
  <c r="T224" i="1055"/>
  <c r="S224" i="1055"/>
  <c r="R224" i="1055"/>
  <c r="Q224" i="1055"/>
  <c r="P224" i="1055"/>
  <c r="O224" i="1055"/>
  <c r="N224" i="1055"/>
  <c r="M224" i="1055"/>
  <c r="L224" i="1055"/>
  <c r="K224" i="1055"/>
  <c r="J224" i="1055"/>
  <c r="I224" i="1055"/>
  <c r="H224" i="1055"/>
  <c r="G224" i="1055"/>
  <c r="AE223" i="1055"/>
  <c r="AD223" i="1055"/>
  <c r="AC223" i="1055"/>
  <c r="AB223" i="1055"/>
  <c r="AA223" i="1055"/>
  <c r="Z223" i="1055"/>
  <c r="Y223" i="1055"/>
  <c r="X223" i="1055"/>
  <c r="W223" i="1055"/>
  <c r="V223" i="1055"/>
  <c r="U223" i="1055"/>
  <c r="T223" i="1055"/>
  <c r="S223" i="1055"/>
  <c r="R223" i="1055"/>
  <c r="Q223" i="1055"/>
  <c r="P223" i="1055"/>
  <c r="O223" i="1055"/>
  <c r="N223" i="1055"/>
  <c r="M223" i="1055"/>
  <c r="L223" i="1055"/>
  <c r="K223" i="1055"/>
  <c r="J223" i="1055"/>
  <c r="I223" i="1055"/>
  <c r="H223" i="1055"/>
  <c r="G223" i="1055"/>
  <c r="D222" i="1055"/>
  <c r="S221" i="1055"/>
  <c r="S220" i="1055"/>
  <c r="S219" i="1055"/>
  <c r="D219" i="1055"/>
  <c r="S218" i="1055"/>
  <c r="D218" i="1055"/>
  <c r="S217" i="1055"/>
  <c r="G217" i="1055"/>
  <c r="S216" i="1055" a="1"/>
  <c r="S216" i="1055" s="1"/>
  <c r="S215" i="1055"/>
  <c r="S214" i="1055"/>
  <c r="S213" i="1055"/>
  <c r="S212" i="1055"/>
  <c r="S211" i="1055"/>
  <c r="S210" i="1055"/>
  <c r="S209" i="1055"/>
  <c r="S208" i="1055"/>
  <c r="S207" i="1055"/>
  <c r="S206" i="1055"/>
  <c r="S205" i="1055"/>
  <c r="S204" i="1055"/>
  <c r="S203" i="1055"/>
  <c r="S202" i="1055"/>
  <c r="AC199" i="1055"/>
  <c r="S199" i="1055"/>
  <c r="S198" i="1055"/>
  <c r="S197" i="1055"/>
  <c r="S196" i="1055"/>
  <c r="S195" i="1055"/>
  <c r="O195" i="1055"/>
  <c r="J195" i="1055"/>
  <c r="G195" i="1055"/>
  <c r="S194" i="1055"/>
  <c r="O194" i="1055"/>
  <c r="J194" i="1055"/>
  <c r="G194" i="1055"/>
  <c r="S193" i="1055"/>
  <c r="O193" i="1055"/>
  <c r="J193" i="1055"/>
  <c r="G193" i="1055"/>
  <c r="S192" i="1055"/>
  <c r="O192" i="1055"/>
  <c r="J192" i="1055"/>
  <c r="G192" i="1055"/>
  <c r="S191" i="1055"/>
  <c r="R191" i="1055"/>
  <c r="Q191" i="1055"/>
  <c r="P191" i="1055"/>
  <c r="O191" i="1055"/>
  <c r="N191" i="1055"/>
  <c r="M191" i="1055"/>
  <c r="L191" i="1055"/>
  <c r="K191" i="1055"/>
  <c r="J191" i="1055"/>
  <c r="I191" i="1055"/>
  <c r="H191" i="1055"/>
  <c r="G191" i="1055"/>
  <c r="AE190" i="1055"/>
  <c r="AD190" i="1055"/>
  <c r="AC190" i="1055"/>
  <c r="AB190" i="1055"/>
  <c r="AA190" i="1055"/>
  <c r="Z190" i="1055"/>
  <c r="Y190" i="1055"/>
  <c r="X190" i="1055"/>
  <c r="W190" i="1055"/>
  <c r="V190" i="1055"/>
  <c r="U190" i="1055"/>
  <c r="T190" i="1055"/>
  <c r="S190" i="1055"/>
  <c r="R190" i="1055"/>
  <c r="Q190" i="1055"/>
  <c r="P190" i="1055"/>
  <c r="O190" i="1055"/>
  <c r="N190" i="1055"/>
  <c r="M190" i="1055"/>
  <c r="L190" i="1055"/>
  <c r="K190" i="1055"/>
  <c r="J190" i="1055"/>
  <c r="I190" i="1055"/>
  <c r="H190" i="1055"/>
  <c r="G190" i="1055"/>
  <c r="S189" i="1055"/>
  <c r="R189" i="1055"/>
  <c r="Q189" i="1055"/>
  <c r="P189" i="1055"/>
  <c r="O189" i="1055"/>
  <c r="N189" i="1055"/>
  <c r="M189" i="1055"/>
  <c r="L189" i="1055"/>
  <c r="K189" i="1055"/>
  <c r="J189" i="1055"/>
  <c r="I189" i="1055"/>
  <c r="H189" i="1055"/>
  <c r="G189" i="1055"/>
  <c r="S188" i="1055"/>
  <c r="R188" i="1055"/>
  <c r="Q188" i="1055"/>
  <c r="P188" i="1055"/>
  <c r="O188" i="1055"/>
  <c r="N188" i="1055"/>
  <c r="M188" i="1055"/>
  <c r="L188" i="1055"/>
  <c r="K188" i="1055"/>
  <c r="J188" i="1055"/>
  <c r="I188" i="1055"/>
  <c r="H188" i="1055"/>
  <c r="G188" i="1055"/>
  <c r="AE183" i="1055"/>
  <c r="AD183" i="1055"/>
  <c r="AC183" i="1055"/>
  <c r="AB183" i="1055"/>
  <c r="AA183" i="1055"/>
  <c r="Z183" i="1055"/>
  <c r="Y183" i="1055"/>
  <c r="X183" i="1055"/>
  <c r="W183" i="1055"/>
  <c r="V183" i="1055"/>
  <c r="U183" i="1055"/>
  <c r="T183" i="1055"/>
  <c r="S183" i="1055"/>
  <c r="R183" i="1055"/>
  <c r="Q183" i="1055"/>
  <c r="P183" i="1055"/>
  <c r="O183" i="1055"/>
  <c r="N183" i="1055"/>
  <c r="M183" i="1055"/>
  <c r="L183" i="1055"/>
  <c r="K183" i="1055"/>
  <c r="J183" i="1055"/>
  <c r="I183" i="1055"/>
  <c r="H183" i="1055"/>
  <c r="G183" i="1055"/>
  <c r="S182" i="1055"/>
  <c r="G182" i="1055"/>
  <c r="S181" i="1055"/>
  <c r="G181" i="1055"/>
  <c r="S180" i="1055"/>
  <c r="G180" i="1055"/>
  <c r="S179" i="1055"/>
  <c r="G179" i="1055"/>
  <c r="S178" i="1055"/>
  <c r="G178" i="1055"/>
  <c r="S177" i="1055"/>
  <c r="G177" i="1055"/>
  <c r="S169" i="1055"/>
  <c r="S168" i="1055"/>
  <c r="G168" i="1055"/>
  <c r="B168" i="1055"/>
  <c r="B169" i="1055" s="1"/>
  <c r="B170" i="1055" s="1"/>
  <c r="B171" i="1055" s="1"/>
  <c r="B172" i="1055" s="1"/>
  <c r="B173" i="1055" s="1"/>
  <c r="B174" i="1055" s="1"/>
  <c r="B175" i="1055" s="1"/>
  <c r="B176" i="1055" s="1"/>
  <c r="B177" i="1055" s="1"/>
  <c r="B178" i="1055" s="1"/>
  <c r="B179" i="1055" s="1"/>
  <c r="B180" i="1055" s="1"/>
  <c r="B181" i="1055" s="1"/>
  <c r="B182" i="1055" s="1"/>
  <c r="B183" i="1055" s="1"/>
  <c r="B184" i="1055" s="1"/>
  <c r="B185" i="1055" s="1"/>
  <c r="B186" i="1055" s="1"/>
  <c r="S167" i="1055"/>
  <c r="G167" i="1055"/>
  <c r="G166" i="1055"/>
  <c r="G165" i="1055"/>
  <c r="G169" i="1055" s="1"/>
  <c r="T162" i="1055"/>
  <c r="G162" i="1055"/>
  <c r="G139" i="1055"/>
  <c r="G134" i="1055"/>
  <c r="G133" i="1055"/>
  <c r="G132" i="1055"/>
  <c r="G131" i="1055"/>
  <c r="G130" i="1055"/>
  <c r="G164" i="1055" s="1"/>
  <c r="G130" i="1055" a="1"/>
  <c r="G129" i="1055"/>
  <c r="G163" i="1055" s="1"/>
  <c r="F128" i="1055"/>
  <c r="F127" i="1055"/>
  <c r="G125" i="1055"/>
  <c r="K124" i="1055"/>
  <c r="G124" i="1055"/>
  <c r="G135" i="1055" s="1"/>
  <c r="G123" i="1055"/>
  <c r="G121" i="1055"/>
  <c r="B112" i="1055"/>
  <c r="D224" i="1055" s="1"/>
  <c r="G111" i="1055"/>
  <c r="B111" i="1055"/>
  <c r="D223" i="1055" s="1"/>
  <c r="G108" i="1055"/>
  <c r="B108" i="1055"/>
  <c r="J107" i="1055"/>
  <c r="B107" i="1055"/>
  <c r="D220" i="1055" s="1"/>
  <c r="S106" i="1055"/>
  <c r="G105" i="1055"/>
  <c r="G218" i="1055" s="1"/>
  <c r="D98" i="1055"/>
  <c r="D97" i="1055"/>
  <c r="D96" i="1055"/>
  <c r="G95" i="1055"/>
  <c r="D95" i="1055"/>
  <c r="D94" i="1055"/>
  <c r="D93" i="1055"/>
  <c r="G88" i="1055"/>
  <c r="G221" i="1055" s="1"/>
  <c r="G88" i="1055" a="1"/>
  <c r="R87" i="1055"/>
  <c r="R199" i="1055" s="1"/>
  <c r="Q87" i="1055"/>
  <c r="Q199" i="1055" s="1"/>
  <c r="P87" i="1055"/>
  <c r="P199" i="1055" s="1"/>
  <c r="O87" i="1055"/>
  <c r="O199" i="1055" s="1"/>
  <c r="N87" i="1055"/>
  <c r="N199" i="1055" s="1"/>
  <c r="M87" i="1055"/>
  <c r="M199" i="1055" s="1"/>
  <c r="L87" i="1055"/>
  <c r="L199" i="1055" s="1"/>
  <c r="K87" i="1055"/>
  <c r="K199" i="1055" s="1"/>
  <c r="J87" i="1055"/>
  <c r="J199" i="1055" s="1"/>
  <c r="I87" i="1055"/>
  <c r="I199" i="1055" s="1"/>
  <c r="H87" i="1055"/>
  <c r="H199" i="1055" s="1"/>
  <c r="G87" i="1055"/>
  <c r="G199" i="1055" s="1"/>
  <c r="Z86" i="1055"/>
  <c r="R86" i="1055"/>
  <c r="Q86" i="1055"/>
  <c r="O86" i="1055"/>
  <c r="N86" i="1055"/>
  <c r="M86" i="1055"/>
  <c r="L86" i="1055"/>
  <c r="K86" i="1055"/>
  <c r="J86" i="1055"/>
  <c r="I86" i="1055"/>
  <c r="H86" i="1055"/>
  <c r="Z85" i="1055"/>
  <c r="R85" i="1055"/>
  <c r="Q85" i="1055"/>
  <c r="P85" i="1055"/>
  <c r="O85" i="1055"/>
  <c r="N85" i="1055"/>
  <c r="M85" i="1055"/>
  <c r="L85" i="1055"/>
  <c r="K85" i="1055"/>
  <c r="J85" i="1055"/>
  <c r="I85" i="1055"/>
  <c r="H85" i="1055"/>
  <c r="G85" i="1055"/>
  <c r="Y84" i="1055"/>
  <c r="X84" i="1055"/>
  <c r="R84" i="1055"/>
  <c r="Q84" i="1055"/>
  <c r="P84" i="1055"/>
  <c r="O84" i="1055"/>
  <c r="N84" i="1055"/>
  <c r="M84" i="1055"/>
  <c r="L84" i="1055"/>
  <c r="K84" i="1055"/>
  <c r="J84" i="1055"/>
  <c r="I84" i="1055"/>
  <c r="H84" i="1055"/>
  <c r="G84" i="1055"/>
  <c r="Y83" i="1055"/>
  <c r="R83" i="1055"/>
  <c r="Q83" i="1055"/>
  <c r="P83" i="1055"/>
  <c r="O83" i="1055"/>
  <c r="N83" i="1055"/>
  <c r="M83" i="1055"/>
  <c r="L83" i="1055"/>
  <c r="K83" i="1055"/>
  <c r="J83" i="1055"/>
  <c r="I83" i="1055"/>
  <c r="H83" i="1055"/>
  <c r="G83" i="1055"/>
  <c r="Y82" i="1055"/>
  <c r="R82" i="1055"/>
  <c r="Q82" i="1055"/>
  <c r="P82" i="1055"/>
  <c r="O82" i="1055"/>
  <c r="N82" i="1055"/>
  <c r="M82" i="1055"/>
  <c r="L82" i="1055"/>
  <c r="K82" i="1055"/>
  <c r="J82" i="1055"/>
  <c r="I82" i="1055"/>
  <c r="H82" i="1055"/>
  <c r="G82" i="1055"/>
  <c r="Y81" i="1055"/>
  <c r="R81" i="1055"/>
  <c r="Q81" i="1055"/>
  <c r="P81" i="1055"/>
  <c r="O81" i="1055"/>
  <c r="N81" i="1055"/>
  <c r="M81" i="1055"/>
  <c r="L81" i="1055"/>
  <c r="K81" i="1055"/>
  <c r="J81" i="1055"/>
  <c r="I81" i="1055"/>
  <c r="H81" i="1055"/>
  <c r="G81" i="1055"/>
  <c r="R80" i="1055"/>
  <c r="Q80" i="1055"/>
  <c r="P80" i="1055"/>
  <c r="O80" i="1055"/>
  <c r="N80" i="1055"/>
  <c r="M80" i="1055"/>
  <c r="L80" i="1055"/>
  <c r="K80" i="1055"/>
  <c r="J80" i="1055"/>
  <c r="I80" i="1055"/>
  <c r="H80" i="1055"/>
  <c r="AF80" i="1055" s="1"/>
  <c r="G80" i="1055"/>
  <c r="R79" i="1055"/>
  <c r="Q79" i="1055"/>
  <c r="P79" i="1055"/>
  <c r="O79" i="1055"/>
  <c r="N79" i="1055"/>
  <c r="M79" i="1055"/>
  <c r="L79" i="1055"/>
  <c r="K79" i="1055"/>
  <c r="J79" i="1055"/>
  <c r="I79" i="1055"/>
  <c r="H79" i="1055"/>
  <c r="G79" i="1055"/>
  <c r="R78" i="1055"/>
  <c r="Q78" i="1055"/>
  <c r="P78" i="1055"/>
  <c r="O78" i="1055"/>
  <c r="N78" i="1055"/>
  <c r="M78" i="1055"/>
  <c r="L78" i="1055"/>
  <c r="K78" i="1055"/>
  <c r="J78" i="1055"/>
  <c r="I78" i="1055"/>
  <c r="H78" i="1055"/>
  <c r="G78" i="1055"/>
  <c r="O77" i="1055"/>
  <c r="J77" i="1055"/>
  <c r="G77" i="1055"/>
  <c r="Y76" i="1055"/>
  <c r="W76" i="1055"/>
  <c r="R76" i="1055"/>
  <c r="Q76" i="1055"/>
  <c r="P76" i="1055"/>
  <c r="O76" i="1055"/>
  <c r="N76" i="1055"/>
  <c r="M76" i="1055"/>
  <c r="L76" i="1055"/>
  <c r="K76" i="1055"/>
  <c r="J76" i="1055"/>
  <c r="I76" i="1055"/>
  <c r="H76" i="1055"/>
  <c r="G76" i="1055"/>
  <c r="X75" i="1055"/>
  <c r="R75" i="1055"/>
  <c r="Q75" i="1055"/>
  <c r="P75" i="1055"/>
  <c r="O75" i="1055"/>
  <c r="N75" i="1055"/>
  <c r="M75" i="1055"/>
  <c r="L75" i="1055"/>
  <c r="K75" i="1055"/>
  <c r="J75" i="1055"/>
  <c r="I75" i="1055"/>
  <c r="H75" i="1055"/>
  <c r="G75" i="1055"/>
  <c r="AF75" i="1055" s="1"/>
  <c r="Y74" i="1055"/>
  <c r="R74" i="1055"/>
  <c r="Q74" i="1055"/>
  <c r="P74" i="1055"/>
  <c r="O74" i="1055"/>
  <c r="N74" i="1055"/>
  <c r="M74" i="1055"/>
  <c r="L74" i="1055"/>
  <c r="K74" i="1055"/>
  <c r="J74" i="1055"/>
  <c r="I74" i="1055"/>
  <c r="H74" i="1055"/>
  <c r="G74" i="1055"/>
  <c r="R73" i="1055"/>
  <c r="Q73" i="1055"/>
  <c r="P73" i="1055"/>
  <c r="O73" i="1055"/>
  <c r="N73" i="1055"/>
  <c r="M73" i="1055"/>
  <c r="L73" i="1055"/>
  <c r="K73" i="1055"/>
  <c r="J73" i="1055"/>
  <c r="I73" i="1055"/>
  <c r="H73" i="1055"/>
  <c r="G73" i="1055"/>
  <c r="AF73" i="1055" s="1"/>
  <c r="Y72" i="1055"/>
  <c r="Y220" i="1055" s="1"/>
  <c r="R72" i="1055"/>
  <c r="R220" i="1055" s="1"/>
  <c r="Q72" i="1055"/>
  <c r="P72" i="1055"/>
  <c r="O72" i="1055"/>
  <c r="O220" i="1055" s="1"/>
  <c r="N72" i="1055"/>
  <c r="M72" i="1055"/>
  <c r="M220" i="1055" s="1"/>
  <c r="L72" i="1055"/>
  <c r="L220" i="1055" s="1"/>
  <c r="K72" i="1055"/>
  <c r="J72" i="1055"/>
  <c r="J220" i="1055" s="1"/>
  <c r="I72" i="1055"/>
  <c r="H72" i="1055"/>
  <c r="G72" i="1055"/>
  <c r="G69" i="1055"/>
  <c r="AG68" i="1055"/>
  <c r="G68" i="1055"/>
  <c r="G215" i="1055" s="1"/>
  <c r="E68" i="1055"/>
  <c r="D68" i="1055"/>
  <c r="C68" i="1055"/>
  <c r="AG67" i="1055"/>
  <c r="G67" i="1055"/>
  <c r="AG66" i="1055"/>
  <c r="G66" i="1055"/>
  <c r="G213" i="1055" s="1"/>
  <c r="AG65" i="1055"/>
  <c r="G65" i="1055"/>
  <c r="AG64" i="1055"/>
  <c r="G64" i="1055"/>
  <c r="AG63" i="1055"/>
  <c r="G63" i="1055"/>
  <c r="G211" i="1055" s="1"/>
  <c r="AG62" i="1055"/>
  <c r="G62" i="1055"/>
  <c r="G210" i="1055" s="1"/>
  <c r="E62" i="1055"/>
  <c r="D62" i="1055"/>
  <c r="C62" i="1055"/>
  <c r="AG61" i="1055"/>
  <c r="E61" i="1055"/>
  <c r="D61" i="1055"/>
  <c r="C61" i="1055"/>
  <c r="AG60" i="1055"/>
  <c r="H60" i="1055"/>
  <c r="E60" i="1055"/>
  <c r="D60" i="1055"/>
  <c r="C60" i="1055"/>
  <c r="AG59" i="1055"/>
  <c r="G59" i="1055"/>
  <c r="G207" i="1055" s="1"/>
  <c r="E59" i="1055"/>
  <c r="D59" i="1055"/>
  <c r="C59" i="1055"/>
  <c r="AG58" i="1055"/>
  <c r="G58" i="1055"/>
  <c r="G206" i="1055" s="1"/>
  <c r="E58" i="1055"/>
  <c r="D58" i="1055"/>
  <c r="C58" i="1055"/>
  <c r="AG57" i="1055"/>
  <c r="E57" i="1055"/>
  <c r="D57" i="1055"/>
  <c r="C57" i="1055"/>
  <c r="AG56" i="1055"/>
  <c r="G56" i="1055"/>
  <c r="G204" i="1055" s="1"/>
  <c r="AG55" i="1055"/>
  <c r="G55" i="1055"/>
  <c r="G203" i="1055" s="1"/>
  <c r="AG54" i="1055"/>
  <c r="G54" i="1055"/>
  <c r="AG53" i="1055"/>
  <c r="G53" i="1055"/>
  <c r="AA52" i="1055"/>
  <c r="J52" i="1055"/>
  <c r="A52" i="1055"/>
  <c r="U51" i="1055"/>
  <c r="T51" i="1055"/>
  <c r="I51" i="1055"/>
  <c r="H51" i="1055"/>
  <c r="B51" i="1055"/>
  <c r="B52" i="1055" s="1"/>
  <c r="B53" i="1055" s="1"/>
  <c r="B54" i="1055" s="1"/>
  <c r="U50" i="1055"/>
  <c r="T50" i="1055"/>
  <c r="I50" i="1055"/>
  <c r="H50" i="1055"/>
  <c r="U49" i="1055"/>
  <c r="T49" i="1055"/>
  <c r="I49" i="1055"/>
  <c r="H49" i="1055"/>
  <c r="AE48" i="1055"/>
  <c r="AD48" i="1055"/>
  <c r="AC48" i="1055"/>
  <c r="AB48" i="1055"/>
  <c r="AA48" i="1055"/>
  <c r="Z48" i="1055"/>
  <c r="Y48" i="1055"/>
  <c r="X48" i="1055"/>
  <c r="W48" i="1055"/>
  <c r="V48" i="1055"/>
  <c r="U48" i="1055"/>
  <c r="T48" i="1055"/>
  <c r="AE47" i="1055"/>
  <c r="AD47" i="1055"/>
  <c r="AC47" i="1055"/>
  <c r="AB47" i="1055"/>
  <c r="AA47" i="1055"/>
  <c r="Z47" i="1055"/>
  <c r="Y47" i="1055"/>
  <c r="X47" i="1055"/>
  <c r="W47" i="1055"/>
  <c r="V47" i="1055"/>
  <c r="U47" i="1055"/>
  <c r="T47" i="1055"/>
  <c r="AE46" i="1055"/>
  <c r="AD46" i="1055"/>
  <c r="AC46" i="1055"/>
  <c r="AB46" i="1055"/>
  <c r="AA46" i="1055"/>
  <c r="Z46" i="1055"/>
  <c r="Y46" i="1055"/>
  <c r="X46" i="1055"/>
  <c r="W46" i="1055"/>
  <c r="V46" i="1055"/>
  <c r="U46" i="1055"/>
  <c r="T46" i="1055"/>
  <c r="AE45" i="1055"/>
  <c r="AD45" i="1055"/>
  <c r="AC45" i="1055"/>
  <c r="AB45" i="1055"/>
  <c r="AA45" i="1055"/>
  <c r="Z45" i="1055"/>
  <c r="Y45" i="1055"/>
  <c r="X45" i="1055"/>
  <c r="W45" i="1055"/>
  <c r="V45" i="1055"/>
  <c r="U45" i="1055"/>
  <c r="T45" i="1055"/>
  <c r="AE44" i="1055"/>
  <c r="AE86" i="1055" s="1"/>
  <c r="AD44" i="1055"/>
  <c r="AD86" i="1055" s="1"/>
  <c r="AB44" i="1055"/>
  <c r="AB86" i="1055" s="1"/>
  <c r="AA44" i="1055"/>
  <c r="AA86" i="1055" s="1"/>
  <c r="Z44" i="1055"/>
  <c r="Y44" i="1055"/>
  <c r="Y86" i="1055" s="1"/>
  <c r="X44" i="1055"/>
  <c r="X86" i="1055" s="1"/>
  <c r="W44" i="1055"/>
  <c r="W86" i="1055" s="1"/>
  <c r="V44" i="1055"/>
  <c r="V86" i="1055" s="1"/>
  <c r="U44" i="1055"/>
  <c r="U86" i="1055" s="1"/>
  <c r="AF43" i="1055"/>
  <c r="AE43" i="1055"/>
  <c r="AD43" i="1055"/>
  <c r="AC43" i="1055"/>
  <c r="AB43" i="1055"/>
  <c r="AA43" i="1055"/>
  <c r="Z43" i="1055"/>
  <c r="Y43" i="1055"/>
  <c r="X43" i="1055"/>
  <c r="W43" i="1055"/>
  <c r="V43" i="1055"/>
  <c r="U43" i="1055"/>
  <c r="T43" i="1055"/>
  <c r="AE42" i="1055"/>
  <c r="AD42" i="1055"/>
  <c r="AC42" i="1055"/>
  <c r="AB42" i="1055"/>
  <c r="AA42" i="1055"/>
  <c r="AA87" i="1055" s="1"/>
  <c r="AA199" i="1055" s="1"/>
  <c r="Z42" i="1055"/>
  <c r="Y42" i="1055"/>
  <c r="X42" i="1055"/>
  <c r="W42" i="1055"/>
  <c r="V42" i="1055"/>
  <c r="U42" i="1055"/>
  <c r="T42" i="1055"/>
  <c r="AE41" i="1055"/>
  <c r="AE84" i="1055" s="1"/>
  <c r="AD41" i="1055"/>
  <c r="AD84" i="1055" s="1"/>
  <c r="AC41" i="1055"/>
  <c r="AC84" i="1055" s="1"/>
  <c r="AB41" i="1055"/>
  <c r="AB84" i="1055" s="1"/>
  <c r="AA41" i="1055"/>
  <c r="AA84" i="1055" s="1"/>
  <c r="Z41" i="1055"/>
  <c r="Z84" i="1055" s="1"/>
  <c r="Y41" i="1055"/>
  <c r="X41" i="1055"/>
  <c r="W41" i="1055"/>
  <c r="W84" i="1055" s="1"/>
  <c r="V41" i="1055"/>
  <c r="V84" i="1055" s="1"/>
  <c r="U41" i="1055"/>
  <c r="U84" i="1055" s="1"/>
  <c r="T41" i="1055"/>
  <c r="T84" i="1055" s="1"/>
  <c r="AE40" i="1055"/>
  <c r="AD40" i="1055"/>
  <c r="AC40" i="1055"/>
  <c r="AB40" i="1055"/>
  <c r="AA40" i="1055"/>
  <c r="Z40" i="1055"/>
  <c r="Y40" i="1055"/>
  <c r="X40" i="1055"/>
  <c r="W40" i="1055"/>
  <c r="V40" i="1055"/>
  <c r="U40" i="1055"/>
  <c r="T40" i="1055"/>
  <c r="AE39" i="1055"/>
  <c r="AD39" i="1055"/>
  <c r="AC39" i="1055"/>
  <c r="AB39" i="1055"/>
  <c r="AB82" i="1055" s="1"/>
  <c r="AA39" i="1055"/>
  <c r="AA82" i="1055" s="1"/>
  <c r="Z39" i="1055"/>
  <c r="Y39" i="1055"/>
  <c r="X39" i="1055"/>
  <c r="W39" i="1055"/>
  <c r="V39" i="1055"/>
  <c r="U39" i="1055"/>
  <c r="T39" i="1055"/>
  <c r="T82" i="1055" s="1"/>
  <c r="AE38" i="1055"/>
  <c r="AD38" i="1055"/>
  <c r="AC38" i="1055"/>
  <c r="AB38" i="1055"/>
  <c r="AA38" i="1055"/>
  <c r="AA81" i="1055" s="1"/>
  <c r="Z38" i="1055"/>
  <c r="Y38" i="1055"/>
  <c r="X38" i="1055"/>
  <c r="W38" i="1055"/>
  <c r="V38" i="1055"/>
  <c r="U38" i="1055"/>
  <c r="T38" i="1055"/>
  <c r="AE37" i="1055"/>
  <c r="AE79" i="1055" s="1"/>
  <c r="AD37" i="1055"/>
  <c r="AD79" i="1055" s="1"/>
  <c r="AC37" i="1055"/>
  <c r="AC79" i="1055" s="1"/>
  <c r="AB37" i="1055"/>
  <c r="AB79" i="1055" s="1"/>
  <c r="AA37" i="1055"/>
  <c r="AA79" i="1055" s="1"/>
  <c r="Z37" i="1055"/>
  <c r="Z79" i="1055" s="1"/>
  <c r="Y37" i="1055"/>
  <c r="Y79" i="1055" s="1"/>
  <c r="X37" i="1055"/>
  <c r="X79" i="1055" s="1"/>
  <c r="W37" i="1055"/>
  <c r="W79" i="1055" s="1"/>
  <c r="V37" i="1055"/>
  <c r="V79" i="1055" s="1"/>
  <c r="U37" i="1055"/>
  <c r="U79" i="1055" s="1"/>
  <c r="T37" i="1055"/>
  <c r="T79" i="1055" s="1"/>
  <c r="AE36" i="1055"/>
  <c r="AD36" i="1055"/>
  <c r="AC36" i="1055"/>
  <c r="AC78" i="1055" s="1"/>
  <c r="AB36" i="1055"/>
  <c r="AA36" i="1055"/>
  <c r="AA78" i="1055" s="1"/>
  <c r="Z36" i="1055"/>
  <c r="Y36" i="1055"/>
  <c r="Y78" i="1055" s="1"/>
  <c r="X36" i="1055"/>
  <c r="W36" i="1055"/>
  <c r="V36" i="1055"/>
  <c r="U36" i="1055"/>
  <c r="T36" i="1055"/>
  <c r="AE35" i="1055"/>
  <c r="AD35" i="1055"/>
  <c r="AC35" i="1055"/>
  <c r="AB35" i="1055"/>
  <c r="AA35" i="1055"/>
  <c r="Z35" i="1055"/>
  <c r="Y35" i="1055"/>
  <c r="X35" i="1055"/>
  <c r="W35" i="1055"/>
  <c r="V35" i="1055"/>
  <c r="U35" i="1055"/>
  <c r="T35" i="1055"/>
  <c r="AE34" i="1055"/>
  <c r="AD34" i="1055"/>
  <c r="AC34" i="1055"/>
  <c r="AC191" i="1055" s="1"/>
  <c r="AB34" i="1055"/>
  <c r="AA34" i="1055"/>
  <c r="Z34" i="1055"/>
  <c r="Z191" i="1055" s="1"/>
  <c r="Y34" i="1055"/>
  <c r="X34" i="1055"/>
  <c r="W34" i="1055"/>
  <c r="V34" i="1055"/>
  <c r="U34" i="1055"/>
  <c r="U191" i="1055" s="1"/>
  <c r="T34" i="1055"/>
  <c r="B34" i="1055"/>
  <c r="B35" i="1055" s="1"/>
  <c r="B36" i="1055" s="1"/>
  <c r="B37" i="1055" s="1"/>
  <c r="B38" i="1055" s="1"/>
  <c r="B39" i="1055" s="1"/>
  <c r="B40" i="1055" s="1"/>
  <c r="B41" i="1055" s="1"/>
  <c r="B42" i="1055" s="1"/>
  <c r="B43" i="1055" s="1"/>
  <c r="B44" i="1055" s="1"/>
  <c r="B45" i="1055" s="1"/>
  <c r="B46" i="1055" s="1"/>
  <c r="B47" i="1055" s="1"/>
  <c r="B48" i="1055" s="1"/>
  <c r="B49" i="1055" s="1"/>
  <c r="B50" i="1055" s="1"/>
  <c r="AE33" i="1055"/>
  <c r="AE76" i="1055" s="1"/>
  <c r="AD33" i="1055"/>
  <c r="AD76" i="1055" s="1"/>
  <c r="AC33" i="1055"/>
  <c r="AC76" i="1055" s="1"/>
  <c r="AB33" i="1055"/>
  <c r="AB76" i="1055" s="1"/>
  <c r="AA33" i="1055"/>
  <c r="AA76" i="1055" s="1"/>
  <c r="Z33" i="1055"/>
  <c r="Z76" i="1055" s="1"/>
  <c r="Y33" i="1055"/>
  <c r="X33" i="1055"/>
  <c r="X76" i="1055" s="1"/>
  <c r="W33" i="1055"/>
  <c r="V33" i="1055"/>
  <c r="V76" i="1055" s="1"/>
  <c r="U33" i="1055"/>
  <c r="U76" i="1055" s="1"/>
  <c r="T33" i="1055"/>
  <c r="T76" i="1055" s="1"/>
  <c r="AE32" i="1055"/>
  <c r="AE189" i="1055" s="1"/>
  <c r="AD32" i="1055"/>
  <c r="AC32" i="1055"/>
  <c r="AB32" i="1055"/>
  <c r="AB189" i="1055" s="1"/>
  <c r="AA32" i="1055"/>
  <c r="Z32" i="1055"/>
  <c r="Y32" i="1055"/>
  <c r="Y189" i="1055" s="1"/>
  <c r="X32" i="1055"/>
  <c r="X189" i="1055" s="1"/>
  <c r="W32" i="1055"/>
  <c r="W189" i="1055" s="1"/>
  <c r="V32" i="1055"/>
  <c r="U32" i="1055"/>
  <c r="T32" i="1055"/>
  <c r="T189" i="1055" s="1"/>
  <c r="AE31" i="1055"/>
  <c r="AD31" i="1055"/>
  <c r="AC31" i="1055"/>
  <c r="AB31" i="1055"/>
  <c r="AA31" i="1055"/>
  <c r="Z31" i="1055"/>
  <c r="Y31" i="1055"/>
  <c r="Y188" i="1055" s="1"/>
  <c r="X31" i="1055"/>
  <c r="W31" i="1055"/>
  <c r="V31" i="1055"/>
  <c r="U31" i="1055"/>
  <c r="T31" i="1055"/>
  <c r="Y30" i="1055"/>
  <c r="U30" i="1055"/>
  <c r="T30" i="1055"/>
  <c r="M30" i="1055"/>
  <c r="H30" i="1055"/>
  <c r="I30" i="1055" s="1"/>
  <c r="E30" i="1055"/>
  <c r="D30" i="1055"/>
  <c r="B30" i="1055"/>
  <c r="B31" i="1055" s="1"/>
  <c r="B32" i="1055" s="1"/>
  <c r="B33" i="1055" s="1"/>
  <c r="Y29" i="1055"/>
  <c r="Y228" i="1055" s="1"/>
  <c r="V29" i="1055"/>
  <c r="V228" i="1055" s="1"/>
  <c r="U29" i="1055"/>
  <c r="U228" i="1055" s="1"/>
  <c r="T29" i="1055"/>
  <c r="T228" i="1055" s="1"/>
  <c r="N29" i="1055"/>
  <c r="N228" i="1055" s="1"/>
  <c r="M29" i="1055"/>
  <c r="I29" i="1055"/>
  <c r="I228" i="1055" s="1"/>
  <c r="H29" i="1055"/>
  <c r="H228" i="1055" s="1"/>
  <c r="B29" i="1055"/>
  <c r="AE28" i="1055"/>
  <c r="AD28" i="1055"/>
  <c r="AC28" i="1055"/>
  <c r="AB28" i="1055"/>
  <c r="AA28" i="1055"/>
  <c r="Z28" i="1055"/>
  <c r="Y28" i="1055"/>
  <c r="X28" i="1055"/>
  <c r="W28" i="1055"/>
  <c r="V28" i="1055"/>
  <c r="U28" i="1055"/>
  <c r="T28" i="1055"/>
  <c r="AE27" i="1055"/>
  <c r="AE73" i="1055" s="1"/>
  <c r="AD27" i="1055"/>
  <c r="AD73" i="1055" s="1"/>
  <c r="AC27" i="1055"/>
  <c r="AC73" i="1055" s="1"/>
  <c r="AB27" i="1055"/>
  <c r="AB73" i="1055" s="1"/>
  <c r="AA27" i="1055"/>
  <c r="AA73" i="1055" s="1"/>
  <c r="Z27" i="1055"/>
  <c r="Z73" i="1055" s="1"/>
  <c r="Y27" i="1055"/>
  <c r="Y73" i="1055" s="1"/>
  <c r="X27" i="1055"/>
  <c r="X73" i="1055" s="1"/>
  <c r="W27" i="1055"/>
  <c r="W73" i="1055" s="1"/>
  <c r="V27" i="1055"/>
  <c r="V73" i="1055" s="1"/>
  <c r="U27" i="1055"/>
  <c r="U73" i="1055" s="1"/>
  <c r="T27" i="1055"/>
  <c r="T73" i="1055" s="1"/>
  <c r="AE26" i="1055"/>
  <c r="AE72" i="1055" s="1"/>
  <c r="AD26" i="1055"/>
  <c r="AD72" i="1055" s="1"/>
  <c r="AC26" i="1055"/>
  <c r="AC72" i="1055" s="1"/>
  <c r="AB26" i="1055"/>
  <c r="AB72" i="1055" s="1"/>
  <c r="AA26" i="1055"/>
  <c r="AA72" i="1055" s="1"/>
  <c r="Z26" i="1055"/>
  <c r="Z72" i="1055" s="1"/>
  <c r="Y26" i="1055"/>
  <c r="X26" i="1055"/>
  <c r="X72" i="1055" s="1"/>
  <c r="X220" i="1055" s="1"/>
  <c r="W26" i="1055"/>
  <c r="W72" i="1055" s="1"/>
  <c r="V26" i="1055"/>
  <c r="V72" i="1055" s="1"/>
  <c r="U26" i="1055"/>
  <c r="U72" i="1055" s="1"/>
  <c r="T26" i="1055"/>
  <c r="T72" i="1055" s="1"/>
  <c r="AF25" i="1055"/>
  <c r="AE25" i="1055"/>
  <c r="AD25" i="1055"/>
  <c r="AC25" i="1055"/>
  <c r="AB25" i="1055"/>
  <c r="AA25" i="1055"/>
  <c r="Z25" i="1055"/>
  <c r="Y25" i="1055"/>
  <c r="X25" i="1055"/>
  <c r="W25" i="1055"/>
  <c r="V25" i="1055"/>
  <c r="U25" i="1055"/>
  <c r="T25" i="1055"/>
  <c r="AE24" i="1055"/>
  <c r="AD24" i="1055"/>
  <c r="AC24" i="1055"/>
  <c r="X24" i="1055"/>
  <c r="W24" i="1055"/>
  <c r="V24" i="1055"/>
  <c r="U24" i="1055"/>
  <c r="T24" i="1055"/>
  <c r="L24" i="1055"/>
  <c r="Y24" i="1055" s="1"/>
  <c r="V23" i="1055"/>
  <c r="T23" i="1055"/>
  <c r="I23" i="1055"/>
  <c r="I182" i="1055" s="1"/>
  <c r="H23" i="1055"/>
  <c r="T22" i="1055"/>
  <c r="H22" i="1055"/>
  <c r="T21" i="1055"/>
  <c r="H21" i="1055"/>
  <c r="T20" i="1055"/>
  <c r="H20" i="1055"/>
  <c r="T19" i="1055"/>
  <c r="H19" i="1055"/>
  <c r="T18" i="1055"/>
  <c r="H18" i="1055"/>
  <c r="T17" i="1055"/>
  <c r="H17" i="1055"/>
  <c r="T16" i="1055"/>
  <c r="H16" i="1055"/>
  <c r="T15" i="1055"/>
  <c r="H15" i="1055"/>
  <c r="T14" i="1055"/>
  <c r="H14" i="1055"/>
  <c r="T13" i="1055"/>
  <c r="T56" i="1055" s="1"/>
  <c r="H13" i="1055"/>
  <c r="T12" i="1055"/>
  <c r="H12" i="1055"/>
  <c r="T11" i="1055"/>
  <c r="T10" i="1055" s="1"/>
  <c r="H11" i="1055"/>
  <c r="J10" i="1055"/>
  <c r="J125" i="1055" s="1"/>
  <c r="I10" i="1055"/>
  <c r="H10" i="1055"/>
  <c r="B10" i="1055"/>
  <c r="B12" i="1055" s="1"/>
  <c r="B13" i="1055" s="1"/>
  <c r="B14" i="1055" s="1"/>
  <c r="B15" i="1055" s="1"/>
  <c r="B16" i="1055" s="1"/>
  <c r="B17" i="1055" s="1"/>
  <c r="B18" i="1055" s="1"/>
  <c r="B19" i="1055" s="1"/>
  <c r="B20" i="1055" s="1"/>
  <c r="B21" i="1055" s="1"/>
  <c r="B22" i="1055" s="1"/>
  <c r="B23" i="1055" s="1"/>
  <c r="B24" i="1055" s="1"/>
  <c r="B25" i="1055" s="1"/>
  <c r="B26" i="1055" s="1"/>
  <c r="T9" i="1055"/>
  <c r="T88" i="1055" s="1"/>
  <c r="T109" i="1055" s="1"/>
  <c r="J9" i="1055"/>
  <c r="J88" i="1055" s="1" a="1"/>
  <c r="J88" i="1055" s="1"/>
  <c r="J109" i="1055" s="1"/>
  <c r="I9" i="1055"/>
  <c r="I88" i="1055" s="1" a="1"/>
  <c r="I88" i="1055" s="1"/>
  <c r="H9" i="1055"/>
  <c r="H88" i="1055" s="1" a="1"/>
  <c r="H88" i="1055" s="1"/>
  <c r="T8" i="1055"/>
  <c r="I8" i="1055"/>
  <c r="H8" i="1055"/>
  <c r="H66" i="1055" s="1"/>
  <c r="AE7" i="1055"/>
  <c r="AD7" i="1055"/>
  <c r="Y7" i="1055"/>
  <c r="X7" i="1055"/>
  <c r="W7" i="1055"/>
  <c r="V7" i="1055"/>
  <c r="T7" i="1055"/>
  <c r="R7" i="1055"/>
  <c r="Q7" i="1055"/>
  <c r="P7" i="1055"/>
  <c r="AC7" i="1055" s="1"/>
  <c r="O7" i="1055"/>
  <c r="AB7" i="1055" s="1"/>
  <c r="N7" i="1055"/>
  <c r="AA7" i="1055" s="1"/>
  <c r="M7" i="1055"/>
  <c r="Z7" i="1055" s="1"/>
  <c r="L7" i="1055"/>
  <c r="K7" i="1055"/>
  <c r="J7" i="1055"/>
  <c r="I7" i="1055"/>
  <c r="H7" i="1055"/>
  <c r="U7" i="1055" s="1"/>
  <c r="AF6" i="1055"/>
  <c r="AB6" i="1055"/>
  <c r="W6" i="1055"/>
  <c r="U6" i="1055"/>
  <c r="T6" i="1055"/>
  <c r="Q6" i="1055"/>
  <c r="P6" i="1055"/>
  <c r="K6" i="1055"/>
  <c r="X6" i="1055" s="1"/>
  <c r="H6" i="1055"/>
  <c r="AE5" i="1055"/>
  <c r="AD5" i="1055"/>
  <c r="AC5" i="1055"/>
  <c r="X5" i="1055"/>
  <c r="W5" i="1055"/>
  <c r="V5" i="1055"/>
  <c r="U5" i="1055"/>
  <c r="T5" i="1055"/>
  <c r="R5" i="1055"/>
  <c r="Q5" i="1055"/>
  <c r="P5" i="1055"/>
  <c r="O5" i="1055"/>
  <c r="N5" i="1055"/>
  <c r="M5" i="1055"/>
  <c r="L5" i="1055"/>
  <c r="K5" i="1055"/>
  <c r="J5" i="1055"/>
  <c r="I5" i="1055"/>
  <c r="H5" i="1055"/>
  <c r="U4" i="1055"/>
  <c r="T4" i="1055"/>
  <c r="T65" i="1055" s="1"/>
  <c r="H4" i="1055"/>
  <c r="B4" i="1055"/>
  <c r="B5" i="1055" s="1"/>
  <c r="B6" i="1055" s="1"/>
  <c r="B7" i="1055" s="1"/>
  <c r="B3" i="1055"/>
  <c r="AE2" i="1055"/>
  <c r="AE52" i="1055" s="1"/>
  <c r="AD2" i="1055"/>
  <c r="AD52" i="1055" s="1"/>
  <c r="AC2" i="1055"/>
  <c r="AC52" i="1055" s="1"/>
  <c r="AB2" i="1055"/>
  <c r="AB52" i="1055" s="1"/>
  <c r="AA2" i="1055"/>
  <c r="Z2" i="1055"/>
  <c r="Z52" i="1055" s="1"/>
  <c r="Y2" i="1055"/>
  <c r="Y52" i="1055" s="1"/>
  <c r="X2" i="1055"/>
  <c r="X52" i="1055" s="1"/>
  <c r="W2" i="1055"/>
  <c r="W52" i="1055" s="1"/>
  <c r="V2" i="1055"/>
  <c r="V52" i="1055" s="1"/>
  <c r="U2" i="1055"/>
  <c r="U52" i="1055" s="1"/>
  <c r="T2" i="1055"/>
  <c r="T52" i="1055" s="1"/>
  <c r="R2" i="1055"/>
  <c r="R52" i="1055" s="1"/>
  <c r="Q2" i="1055"/>
  <c r="Q52" i="1055" s="1"/>
  <c r="P2" i="1055"/>
  <c r="P52" i="1055" s="1"/>
  <c r="O2" i="1055"/>
  <c r="O52" i="1055" s="1"/>
  <c r="N2" i="1055"/>
  <c r="N52" i="1055" s="1"/>
  <c r="M2" i="1055"/>
  <c r="M52" i="1055" s="1"/>
  <c r="L2" i="1055"/>
  <c r="L52" i="1055" s="1"/>
  <c r="K2" i="1055"/>
  <c r="K52" i="1055" s="1"/>
  <c r="J2" i="1055"/>
  <c r="I2" i="1055"/>
  <c r="I52" i="1055" s="1"/>
  <c r="H2" i="1055"/>
  <c r="H52" i="1055" s="1"/>
  <c r="G2" i="1055"/>
  <c r="G52" i="1055" s="1"/>
  <c r="B2" i="1055"/>
  <c r="U1" i="1055"/>
  <c r="V1" i="1055" s="1"/>
  <c r="W1" i="1055" s="1"/>
  <c r="X1" i="1055" s="1"/>
  <c r="Y1" i="1055" s="1"/>
  <c r="Z1" i="1055" s="1"/>
  <c r="AA1" i="1055" s="1"/>
  <c r="AB1" i="1055" s="1"/>
  <c r="AC1" i="1055" s="1"/>
  <c r="AD1" i="1055" s="1"/>
  <c r="AE1" i="1055" s="1"/>
  <c r="H1" i="1055"/>
  <c r="I1" i="1055" s="1"/>
  <c r="J1" i="1055" s="1"/>
  <c r="K1" i="1055" s="1"/>
  <c r="L1" i="1055" s="1"/>
  <c r="M1" i="1055" s="1"/>
  <c r="N1" i="1055" s="1"/>
  <c r="O1" i="1055" s="1"/>
  <c r="P1" i="1055" s="1"/>
  <c r="Q1" i="1055" s="1"/>
  <c r="R1" i="1055" s="1"/>
  <c r="AE238" i="1054"/>
  <c r="AD238" i="1054"/>
  <c r="AC238" i="1054"/>
  <c r="AB238" i="1054"/>
  <c r="AA238" i="1054"/>
  <c r="Z238" i="1054"/>
  <c r="Y238" i="1054"/>
  <c r="X238" i="1054"/>
  <c r="W238" i="1054"/>
  <c r="V238" i="1054"/>
  <c r="U238" i="1054"/>
  <c r="T238" i="1054"/>
  <c r="S238" i="1054"/>
  <c r="R238" i="1054"/>
  <c r="Q238" i="1054"/>
  <c r="P238" i="1054"/>
  <c r="O238" i="1054"/>
  <c r="N238" i="1054"/>
  <c r="M238" i="1054"/>
  <c r="L238" i="1054"/>
  <c r="K238" i="1054"/>
  <c r="J238" i="1054"/>
  <c r="I238" i="1054"/>
  <c r="H238" i="1054"/>
  <c r="G238" i="1054"/>
  <c r="S236" i="1054"/>
  <c r="G236" i="1054"/>
  <c r="AE235" i="1054"/>
  <c r="AD235" i="1054"/>
  <c r="AC235" i="1054"/>
  <c r="AB235" i="1054"/>
  <c r="AA235" i="1054"/>
  <c r="Z235" i="1054"/>
  <c r="Y235" i="1054"/>
  <c r="X235" i="1054"/>
  <c r="W235" i="1054"/>
  <c r="V235" i="1054"/>
  <c r="U235" i="1054"/>
  <c r="T235" i="1054"/>
  <c r="S235" i="1054"/>
  <c r="R235" i="1054"/>
  <c r="Q235" i="1054"/>
  <c r="P235" i="1054"/>
  <c r="O235" i="1054"/>
  <c r="N235" i="1054"/>
  <c r="M235" i="1054"/>
  <c r="L235" i="1054"/>
  <c r="K235" i="1054"/>
  <c r="J235" i="1054"/>
  <c r="I235" i="1054"/>
  <c r="H235" i="1054"/>
  <c r="G235" i="1054"/>
  <c r="AE234" i="1054"/>
  <c r="AD234" i="1054"/>
  <c r="AC234" i="1054"/>
  <c r="AB234" i="1054"/>
  <c r="AA234" i="1054"/>
  <c r="Z234" i="1054"/>
  <c r="Y234" i="1054"/>
  <c r="X234" i="1054"/>
  <c r="W234" i="1054"/>
  <c r="V234" i="1054"/>
  <c r="U234" i="1054"/>
  <c r="T234" i="1054"/>
  <c r="S234" i="1054"/>
  <c r="R234" i="1054"/>
  <c r="Q234" i="1054"/>
  <c r="P234" i="1054"/>
  <c r="O234" i="1054"/>
  <c r="N234" i="1054"/>
  <c r="M234" i="1054"/>
  <c r="L234" i="1054"/>
  <c r="K234" i="1054"/>
  <c r="J234" i="1054"/>
  <c r="I234" i="1054"/>
  <c r="H234" i="1054"/>
  <c r="G234" i="1054"/>
  <c r="AE233" i="1054"/>
  <c r="AD233" i="1054"/>
  <c r="AC233" i="1054"/>
  <c r="AB233" i="1054"/>
  <c r="AA233" i="1054"/>
  <c r="Z233" i="1054"/>
  <c r="Y233" i="1054"/>
  <c r="X233" i="1054"/>
  <c r="W233" i="1054"/>
  <c r="V233" i="1054"/>
  <c r="U233" i="1054"/>
  <c r="T233" i="1054"/>
  <c r="S233" i="1054"/>
  <c r="R233" i="1054"/>
  <c r="Q233" i="1054"/>
  <c r="P233" i="1054"/>
  <c r="O233" i="1054"/>
  <c r="N233" i="1054"/>
  <c r="M233" i="1054"/>
  <c r="L233" i="1054"/>
  <c r="K233" i="1054"/>
  <c r="J233" i="1054"/>
  <c r="I233" i="1054"/>
  <c r="H233" i="1054"/>
  <c r="G233" i="1054"/>
  <c r="AE232" i="1054"/>
  <c r="AD232" i="1054"/>
  <c r="AC232" i="1054"/>
  <c r="AB232" i="1054"/>
  <c r="AA232" i="1054"/>
  <c r="Z232" i="1054"/>
  <c r="Y232" i="1054"/>
  <c r="X232" i="1054"/>
  <c r="W232" i="1054"/>
  <c r="V232" i="1054"/>
  <c r="U232" i="1054"/>
  <c r="T232" i="1054"/>
  <c r="S232" i="1054"/>
  <c r="R232" i="1054"/>
  <c r="Q232" i="1054"/>
  <c r="P232" i="1054"/>
  <c r="O232" i="1054"/>
  <c r="N232" i="1054"/>
  <c r="M232" i="1054"/>
  <c r="L232" i="1054"/>
  <c r="K232" i="1054"/>
  <c r="J232" i="1054"/>
  <c r="I232" i="1054"/>
  <c r="H232" i="1054"/>
  <c r="G232" i="1054"/>
  <c r="B232" i="1054"/>
  <c r="B233" i="1054" s="1"/>
  <c r="B234" i="1054" s="1"/>
  <c r="B235" i="1054" s="1"/>
  <c r="B236" i="1054" s="1"/>
  <c r="B237" i="1054" s="1"/>
  <c r="AE231" i="1054"/>
  <c r="AD231" i="1054"/>
  <c r="AC231" i="1054"/>
  <c r="AB231" i="1054"/>
  <c r="AA231" i="1054"/>
  <c r="Z231" i="1054"/>
  <c r="Y231" i="1054"/>
  <c r="X231" i="1054"/>
  <c r="W231" i="1054"/>
  <c r="V231" i="1054"/>
  <c r="U231" i="1054"/>
  <c r="T231" i="1054"/>
  <c r="S231" i="1054"/>
  <c r="R231" i="1054"/>
  <c r="Q231" i="1054"/>
  <c r="P231" i="1054"/>
  <c r="O231" i="1054"/>
  <c r="N231" i="1054"/>
  <c r="M231" i="1054"/>
  <c r="L231" i="1054"/>
  <c r="K231" i="1054"/>
  <c r="J231" i="1054"/>
  <c r="I231" i="1054"/>
  <c r="H231" i="1054"/>
  <c r="G231" i="1054"/>
  <c r="F230" i="1054"/>
  <c r="F229" i="1054"/>
  <c r="S228" i="1054"/>
  <c r="L228" i="1054"/>
  <c r="G228" i="1054"/>
  <c r="AE227" i="1054"/>
  <c r="AD227" i="1054"/>
  <c r="AC227" i="1054"/>
  <c r="AB227" i="1054"/>
  <c r="AA227" i="1054"/>
  <c r="Z227" i="1054"/>
  <c r="Y227" i="1054"/>
  <c r="X227" i="1054"/>
  <c r="W227" i="1054"/>
  <c r="V227" i="1054"/>
  <c r="U227" i="1054"/>
  <c r="T227" i="1054"/>
  <c r="S227" i="1054"/>
  <c r="R227" i="1054"/>
  <c r="Q227" i="1054"/>
  <c r="P227" i="1054"/>
  <c r="O227" i="1054"/>
  <c r="N227" i="1054"/>
  <c r="M227" i="1054"/>
  <c r="L227" i="1054"/>
  <c r="K227" i="1054"/>
  <c r="J227" i="1054"/>
  <c r="I227" i="1054"/>
  <c r="H227" i="1054"/>
  <c r="G227" i="1054"/>
  <c r="AE226" i="1054"/>
  <c r="AD226" i="1054"/>
  <c r="AC226" i="1054"/>
  <c r="AB226" i="1054"/>
  <c r="AA226" i="1054"/>
  <c r="Z226" i="1054"/>
  <c r="Y226" i="1054"/>
  <c r="X226" i="1054"/>
  <c r="W226" i="1054"/>
  <c r="V226" i="1054"/>
  <c r="U226" i="1054"/>
  <c r="T226" i="1054"/>
  <c r="S226" i="1054"/>
  <c r="R226" i="1054"/>
  <c r="Q226" i="1054"/>
  <c r="P226" i="1054"/>
  <c r="O226" i="1054"/>
  <c r="N226" i="1054"/>
  <c r="M226" i="1054"/>
  <c r="L226" i="1054"/>
  <c r="K226" i="1054"/>
  <c r="J226" i="1054"/>
  <c r="I226" i="1054"/>
  <c r="H226" i="1054"/>
  <c r="G226" i="1054"/>
  <c r="S225" i="1054"/>
  <c r="AE224" i="1054"/>
  <c r="AD224" i="1054"/>
  <c r="AC224" i="1054"/>
  <c r="AB224" i="1054"/>
  <c r="AA224" i="1054"/>
  <c r="Z224" i="1054"/>
  <c r="Y224" i="1054"/>
  <c r="X224" i="1054"/>
  <c r="W224" i="1054"/>
  <c r="V224" i="1054"/>
  <c r="U224" i="1054"/>
  <c r="T224" i="1054"/>
  <c r="S224" i="1054"/>
  <c r="R224" i="1054"/>
  <c r="Q224" i="1054"/>
  <c r="P224" i="1054"/>
  <c r="O224" i="1054"/>
  <c r="N224" i="1054"/>
  <c r="M224" i="1054"/>
  <c r="L224" i="1054"/>
  <c r="K224" i="1054"/>
  <c r="J224" i="1054"/>
  <c r="I224" i="1054"/>
  <c r="H224" i="1054"/>
  <c r="G224" i="1054"/>
  <c r="AE223" i="1054"/>
  <c r="AD223" i="1054"/>
  <c r="AC223" i="1054"/>
  <c r="AB223" i="1054"/>
  <c r="AA223" i="1054"/>
  <c r="Z223" i="1054"/>
  <c r="Y223" i="1054"/>
  <c r="X223" i="1054"/>
  <c r="W223" i="1054"/>
  <c r="V223" i="1054"/>
  <c r="U223" i="1054"/>
  <c r="T223" i="1054"/>
  <c r="S223" i="1054"/>
  <c r="R223" i="1054"/>
  <c r="Q223" i="1054"/>
  <c r="P223" i="1054"/>
  <c r="O223" i="1054"/>
  <c r="N223" i="1054"/>
  <c r="M223" i="1054"/>
  <c r="L223" i="1054"/>
  <c r="K223" i="1054"/>
  <c r="J223" i="1054"/>
  <c r="I223" i="1054"/>
  <c r="H223" i="1054"/>
  <c r="G223" i="1054"/>
  <c r="D222" i="1054"/>
  <c r="S221" i="1054"/>
  <c r="S220" i="1054"/>
  <c r="S219" i="1054"/>
  <c r="D219" i="1054"/>
  <c r="S218" i="1054"/>
  <c r="D218" i="1054"/>
  <c r="S217" i="1054"/>
  <c r="G217" i="1054"/>
  <c r="S216" i="1054" a="1"/>
  <c r="S216" i="1054" s="1"/>
  <c r="S215" i="1054"/>
  <c r="S214" i="1054"/>
  <c r="S213" i="1054"/>
  <c r="S212" i="1054"/>
  <c r="S211" i="1054"/>
  <c r="S210" i="1054"/>
  <c r="S209" i="1054"/>
  <c r="S208" i="1054"/>
  <c r="S207" i="1054"/>
  <c r="S206" i="1054"/>
  <c r="S205" i="1054"/>
  <c r="S204" i="1054"/>
  <c r="S203" i="1054"/>
  <c r="S202" i="1054"/>
  <c r="AC199" i="1054"/>
  <c r="S199" i="1054"/>
  <c r="S198" i="1054"/>
  <c r="S197" i="1054"/>
  <c r="S196" i="1054"/>
  <c r="S195" i="1054"/>
  <c r="O195" i="1054"/>
  <c r="J195" i="1054"/>
  <c r="G195" i="1054"/>
  <c r="S194" i="1054"/>
  <c r="O194" i="1054"/>
  <c r="J194" i="1054"/>
  <c r="G194" i="1054"/>
  <c r="S193" i="1054"/>
  <c r="O193" i="1054"/>
  <c r="J193" i="1054"/>
  <c r="G193" i="1054"/>
  <c r="S192" i="1054"/>
  <c r="O192" i="1054"/>
  <c r="J192" i="1054"/>
  <c r="G192" i="1054"/>
  <c r="S191" i="1054"/>
  <c r="R191" i="1054"/>
  <c r="Q191" i="1054"/>
  <c r="P191" i="1054"/>
  <c r="O191" i="1054"/>
  <c r="N191" i="1054"/>
  <c r="M191" i="1054"/>
  <c r="L191" i="1054"/>
  <c r="K191" i="1054"/>
  <c r="J191" i="1054"/>
  <c r="I191" i="1054"/>
  <c r="H191" i="1054"/>
  <c r="G191" i="1054"/>
  <c r="AE190" i="1054"/>
  <c r="AD190" i="1054"/>
  <c r="AC190" i="1054"/>
  <c r="AB190" i="1054"/>
  <c r="AA190" i="1054"/>
  <c r="Z190" i="1054"/>
  <c r="Y190" i="1054"/>
  <c r="X190" i="1054"/>
  <c r="W190" i="1054"/>
  <c r="V190" i="1054"/>
  <c r="U190" i="1054"/>
  <c r="T190" i="1054"/>
  <c r="S190" i="1054"/>
  <c r="R190" i="1054"/>
  <c r="Q190" i="1054"/>
  <c r="P190" i="1054"/>
  <c r="O190" i="1054"/>
  <c r="N190" i="1054"/>
  <c r="M190" i="1054"/>
  <c r="L190" i="1054"/>
  <c r="K190" i="1054"/>
  <c r="J190" i="1054"/>
  <c r="I190" i="1054"/>
  <c r="H190" i="1054"/>
  <c r="G190" i="1054"/>
  <c r="S189" i="1054"/>
  <c r="R189" i="1054"/>
  <c r="Q189" i="1054"/>
  <c r="P189" i="1054"/>
  <c r="O189" i="1054"/>
  <c r="N189" i="1054"/>
  <c r="M189" i="1054"/>
  <c r="L189" i="1054"/>
  <c r="K189" i="1054"/>
  <c r="J189" i="1054"/>
  <c r="I189" i="1054"/>
  <c r="H189" i="1054"/>
  <c r="G189" i="1054"/>
  <c r="S188" i="1054"/>
  <c r="R188" i="1054"/>
  <c r="Q188" i="1054"/>
  <c r="P188" i="1054"/>
  <c r="O188" i="1054"/>
  <c r="N188" i="1054"/>
  <c r="M188" i="1054"/>
  <c r="L188" i="1054"/>
  <c r="K188" i="1054"/>
  <c r="J188" i="1054"/>
  <c r="I188" i="1054"/>
  <c r="H188" i="1054"/>
  <c r="G188" i="1054"/>
  <c r="AE183" i="1054"/>
  <c r="AD183" i="1054"/>
  <c r="AC183" i="1054"/>
  <c r="AB183" i="1054"/>
  <c r="AA183" i="1054"/>
  <c r="Z183" i="1054"/>
  <c r="Y183" i="1054"/>
  <c r="X183" i="1054"/>
  <c r="W183" i="1054"/>
  <c r="V183" i="1054"/>
  <c r="U183" i="1054"/>
  <c r="T183" i="1054"/>
  <c r="S183" i="1054"/>
  <c r="R183" i="1054"/>
  <c r="Q183" i="1054"/>
  <c r="P183" i="1054"/>
  <c r="O183" i="1054"/>
  <c r="N183" i="1054"/>
  <c r="M183" i="1054"/>
  <c r="L183" i="1054"/>
  <c r="K183" i="1054"/>
  <c r="J183" i="1054"/>
  <c r="I183" i="1054"/>
  <c r="H183" i="1054"/>
  <c r="G183" i="1054"/>
  <c r="S182" i="1054"/>
  <c r="G182" i="1054"/>
  <c r="S181" i="1054"/>
  <c r="G181" i="1054"/>
  <c r="S180" i="1054"/>
  <c r="G180" i="1054"/>
  <c r="S179" i="1054"/>
  <c r="G179" i="1054"/>
  <c r="S178" i="1054"/>
  <c r="G178" i="1054"/>
  <c r="S177" i="1054"/>
  <c r="G177" i="1054"/>
  <c r="B172" i="1054"/>
  <c r="B173" i="1054" s="1"/>
  <c r="B174" i="1054" s="1"/>
  <c r="B175" i="1054" s="1"/>
  <c r="B176" i="1054" s="1"/>
  <c r="B177" i="1054" s="1"/>
  <c r="B178" i="1054" s="1"/>
  <c r="B179" i="1054" s="1"/>
  <c r="B180" i="1054" s="1"/>
  <c r="B181" i="1054" s="1"/>
  <c r="B182" i="1054" s="1"/>
  <c r="B183" i="1054" s="1"/>
  <c r="B184" i="1054" s="1"/>
  <c r="B185" i="1054" s="1"/>
  <c r="B186" i="1054" s="1"/>
  <c r="S171" i="1054"/>
  <c r="G171" i="1054"/>
  <c r="B170" i="1054"/>
  <c r="B171" i="1054" s="1"/>
  <c r="S169" i="1054"/>
  <c r="B169" i="1054"/>
  <c r="S168" i="1054"/>
  <c r="G168" i="1054"/>
  <c r="B168" i="1054"/>
  <c r="S167" i="1054"/>
  <c r="G167" i="1054"/>
  <c r="G166" i="1054"/>
  <c r="G165" i="1054"/>
  <c r="G169" i="1054" s="1"/>
  <c r="AE162" i="1054"/>
  <c r="T162" i="1054"/>
  <c r="R162" i="1054"/>
  <c r="G162" i="1054"/>
  <c r="G139" i="1054"/>
  <c r="G135" i="1054"/>
  <c r="G134" i="1054"/>
  <c r="G55" i="1054" s="1"/>
  <c r="G133" i="1054"/>
  <c r="G132" i="1054"/>
  <c r="G131" i="1054"/>
  <c r="I130" i="1054" a="1"/>
  <c r="I130" i="1054" s="1"/>
  <c r="I164" i="1054" s="1"/>
  <c r="G130" i="1054" a="1"/>
  <c r="G130" i="1054" s="1"/>
  <c r="G164" i="1054" s="1"/>
  <c r="G129" i="1054"/>
  <c r="G163" i="1054" s="1"/>
  <c r="F128" i="1054"/>
  <c r="F127" i="1054"/>
  <c r="G125" i="1054"/>
  <c r="W124" i="1054"/>
  <c r="Q124" i="1054"/>
  <c r="G124" i="1054"/>
  <c r="G123" i="1054"/>
  <c r="B111" i="1054"/>
  <c r="D223" i="1054" s="1"/>
  <c r="G108" i="1054"/>
  <c r="B108" i="1054"/>
  <c r="Q107" i="1054"/>
  <c r="P107" i="1054"/>
  <c r="G107" i="1054"/>
  <c r="B107" i="1054"/>
  <c r="D220" i="1054" s="1"/>
  <c r="S106" i="1054"/>
  <c r="G105" i="1054"/>
  <c r="G218" i="1054" s="1"/>
  <c r="G101" i="1054"/>
  <c r="D98" i="1054"/>
  <c r="D97" i="1054"/>
  <c r="D96" i="1054"/>
  <c r="D95" i="1054"/>
  <c r="D94" i="1054"/>
  <c r="D93" i="1054"/>
  <c r="G92" i="1054"/>
  <c r="G88" i="1054" a="1"/>
  <c r="G88" i="1054" s="1"/>
  <c r="AE87" i="1054"/>
  <c r="AE199" i="1054" s="1"/>
  <c r="X87" i="1054"/>
  <c r="X199" i="1054" s="1"/>
  <c r="R87" i="1054"/>
  <c r="R199" i="1054" s="1"/>
  <c r="Q87" i="1054"/>
  <c r="Q199" i="1054" s="1"/>
  <c r="P87" i="1054"/>
  <c r="P199" i="1054" s="1"/>
  <c r="O87" i="1054"/>
  <c r="O199" i="1054" s="1"/>
  <c r="N87" i="1054"/>
  <c r="N199" i="1054" s="1"/>
  <c r="M87" i="1054"/>
  <c r="M199" i="1054" s="1"/>
  <c r="L87" i="1054"/>
  <c r="L199" i="1054" s="1"/>
  <c r="K87" i="1054"/>
  <c r="K199" i="1054" s="1"/>
  <c r="J87" i="1054"/>
  <c r="J199" i="1054" s="1"/>
  <c r="I87" i="1054"/>
  <c r="I199" i="1054" s="1"/>
  <c r="H87" i="1054"/>
  <c r="H199" i="1054" s="1"/>
  <c r="G87" i="1054"/>
  <c r="AB86" i="1054"/>
  <c r="X86" i="1054"/>
  <c r="V86" i="1054"/>
  <c r="R86" i="1054"/>
  <c r="Q86" i="1054"/>
  <c r="O86" i="1054"/>
  <c r="N86" i="1054"/>
  <c r="M86" i="1054"/>
  <c r="L86" i="1054"/>
  <c r="K86" i="1054"/>
  <c r="J86" i="1054"/>
  <c r="I86" i="1054"/>
  <c r="H86" i="1054"/>
  <c r="R85" i="1054"/>
  <c r="Q85" i="1054"/>
  <c r="P85" i="1054"/>
  <c r="O85" i="1054"/>
  <c r="N85" i="1054"/>
  <c r="M85" i="1054"/>
  <c r="L85" i="1054"/>
  <c r="K85" i="1054"/>
  <c r="J85" i="1054"/>
  <c r="I85" i="1054"/>
  <c r="H85" i="1054"/>
  <c r="G85" i="1054"/>
  <c r="AE84" i="1054"/>
  <c r="AD84" i="1054"/>
  <c r="AA84" i="1054"/>
  <c r="W84" i="1054"/>
  <c r="V84" i="1054"/>
  <c r="R84" i="1054"/>
  <c r="Q84" i="1054"/>
  <c r="P84" i="1054"/>
  <c r="O84" i="1054"/>
  <c r="N84" i="1054"/>
  <c r="M84" i="1054"/>
  <c r="L84" i="1054"/>
  <c r="K84" i="1054"/>
  <c r="J84" i="1054"/>
  <c r="I84" i="1054"/>
  <c r="H84" i="1054"/>
  <c r="G84" i="1054"/>
  <c r="G216" i="1054" s="1" a="1"/>
  <c r="G216" i="1054" s="1"/>
  <c r="AE83" i="1054"/>
  <c r="AC83" i="1054"/>
  <c r="AB83" i="1054"/>
  <c r="W83" i="1054"/>
  <c r="T83" i="1054"/>
  <c r="R83" i="1054"/>
  <c r="Q83" i="1054"/>
  <c r="P83" i="1054"/>
  <c r="O83" i="1054"/>
  <c r="N83" i="1054"/>
  <c r="M83" i="1054"/>
  <c r="L83" i="1054"/>
  <c r="K83" i="1054"/>
  <c r="J83" i="1054"/>
  <c r="I83" i="1054"/>
  <c r="H83" i="1054"/>
  <c r="G83" i="1054"/>
  <c r="AB82" i="1054"/>
  <c r="Y82" i="1054"/>
  <c r="X82" i="1054"/>
  <c r="T82" i="1054"/>
  <c r="R82" i="1054"/>
  <c r="Q82" i="1054"/>
  <c r="P82" i="1054"/>
  <c r="O82" i="1054"/>
  <c r="N82" i="1054"/>
  <c r="M82" i="1054"/>
  <c r="L82" i="1054"/>
  <c r="K82" i="1054"/>
  <c r="J82" i="1054"/>
  <c r="I82" i="1054"/>
  <c r="H82" i="1054"/>
  <c r="G82" i="1054"/>
  <c r="AC81" i="1054"/>
  <c r="V81" i="1054"/>
  <c r="R81" i="1054"/>
  <c r="Q81" i="1054"/>
  <c r="P81" i="1054"/>
  <c r="O81" i="1054"/>
  <c r="N81" i="1054"/>
  <c r="M81" i="1054"/>
  <c r="L81" i="1054"/>
  <c r="K81" i="1054"/>
  <c r="J81" i="1054"/>
  <c r="I81" i="1054"/>
  <c r="H81" i="1054"/>
  <c r="G81" i="1054"/>
  <c r="R80" i="1054"/>
  <c r="Q80" i="1054"/>
  <c r="P80" i="1054"/>
  <c r="O80" i="1054"/>
  <c r="N80" i="1054"/>
  <c r="M80" i="1054"/>
  <c r="L80" i="1054"/>
  <c r="K80" i="1054"/>
  <c r="J80" i="1054"/>
  <c r="I80" i="1054"/>
  <c r="H80" i="1054"/>
  <c r="G80" i="1054"/>
  <c r="AA79" i="1054"/>
  <c r="Z79" i="1054"/>
  <c r="V79" i="1054"/>
  <c r="R79" i="1054"/>
  <c r="Q79" i="1054"/>
  <c r="P79" i="1054"/>
  <c r="O79" i="1054"/>
  <c r="N79" i="1054"/>
  <c r="M79" i="1054"/>
  <c r="L79" i="1054"/>
  <c r="K79" i="1054"/>
  <c r="J79" i="1054"/>
  <c r="I79" i="1054"/>
  <c r="H79" i="1054"/>
  <c r="G79" i="1054"/>
  <c r="AE78" i="1054"/>
  <c r="AA78" i="1054"/>
  <c r="X78" i="1054"/>
  <c r="W78" i="1054"/>
  <c r="T78" i="1054"/>
  <c r="R78" i="1054"/>
  <c r="Q78" i="1054"/>
  <c r="P78" i="1054"/>
  <c r="O78" i="1054"/>
  <c r="N78" i="1054"/>
  <c r="M78" i="1054"/>
  <c r="L78" i="1054"/>
  <c r="K78" i="1054"/>
  <c r="J78" i="1054"/>
  <c r="I78" i="1054"/>
  <c r="H78" i="1054"/>
  <c r="G78" i="1054"/>
  <c r="AB77" i="1054"/>
  <c r="U77" i="1054"/>
  <c r="O77" i="1054"/>
  <c r="J77" i="1054"/>
  <c r="G77" i="1054"/>
  <c r="AE76" i="1054"/>
  <c r="AD76" i="1054"/>
  <c r="AA76" i="1054"/>
  <c r="W76" i="1054"/>
  <c r="V76" i="1054"/>
  <c r="R76" i="1054"/>
  <c r="Q76" i="1054"/>
  <c r="P76" i="1054"/>
  <c r="O76" i="1054"/>
  <c r="N76" i="1054"/>
  <c r="M76" i="1054"/>
  <c r="L76" i="1054"/>
  <c r="K76" i="1054"/>
  <c r="J76" i="1054"/>
  <c r="I76" i="1054"/>
  <c r="H76" i="1054"/>
  <c r="G76" i="1054"/>
  <c r="AF76" i="1054" s="1"/>
  <c r="V75" i="1054"/>
  <c r="R75" i="1054"/>
  <c r="Q75" i="1054"/>
  <c r="P75" i="1054"/>
  <c r="O75" i="1054"/>
  <c r="N75" i="1054"/>
  <c r="M75" i="1054"/>
  <c r="L75" i="1054"/>
  <c r="K75" i="1054"/>
  <c r="J75" i="1054"/>
  <c r="I75" i="1054"/>
  <c r="H75" i="1054"/>
  <c r="G75" i="1054"/>
  <c r="AF75" i="1054" s="1"/>
  <c r="AB74" i="1054"/>
  <c r="X74" i="1054"/>
  <c r="W74" i="1054"/>
  <c r="R74" i="1054"/>
  <c r="Q74" i="1054"/>
  <c r="P74" i="1054"/>
  <c r="O74" i="1054"/>
  <c r="N74" i="1054"/>
  <c r="M74" i="1054"/>
  <c r="L74" i="1054"/>
  <c r="K74" i="1054"/>
  <c r="J74" i="1054"/>
  <c r="I74" i="1054"/>
  <c r="H74" i="1054"/>
  <c r="G74" i="1054"/>
  <c r="AF74" i="1054" s="1"/>
  <c r="AC73" i="1054"/>
  <c r="AB73" i="1054"/>
  <c r="Z73" i="1054"/>
  <c r="T73" i="1054"/>
  <c r="R73" i="1054"/>
  <c r="Q73" i="1054"/>
  <c r="P73" i="1054"/>
  <c r="O73" i="1054"/>
  <c r="N73" i="1054"/>
  <c r="M73" i="1054"/>
  <c r="L73" i="1054"/>
  <c r="K73" i="1054"/>
  <c r="J73" i="1054"/>
  <c r="I73" i="1054"/>
  <c r="H73" i="1054"/>
  <c r="G73" i="1054"/>
  <c r="AE72" i="1054"/>
  <c r="AD72" i="1054"/>
  <c r="X72" i="1054"/>
  <c r="V72" i="1054"/>
  <c r="R72" i="1054"/>
  <c r="Q72" i="1054"/>
  <c r="Q220" i="1054" s="1"/>
  <c r="P72" i="1054"/>
  <c r="P220" i="1054" s="1"/>
  <c r="O72" i="1054"/>
  <c r="N72" i="1054"/>
  <c r="M72" i="1054"/>
  <c r="L72" i="1054"/>
  <c r="L220" i="1054" s="1"/>
  <c r="K72" i="1054"/>
  <c r="J72" i="1054"/>
  <c r="I72" i="1054"/>
  <c r="I220" i="1054" s="1"/>
  <c r="H72" i="1054"/>
  <c r="H220" i="1054" s="1"/>
  <c r="G72" i="1054"/>
  <c r="G220" i="1054" s="1"/>
  <c r="G69" i="1054"/>
  <c r="AG68" i="1054"/>
  <c r="E68" i="1054"/>
  <c r="D68" i="1054"/>
  <c r="G68" i="1054" s="1"/>
  <c r="C68" i="1054"/>
  <c r="AG67" i="1054"/>
  <c r="G67" i="1054"/>
  <c r="AG66" i="1054"/>
  <c r="H66" i="1054"/>
  <c r="G66" i="1054"/>
  <c r="G213" i="1054" s="1"/>
  <c r="AG65" i="1054"/>
  <c r="G65" i="1054"/>
  <c r="AG64" i="1054"/>
  <c r="G64" i="1054"/>
  <c r="AG63" i="1054"/>
  <c r="G63" i="1054"/>
  <c r="G99" i="1054" s="1"/>
  <c r="AG62" i="1054"/>
  <c r="E62" i="1054"/>
  <c r="D62" i="1054"/>
  <c r="C62" i="1054"/>
  <c r="AG61" i="1054"/>
  <c r="G61" i="1054"/>
  <c r="E61" i="1054"/>
  <c r="D61" i="1054"/>
  <c r="G175" i="1054" s="1"/>
  <c r="C61" i="1054"/>
  <c r="AG60" i="1054"/>
  <c r="E60" i="1054"/>
  <c r="D60" i="1054"/>
  <c r="C60" i="1054"/>
  <c r="AG59" i="1054"/>
  <c r="G59" i="1054"/>
  <c r="E59" i="1054"/>
  <c r="D59" i="1054"/>
  <c r="G173" i="1054" s="1"/>
  <c r="C59" i="1054"/>
  <c r="AG58" i="1054"/>
  <c r="E58" i="1054"/>
  <c r="D58" i="1054"/>
  <c r="U162" i="1054" s="1"/>
  <c r="C58" i="1054"/>
  <c r="AG57" i="1054"/>
  <c r="G57" i="1054"/>
  <c r="E57" i="1054"/>
  <c r="D57" i="1054"/>
  <c r="C57" i="1054"/>
  <c r="AG56" i="1054"/>
  <c r="G56" i="1054"/>
  <c r="G204" i="1054" s="1"/>
  <c r="AG55" i="1054"/>
  <c r="AG54" i="1054"/>
  <c r="G54" i="1054"/>
  <c r="AG53" i="1054"/>
  <c r="G53" i="1054"/>
  <c r="AB52" i="1054"/>
  <c r="AA52" i="1054"/>
  <c r="T52" i="1054"/>
  <c r="R52" i="1054"/>
  <c r="A52" i="1054"/>
  <c r="V51" i="1054"/>
  <c r="U51" i="1054"/>
  <c r="T51" i="1054"/>
  <c r="J51" i="1054"/>
  <c r="I51" i="1054"/>
  <c r="H51" i="1054"/>
  <c r="W50" i="1054"/>
  <c r="V50" i="1054"/>
  <c r="U50" i="1054"/>
  <c r="T50" i="1054"/>
  <c r="L50" i="1054"/>
  <c r="J50" i="1054"/>
  <c r="K50" i="1054" s="1"/>
  <c r="X50" i="1054" s="1"/>
  <c r="I50" i="1054"/>
  <c r="H50" i="1054"/>
  <c r="U49" i="1054"/>
  <c r="T49" i="1054"/>
  <c r="I49" i="1054"/>
  <c r="V49" i="1054" s="1"/>
  <c r="H49" i="1054"/>
  <c r="AE48" i="1054"/>
  <c r="AD48" i="1054"/>
  <c r="AC48" i="1054"/>
  <c r="AB48" i="1054"/>
  <c r="AA48" i="1054"/>
  <c r="Z48" i="1054"/>
  <c r="Y48" i="1054"/>
  <c r="X48" i="1054"/>
  <c r="W48" i="1054"/>
  <c r="V48" i="1054"/>
  <c r="U48" i="1054"/>
  <c r="T48" i="1054"/>
  <c r="AE47" i="1054"/>
  <c r="AD47" i="1054"/>
  <c r="AC47" i="1054"/>
  <c r="AB47" i="1054"/>
  <c r="AA47" i="1054"/>
  <c r="Z47" i="1054"/>
  <c r="Y47" i="1054"/>
  <c r="X47" i="1054"/>
  <c r="W47" i="1054"/>
  <c r="V47" i="1054"/>
  <c r="U47" i="1054"/>
  <c r="T47" i="1054"/>
  <c r="AE46" i="1054"/>
  <c r="AD46" i="1054"/>
  <c r="AC46" i="1054"/>
  <c r="AB46" i="1054"/>
  <c r="AA46" i="1054"/>
  <c r="Z46" i="1054"/>
  <c r="Y46" i="1054"/>
  <c r="X46" i="1054"/>
  <c r="W46" i="1054"/>
  <c r="V46" i="1054"/>
  <c r="U46" i="1054"/>
  <c r="T46" i="1054"/>
  <c r="AE45" i="1054"/>
  <c r="AD45" i="1054"/>
  <c r="AC45" i="1054"/>
  <c r="AB45" i="1054"/>
  <c r="AA45" i="1054"/>
  <c r="Z45" i="1054"/>
  <c r="Y45" i="1054"/>
  <c r="X45" i="1054"/>
  <c r="W45" i="1054"/>
  <c r="V45" i="1054"/>
  <c r="U45" i="1054"/>
  <c r="T45" i="1054"/>
  <c r="AE44" i="1054"/>
  <c r="AE86" i="1054" s="1"/>
  <c r="AD44" i="1054"/>
  <c r="AD86" i="1054" s="1"/>
  <c r="AB44" i="1054"/>
  <c r="AA44" i="1054"/>
  <c r="AA86" i="1054" s="1"/>
  <c r="Z44" i="1054"/>
  <c r="Z86" i="1054" s="1"/>
  <c r="Y44" i="1054"/>
  <c r="Y86" i="1054" s="1"/>
  <c r="X44" i="1054"/>
  <c r="W44" i="1054"/>
  <c r="W86" i="1054" s="1"/>
  <c r="V44" i="1054"/>
  <c r="U44" i="1054"/>
  <c r="U86" i="1054" s="1"/>
  <c r="AF43" i="1054"/>
  <c r="AE43" i="1054"/>
  <c r="AD43" i="1054"/>
  <c r="AC43" i="1054"/>
  <c r="AB43" i="1054"/>
  <c r="AA43" i="1054"/>
  <c r="Z43" i="1054"/>
  <c r="Z87" i="1054" s="1"/>
  <c r="Z199" i="1054" s="1"/>
  <c r="Y43" i="1054"/>
  <c r="Y87" i="1054" s="1"/>
  <c r="Y199" i="1054" s="1"/>
  <c r="X43" i="1054"/>
  <c r="W43" i="1054"/>
  <c r="V43" i="1054"/>
  <c r="U43" i="1054"/>
  <c r="T43" i="1054"/>
  <c r="AE42" i="1054"/>
  <c r="AD42" i="1054"/>
  <c r="AC42" i="1054"/>
  <c r="AB42" i="1054"/>
  <c r="AA42" i="1054"/>
  <c r="Z42" i="1054"/>
  <c r="Y42" i="1054"/>
  <c r="X42" i="1054"/>
  <c r="W42" i="1054"/>
  <c r="V42" i="1054"/>
  <c r="U42" i="1054"/>
  <c r="T42" i="1054"/>
  <c r="T87" i="1054" s="1"/>
  <c r="T199" i="1054" s="1"/>
  <c r="AE41" i="1054"/>
  <c r="AD41" i="1054"/>
  <c r="AC41" i="1054"/>
  <c r="AC84" i="1054" s="1"/>
  <c r="AB41" i="1054"/>
  <c r="AB84" i="1054" s="1"/>
  <c r="AA41" i="1054"/>
  <c r="Z41" i="1054"/>
  <c r="Z84" i="1054" s="1"/>
  <c r="Y41" i="1054"/>
  <c r="Y84" i="1054" s="1"/>
  <c r="X41" i="1054"/>
  <c r="X84" i="1054" s="1"/>
  <c r="W41" i="1054"/>
  <c r="V41" i="1054"/>
  <c r="U41" i="1054"/>
  <c r="U84" i="1054" s="1"/>
  <c r="T41" i="1054"/>
  <c r="T84" i="1054" s="1"/>
  <c r="AE40" i="1054"/>
  <c r="AD40" i="1054"/>
  <c r="AC40" i="1054"/>
  <c r="AB40" i="1054"/>
  <c r="AA40" i="1054"/>
  <c r="AA83" i="1054" s="1"/>
  <c r="Z40" i="1054"/>
  <c r="Y40" i="1054"/>
  <c r="X40" i="1054"/>
  <c r="W40" i="1054"/>
  <c r="V40" i="1054"/>
  <c r="V83" i="1054" s="1"/>
  <c r="U40" i="1054"/>
  <c r="T40" i="1054"/>
  <c r="AE39" i="1054"/>
  <c r="AD39" i="1054"/>
  <c r="AC39" i="1054"/>
  <c r="AB39" i="1054"/>
  <c r="AA39" i="1054"/>
  <c r="Z39" i="1054"/>
  <c r="Y39" i="1054"/>
  <c r="X39" i="1054"/>
  <c r="W39" i="1054"/>
  <c r="V39" i="1054"/>
  <c r="U39" i="1054"/>
  <c r="T39" i="1054"/>
  <c r="B39" i="1054"/>
  <c r="B40" i="1054" s="1"/>
  <c r="B41" i="1054" s="1"/>
  <c r="B42" i="1054" s="1"/>
  <c r="B43" i="1054" s="1"/>
  <c r="B44" i="1054" s="1"/>
  <c r="B45" i="1054" s="1"/>
  <c r="B46" i="1054" s="1"/>
  <c r="B47" i="1054" s="1"/>
  <c r="B48" i="1054" s="1"/>
  <c r="B49" i="1054" s="1"/>
  <c r="B50" i="1054" s="1"/>
  <c r="B51" i="1054" s="1"/>
  <c r="B52" i="1054" s="1"/>
  <c r="B53" i="1054" s="1"/>
  <c r="B54" i="1054" s="1"/>
  <c r="AE38" i="1054"/>
  <c r="AD38" i="1054"/>
  <c r="AC38" i="1054"/>
  <c r="AB38" i="1054"/>
  <c r="AB81" i="1054" s="1"/>
  <c r="AA38" i="1054"/>
  <c r="Z38" i="1054"/>
  <c r="Y38" i="1054"/>
  <c r="Y81" i="1054" s="1"/>
  <c r="X38" i="1054"/>
  <c r="W38" i="1054"/>
  <c r="V38" i="1054"/>
  <c r="U38" i="1054"/>
  <c r="T38" i="1054"/>
  <c r="T81" i="1054" s="1"/>
  <c r="AE37" i="1054"/>
  <c r="AE79" i="1054" s="1"/>
  <c r="AD37" i="1054"/>
  <c r="AD79" i="1054" s="1"/>
  <c r="AC37" i="1054"/>
  <c r="AC79" i="1054" s="1"/>
  <c r="AB37" i="1054"/>
  <c r="AB79" i="1054" s="1"/>
  <c r="AA37" i="1054"/>
  <c r="Z37" i="1054"/>
  <c r="Y37" i="1054"/>
  <c r="Y79" i="1054" s="1"/>
  <c r="X37" i="1054"/>
  <c r="X79" i="1054" s="1"/>
  <c r="W37" i="1054"/>
  <c r="W79" i="1054" s="1"/>
  <c r="V37" i="1054"/>
  <c r="U37" i="1054"/>
  <c r="U79" i="1054" s="1"/>
  <c r="T37" i="1054"/>
  <c r="T79" i="1054" s="1"/>
  <c r="AE36" i="1054"/>
  <c r="AD36" i="1054"/>
  <c r="AC36" i="1054"/>
  <c r="AB36" i="1054"/>
  <c r="AB195" i="1054" s="1"/>
  <c r="AA36" i="1054"/>
  <c r="Z36" i="1054"/>
  <c r="Y36" i="1054"/>
  <c r="X36" i="1054"/>
  <c r="W36" i="1054"/>
  <c r="V36" i="1054"/>
  <c r="U36" i="1054"/>
  <c r="T36" i="1054"/>
  <c r="T195" i="1054" s="1"/>
  <c r="AE35" i="1054"/>
  <c r="AD35" i="1054"/>
  <c r="AC35" i="1054"/>
  <c r="AB35" i="1054"/>
  <c r="AA35" i="1054"/>
  <c r="Z35" i="1054"/>
  <c r="Y35" i="1054"/>
  <c r="X35" i="1054"/>
  <c r="W35" i="1054"/>
  <c r="V35" i="1054"/>
  <c r="U35" i="1054"/>
  <c r="T35" i="1054"/>
  <c r="AE34" i="1054"/>
  <c r="AD34" i="1054"/>
  <c r="AD191" i="1054" s="1"/>
  <c r="AC34" i="1054"/>
  <c r="AB34" i="1054"/>
  <c r="AB191" i="1054" s="1"/>
  <c r="AA34" i="1054"/>
  <c r="Z34" i="1054"/>
  <c r="Z191" i="1054" s="1"/>
  <c r="Y34" i="1054"/>
  <c r="Y191" i="1054" s="1"/>
  <c r="X34" i="1054"/>
  <c r="W34" i="1054"/>
  <c r="V34" i="1054"/>
  <c r="V191" i="1054" s="1"/>
  <c r="U34" i="1054"/>
  <c r="U191" i="1054" s="1"/>
  <c r="T34" i="1054"/>
  <c r="T85" i="1054" s="1"/>
  <c r="B34" i="1054"/>
  <c r="B35" i="1054" s="1"/>
  <c r="B36" i="1054" s="1"/>
  <c r="B37" i="1054" s="1"/>
  <c r="B38" i="1054" s="1"/>
  <c r="AE33" i="1054"/>
  <c r="AD33" i="1054"/>
  <c r="AC33" i="1054"/>
  <c r="AC76" i="1054" s="1"/>
  <c r="AB33" i="1054"/>
  <c r="AB76" i="1054" s="1"/>
  <c r="AA33" i="1054"/>
  <c r="Z33" i="1054"/>
  <c r="Z76" i="1054" s="1"/>
  <c r="Y33" i="1054"/>
  <c r="Y76" i="1054" s="1"/>
  <c r="X33" i="1054"/>
  <c r="X76" i="1054" s="1"/>
  <c r="W33" i="1054"/>
  <c r="V33" i="1054"/>
  <c r="U33" i="1054"/>
  <c r="U76" i="1054" s="1"/>
  <c r="T33" i="1054"/>
  <c r="T76" i="1054" s="1"/>
  <c r="AE32" i="1054"/>
  <c r="AE75" i="1054" s="1"/>
  <c r="AD32" i="1054"/>
  <c r="AD189" i="1054" s="1"/>
  <c r="AC32" i="1054"/>
  <c r="AC189" i="1054" s="1"/>
  <c r="AB32" i="1054"/>
  <c r="AB189" i="1054" s="1"/>
  <c r="AA32" i="1054"/>
  <c r="AA189" i="1054" s="1"/>
  <c r="Z32" i="1054"/>
  <c r="Z189" i="1054" s="1"/>
  <c r="Y32" i="1054"/>
  <c r="X32" i="1054"/>
  <c r="X189" i="1054" s="1"/>
  <c r="W32" i="1054"/>
  <c r="V32" i="1054"/>
  <c r="V189" i="1054" s="1"/>
  <c r="U32" i="1054"/>
  <c r="T32" i="1054"/>
  <c r="T189" i="1054" s="1"/>
  <c r="AE31" i="1054"/>
  <c r="AE188" i="1054" s="1"/>
  <c r="AD31" i="1054"/>
  <c r="AC31" i="1054"/>
  <c r="AB31" i="1054"/>
  <c r="AB188" i="1054" s="1"/>
  <c r="AA31" i="1054"/>
  <c r="AA188" i="1054" s="1"/>
  <c r="Z31" i="1054"/>
  <c r="Y31" i="1054"/>
  <c r="Y74" i="1054" s="1"/>
  <c r="X31" i="1054"/>
  <c r="X188" i="1054" s="1"/>
  <c r="W31" i="1054"/>
  <c r="W188" i="1054" s="1"/>
  <c r="V31" i="1054"/>
  <c r="U31" i="1054"/>
  <c r="T31" i="1054"/>
  <c r="T188" i="1054" s="1"/>
  <c r="B31" i="1054"/>
  <c r="B32" i="1054" s="1"/>
  <c r="B33" i="1054" s="1"/>
  <c r="Z30" i="1054"/>
  <c r="Y30" i="1054"/>
  <c r="U30" i="1054"/>
  <c r="T30" i="1054"/>
  <c r="P30" i="1054"/>
  <c r="O30" i="1054"/>
  <c r="AB30" i="1054" s="1"/>
  <c r="N30" i="1054"/>
  <c r="AA30" i="1054" s="1"/>
  <c r="M30" i="1054"/>
  <c r="H30" i="1054"/>
  <c r="I30" i="1054" s="1"/>
  <c r="E30" i="1054"/>
  <c r="D30" i="1054"/>
  <c r="B30" i="1054"/>
  <c r="Y29" i="1054"/>
  <c r="Y228" i="1054" s="1"/>
  <c r="U29" i="1054"/>
  <c r="U228" i="1054" s="1"/>
  <c r="T29" i="1054"/>
  <c r="T228" i="1054" s="1"/>
  <c r="M29" i="1054"/>
  <c r="I29" i="1054"/>
  <c r="H29" i="1054"/>
  <c r="H228" i="1054" s="1"/>
  <c r="B29" i="1054"/>
  <c r="AE28" i="1054"/>
  <c r="AD28" i="1054"/>
  <c r="AC28" i="1054"/>
  <c r="AB28" i="1054"/>
  <c r="AA28" i="1054"/>
  <c r="Z28" i="1054"/>
  <c r="Y28" i="1054"/>
  <c r="X28" i="1054"/>
  <c r="W28" i="1054"/>
  <c r="V28" i="1054"/>
  <c r="U28" i="1054"/>
  <c r="T28" i="1054"/>
  <c r="AE27" i="1054"/>
  <c r="AE73" i="1054" s="1"/>
  <c r="AD27" i="1054"/>
  <c r="AD73" i="1054" s="1"/>
  <c r="AC27" i="1054"/>
  <c r="AB27" i="1054"/>
  <c r="AA27" i="1054"/>
  <c r="AA73" i="1054" s="1"/>
  <c r="Z27" i="1054"/>
  <c r="Y27" i="1054"/>
  <c r="Y73" i="1054" s="1"/>
  <c r="X27" i="1054"/>
  <c r="X73" i="1054" s="1"/>
  <c r="W27" i="1054"/>
  <c r="W73" i="1054" s="1"/>
  <c r="V27" i="1054"/>
  <c r="V73" i="1054" s="1"/>
  <c r="U27" i="1054"/>
  <c r="U73" i="1054" s="1"/>
  <c r="T27" i="1054"/>
  <c r="AE26" i="1054"/>
  <c r="AD26" i="1054"/>
  <c r="AC26" i="1054"/>
  <c r="AC72" i="1054" s="1"/>
  <c r="AB26" i="1054"/>
  <c r="AB72" i="1054" s="1"/>
  <c r="AA26" i="1054"/>
  <c r="AA72" i="1054" s="1"/>
  <c r="Z26" i="1054"/>
  <c r="Z72" i="1054" s="1"/>
  <c r="Z220" i="1054" s="1"/>
  <c r="Y26" i="1054"/>
  <c r="Y72" i="1054" s="1"/>
  <c r="X26" i="1054"/>
  <c r="W26" i="1054"/>
  <c r="W72" i="1054" s="1"/>
  <c r="V26" i="1054"/>
  <c r="U26" i="1054"/>
  <c r="U72" i="1054" s="1"/>
  <c r="T26" i="1054"/>
  <c r="T72" i="1054" s="1"/>
  <c r="AF25" i="1054"/>
  <c r="AE25" i="1054"/>
  <c r="AD25" i="1054"/>
  <c r="AC25" i="1054"/>
  <c r="AB25" i="1054"/>
  <c r="AA25" i="1054"/>
  <c r="Z25" i="1054"/>
  <c r="Y25" i="1054"/>
  <c r="X25" i="1054"/>
  <c r="W25" i="1054"/>
  <c r="V25" i="1054"/>
  <c r="U25" i="1054"/>
  <c r="T25" i="1054"/>
  <c r="AE24" i="1054"/>
  <c r="AD24" i="1054"/>
  <c r="AC24" i="1054"/>
  <c r="X24" i="1054"/>
  <c r="W24" i="1054"/>
  <c r="V24" i="1054"/>
  <c r="U24" i="1054"/>
  <c r="T24" i="1054"/>
  <c r="L24" i="1054"/>
  <c r="T23" i="1054"/>
  <c r="H23" i="1054"/>
  <c r="T22" i="1054"/>
  <c r="J22" i="1054"/>
  <c r="H22" i="1054"/>
  <c r="I22" i="1054" s="1"/>
  <c r="V22" i="1054" s="1"/>
  <c r="U21" i="1054"/>
  <c r="T21" i="1054"/>
  <c r="T64" i="1054" s="1"/>
  <c r="H21" i="1054"/>
  <c r="T20" i="1054"/>
  <c r="H20" i="1054"/>
  <c r="T19" i="1054"/>
  <c r="H19" i="1054"/>
  <c r="U18" i="1054"/>
  <c r="T18" i="1054"/>
  <c r="H18" i="1054"/>
  <c r="U17" i="1054"/>
  <c r="T17" i="1054"/>
  <c r="H17" i="1054"/>
  <c r="H174" i="1054" s="1"/>
  <c r="T16" i="1054"/>
  <c r="T173" i="1054" s="1"/>
  <c r="H16" i="1054"/>
  <c r="T15" i="1054"/>
  <c r="H15" i="1054"/>
  <c r="T14" i="1054"/>
  <c r="H14" i="1054"/>
  <c r="T13" i="1054"/>
  <c r="T56" i="1054" s="1"/>
  <c r="H13" i="1054"/>
  <c r="T12" i="1054"/>
  <c r="T165" i="1054" s="1"/>
  <c r="H12" i="1054"/>
  <c r="T11" i="1054"/>
  <c r="T10" i="1054" s="1"/>
  <c r="T53" i="1054" s="1"/>
  <c r="H11" i="1054"/>
  <c r="J10" i="1054"/>
  <c r="I10" i="1054"/>
  <c r="H10" i="1054"/>
  <c r="W9" i="1054"/>
  <c r="W88" i="1054" s="1"/>
  <c r="T9" i="1054"/>
  <c r="T88" i="1054" s="1"/>
  <c r="J9" i="1054"/>
  <c r="K9" i="1054" s="1"/>
  <c r="X9" i="1054" s="1"/>
  <c r="X88" i="1054" s="1"/>
  <c r="X109" i="1054" s="1"/>
  <c r="I9" i="1054"/>
  <c r="I88" i="1054" s="1" a="1"/>
  <c r="I88" i="1054" s="1"/>
  <c r="H9" i="1054"/>
  <c r="U9" i="1054" s="1"/>
  <c r="U88" i="1054" s="1"/>
  <c r="V8" i="1054"/>
  <c r="T8" i="1054"/>
  <c r="I8" i="1054"/>
  <c r="I69" i="1054" s="1"/>
  <c r="H8" i="1054"/>
  <c r="AE7" i="1054"/>
  <c r="AD7" i="1054"/>
  <c r="AC7" i="1054"/>
  <c r="X7" i="1054"/>
  <c r="W7" i="1054"/>
  <c r="V7" i="1054"/>
  <c r="U7" i="1054"/>
  <c r="T7" i="1054"/>
  <c r="R7" i="1054"/>
  <c r="Q7" i="1054"/>
  <c r="P7" i="1054"/>
  <c r="O7" i="1054"/>
  <c r="AB7" i="1054" s="1"/>
  <c r="N7" i="1054"/>
  <c r="AA7" i="1054" s="1"/>
  <c r="M7" i="1054"/>
  <c r="Z7" i="1054" s="1"/>
  <c r="L7" i="1054"/>
  <c r="Y7" i="1054" s="1"/>
  <c r="K7" i="1054"/>
  <c r="J7" i="1054"/>
  <c r="I7" i="1054"/>
  <c r="H7" i="1054"/>
  <c r="AF6" i="1054"/>
  <c r="AB6" i="1054"/>
  <c r="X6" i="1054"/>
  <c r="W6" i="1054"/>
  <c r="U6" i="1054"/>
  <c r="T6" i="1054"/>
  <c r="Q6" i="1054"/>
  <c r="P6" i="1054"/>
  <c r="P77" i="1054" s="1"/>
  <c r="M6" i="1054"/>
  <c r="L6" i="1054"/>
  <c r="K6" i="1054"/>
  <c r="K77" i="1054" s="1"/>
  <c r="H6" i="1054"/>
  <c r="H77" i="1054" s="1"/>
  <c r="AE5" i="1054"/>
  <c r="AD5" i="1054"/>
  <c r="AC5" i="1054"/>
  <c r="AB5" i="1054"/>
  <c r="W5" i="1054"/>
  <c r="W105" i="1054" s="1"/>
  <c r="V5" i="1054"/>
  <c r="U5" i="1054"/>
  <c r="T5" i="1054"/>
  <c r="R5" i="1054"/>
  <c r="Q5" i="1054"/>
  <c r="P5" i="1054"/>
  <c r="O5" i="1054"/>
  <c r="O105" i="1054" s="1"/>
  <c r="O218" i="1054" s="1"/>
  <c r="N5" i="1054"/>
  <c r="M5" i="1054"/>
  <c r="L5" i="1054"/>
  <c r="K5" i="1054"/>
  <c r="J5" i="1054"/>
  <c r="I5" i="1054"/>
  <c r="H5" i="1054"/>
  <c r="B5" i="1054"/>
  <c r="B6" i="1054" s="1"/>
  <c r="B7" i="1054" s="1"/>
  <c r="B10" i="1054" s="1"/>
  <c r="B12" i="1054" s="1"/>
  <c r="B13" i="1054" s="1"/>
  <c r="B14" i="1054" s="1"/>
  <c r="B15" i="1054" s="1"/>
  <c r="B16" i="1054" s="1"/>
  <c r="B17" i="1054" s="1"/>
  <c r="B18" i="1054" s="1"/>
  <c r="B19" i="1054" s="1"/>
  <c r="B20" i="1054" s="1"/>
  <c r="B21" i="1054" s="1"/>
  <c r="B22" i="1054" s="1"/>
  <c r="B23" i="1054" s="1"/>
  <c r="B24" i="1054" s="1"/>
  <c r="B25" i="1054" s="1"/>
  <c r="B26" i="1054" s="1"/>
  <c r="U4" i="1054"/>
  <c r="T4" i="1054"/>
  <c r="H4" i="1054"/>
  <c r="H139" i="1054" s="1"/>
  <c r="B4" i="1054"/>
  <c r="B3" i="1054"/>
  <c r="AE2" i="1054"/>
  <c r="AE52" i="1054" s="1"/>
  <c r="AD2" i="1054"/>
  <c r="AD52" i="1054" s="1"/>
  <c r="AC2" i="1054"/>
  <c r="AC52" i="1054" s="1"/>
  <c r="AB2" i="1054"/>
  <c r="AA2" i="1054"/>
  <c r="Z2" i="1054"/>
  <c r="Z52" i="1054" s="1"/>
  <c r="Y2" i="1054"/>
  <c r="Y52" i="1054" s="1"/>
  <c r="X2" i="1054"/>
  <c r="X52" i="1054" s="1"/>
  <c r="W2" i="1054"/>
  <c r="W52" i="1054" s="1"/>
  <c r="V2" i="1054"/>
  <c r="V52" i="1054" s="1"/>
  <c r="U2" i="1054"/>
  <c r="U52" i="1054" s="1"/>
  <c r="T2" i="1054"/>
  <c r="R2" i="1054"/>
  <c r="Q2" i="1054"/>
  <c r="Q52" i="1054" s="1"/>
  <c r="P2" i="1054"/>
  <c r="P52" i="1054" s="1"/>
  <c r="O2" i="1054"/>
  <c r="O52" i="1054" s="1"/>
  <c r="N2" i="1054"/>
  <c r="N52" i="1054" s="1"/>
  <c r="M2" i="1054"/>
  <c r="M52" i="1054" s="1"/>
  <c r="L2" i="1054"/>
  <c r="L52" i="1054" s="1"/>
  <c r="K2" i="1054"/>
  <c r="K52" i="1054" s="1"/>
  <c r="J2" i="1054"/>
  <c r="J52" i="1054" s="1"/>
  <c r="I2" i="1054"/>
  <c r="I52" i="1054" s="1"/>
  <c r="H2" i="1054"/>
  <c r="H52" i="1054" s="1"/>
  <c r="G2" i="1054"/>
  <c r="G52" i="1054" s="1"/>
  <c r="B2" i="1054"/>
  <c r="W1" i="1054"/>
  <c r="X1" i="1054" s="1"/>
  <c r="Y1" i="1054" s="1"/>
  <c r="Z1" i="1054" s="1"/>
  <c r="AA1" i="1054" s="1"/>
  <c r="AB1" i="1054" s="1"/>
  <c r="AC1" i="1054" s="1"/>
  <c r="AD1" i="1054" s="1"/>
  <c r="AE1" i="1054" s="1"/>
  <c r="V1" i="1054"/>
  <c r="U1" i="1054"/>
  <c r="H1" i="1054"/>
  <c r="I1" i="1054" s="1"/>
  <c r="J1" i="1054" s="1"/>
  <c r="K1" i="1054" s="1"/>
  <c r="L1" i="1054" s="1"/>
  <c r="M1" i="1054" s="1"/>
  <c r="N1" i="1054" s="1"/>
  <c r="O1" i="1054" s="1"/>
  <c r="P1" i="1054" s="1"/>
  <c r="Q1" i="1054" s="1"/>
  <c r="R1" i="1054" s="1"/>
  <c r="AE238" i="1053"/>
  <c r="AD238" i="1053"/>
  <c r="AC238" i="1053"/>
  <c r="AB238" i="1053"/>
  <c r="AA238" i="1053"/>
  <c r="Z238" i="1053"/>
  <c r="Y238" i="1053"/>
  <c r="X238" i="1053"/>
  <c r="W238" i="1053"/>
  <c r="V238" i="1053"/>
  <c r="U238" i="1053"/>
  <c r="T238" i="1053"/>
  <c r="S238" i="1053"/>
  <c r="R238" i="1053"/>
  <c r="Q238" i="1053"/>
  <c r="P238" i="1053"/>
  <c r="O238" i="1053"/>
  <c r="N238" i="1053"/>
  <c r="M238" i="1053"/>
  <c r="L238" i="1053"/>
  <c r="K238" i="1053"/>
  <c r="J238" i="1053"/>
  <c r="I238" i="1053"/>
  <c r="H238" i="1053"/>
  <c r="G238" i="1053"/>
  <c r="S236" i="1053"/>
  <c r="G236" i="1053"/>
  <c r="AE235" i="1053"/>
  <c r="AD235" i="1053"/>
  <c r="AC235" i="1053"/>
  <c r="AB235" i="1053"/>
  <c r="AA235" i="1053"/>
  <c r="Z235" i="1053"/>
  <c r="Y235" i="1053"/>
  <c r="X235" i="1053"/>
  <c r="W235" i="1053"/>
  <c r="V235" i="1053"/>
  <c r="U235" i="1053"/>
  <c r="T235" i="1053"/>
  <c r="S235" i="1053"/>
  <c r="R235" i="1053"/>
  <c r="Q235" i="1053"/>
  <c r="P235" i="1053"/>
  <c r="O235" i="1053"/>
  <c r="N235" i="1053"/>
  <c r="M235" i="1053"/>
  <c r="L235" i="1053"/>
  <c r="K235" i="1053"/>
  <c r="J235" i="1053"/>
  <c r="I235" i="1053"/>
  <c r="H235" i="1053"/>
  <c r="G235" i="1053"/>
  <c r="AE234" i="1053"/>
  <c r="AD234" i="1053"/>
  <c r="AC234" i="1053"/>
  <c r="AB234" i="1053"/>
  <c r="AA234" i="1053"/>
  <c r="Z234" i="1053"/>
  <c r="Y234" i="1053"/>
  <c r="X234" i="1053"/>
  <c r="W234" i="1053"/>
  <c r="V234" i="1053"/>
  <c r="U234" i="1053"/>
  <c r="T234" i="1053"/>
  <c r="S234" i="1053"/>
  <c r="R234" i="1053"/>
  <c r="Q234" i="1053"/>
  <c r="P234" i="1053"/>
  <c r="O234" i="1053"/>
  <c r="N234" i="1053"/>
  <c r="M234" i="1053"/>
  <c r="L234" i="1053"/>
  <c r="K234" i="1053"/>
  <c r="J234" i="1053"/>
  <c r="I234" i="1053"/>
  <c r="H234" i="1053"/>
  <c r="G234" i="1053"/>
  <c r="AE233" i="1053"/>
  <c r="AD233" i="1053"/>
  <c r="AC233" i="1053"/>
  <c r="AB233" i="1053"/>
  <c r="AA233" i="1053"/>
  <c r="Z233" i="1053"/>
  <c r="Y233" i="1053"/>
  <c r="X233" i="1053"/>
  <c r="W233" i="1053"/>
  <c r="V233" i="1053"/>
  <c r="U233" i="1053"/>
  <c r="T233" i="1053"/>
  <c r="S233" i="1053"/>
  <c r="R233" i="1053"/>
  <c r="Q233" i="1053"/>
  <c r="P233" i="1053"/>
  <c r="O233" i="1053"/>
  <c r="N233" i="1053"/>
  <c r="M233" i="1053"/>
  <c r="L233" i="1053"/>
  <c r="K233" i="1053"/>
  <c r="J233" i="1053"/>
  <c r="I233" i="1053"/>
  <c r="H233" i="1053"/>
  <c r="G233" i="1053"/>
  <c r="AE232" i="1053"/>
  <c r="AD232" i="1053"/>
  <c r="AC232" i="1053"/>
  <c r="AB232" i="1053"/>
  <c r="AA232" i="1053"/>
  <c r="Z232" i="1053"/>
  <c r="Y232" i="1053"/>
  <c r="X232" i="1053"/>
  <c r="W232" i="1053"/>
  <c r="V232" i="1053"/>
  <c r="U232" i="1053"/>
  <c r="T232" i="1053"/>
  <c r="S232" i="1053"/>
  <c r="R232" i="1053"/>
  <c r="Q232" i="1053"/>
  <c r="P232" i="1053"/>
  <c r="O232" i="1053"/>
  <c r="N232" i="1053"/>
  <c r="M232" i="1053"/>
  <c r="L232" i="1053"/>
  <c r="K232" i="1053"/>
  <c r="J232" i="1053"/>
  <c r="I232" i="1053"/>
  <c r="H232" i="1053"/>
  <c r="G232" i="1053"/>
  <c r="B232" i="1053"/>
  <c r="B233" i="1053" s="1"/>
  <c r="B234" i="1053" s="1"/>
  <c r="B235" i="1053" s="1"/>
  <c r="B236" i="1053" s="1"/>
  <c r="B237" i="1053" s="1"/>
  <c r="AE231" i="1053"/>
  <c r="AD231" i="1053"/>
  <c r="AC231" i="1053"/>
  <c r="AB231" i="1053"/>
  <c r="AA231" i="1053"/>
  <c r="Z231" i="1053"/>
  <c r="Y231" i="1053"/>
  <c r="X231" i="1053"/>
  <c r="W231" i="1053"/>
  <c r="V231" i="1053"/>
  <c r="U231" i="1053"/>
  <c r="T231" i="1053"/>
  <c r="S231" i="1053"/>
  <c r="R231" i="1053"/>
  <c r="Q231" i="1053"/>
  <c r="P231" i="1053"/>
  <c r="O231" i="1053"/>
  <c r="N231" i="1053"/>
  <c r="M231" i="1053"/>
  <c r="L231" i="1053"/>
  <c r="K231" i="1053"/>
  <c r="J231" i="1053"/>
  <c r="I231" i="1053"/>
  <c r="H231" i="1053"/>
  <c r="G231" i="1053"/>
  <c r="F230" i="1053"/>
  <c r="F229" i="1053"/>
  <c r="S228" i="1053"/>
  <c r="L228" i="1053"/>
  <c r="G228" i="1053"/>
  <c r="AE227" i="1053"/>
  <c r="AD227" i="1053"/>
  <c r="AC227" i="1053"/>
  <c r="AB227" i="1053"/>
  <c r="AA227" i="1053"/>
  <c r="Z227" i="1053"/>
  <c r="Y227" i="1053"/>
  <c r="X227" i="1053"/>
  <c r="W227" i="1053"/>
  <c r="V227" i="1053"/>
  <c r="U227" i="1053"/>
  <c r="T227" i="1053"/>
  <c r="S227" i="1053"/>
  <c r="R227" i="1053"/>
  <c r="Q227" i="1053"/>
  <c r="P227" i="1053"/>
  <c r="O227" i="1053"/>
  <c r="N227" i="1053"/>
  <c r="M227" i="1053"/>
  <c r="L227" i="1053"/>
  <c r="K227" i="1053"/>
  <c r="J227" i="1053"/>
  <c r="I227" i="1053"/>
  <c r="H227" i="1053"/>
  <c r="G227" i="1053"/>
  <c r="AE226" i="1053"/>
  <c r="AD226" i="1053"/>
  <c r="AC226" i="1053"/>
  <c r="AB226" i="1053"/>
  <c r="AA226" i="1053"/>
  <c r="Z226" i="1053"/>
  <c r="Y226" i="1053"/>
  <c r="X226" i="1053"/>
  <c r="W226" i="1053"/>
  <c r="V226" i="1053"/>
  <c r="U226" i="1053"/>
  <c r="T226" i="1053"/>
  <c r="S226" i="1053"/>
  <c r="R226" i="1053"/>
  <c r="Q226" i="1053"/>
  <c r="P226" i="1053"/>
  <c r="O226" i="1053"/>
  <c r="N226" i="1053"/>
  <c r="M226" i="1053"/>
  <c r="L226" i="1053"/>
  <c r="K226" i="1053"/>
  <c r="J226" i="1053"/>
  <c r="I226" i="1053"/>
  <c r="H226" i="1053"/>
  <c r="G226" i="1053"/>
  <c r="S225" i="1053"/>
  <c r="AE224" i="1053"/>
  <c r="AD224" i="1053"/>
  <c r="AC224" i="1053"/>
  <c r="AB224" i="1053"/>
  <c r="AA224" i="1053"/>
  <c r="Z224" i="1053"/>
  <c r="Y224" i="1053"/>
  <c r="X224" i="1053"/>
  <c r="W224" i="1053"/>
  <c r="V224" i="1053"/>
  <c r="U224" i="1053"/>
  <c r="T224" i="1053"/>
  <c r="S224" i="1053"/>
  <c r="R224" i="1053"/>
  <c r="Q224" i="1053"/>
  <c r="P224" i="1053"/>
  <c r="O224" i="1053"/>
  <c r="N224" i="1053"/>
  <c r="M224" i="1053"/>
  <c r="L224" i="1053"/>
  <c r="K224" i="1053"/>
  <c r="J224" i="1053"/>
  <c r="I224" i="1053"/>
  <c r="H224" i="1053"/>
  <c r="G224" i="1053"/>
  <c r="AE223" i="1053"/>
  <c r="AD223" i="1053"/>
  <c r="AC223" i="1053"/>
  <c r="AB223" i="1053"/>
  <c r="AA223" i="1053"/>
  <c r="Z223" i="1053"/>
  <c r="Y223" i="1053"/>
  <c r="X223" i="1053"/>
  <c r="W223" i="1053"/>
  <c r="V223" i="1053"/>
  <c r="U223" i="1053"/>
  <c r="T223" i="1053"/>
  <c r="S223" i="1053"/>
  <c r="R223" i="1053"/>
  <c r="Q223" i="1053"/>
  <c r="P223" i="1053"/>
  <c r="O223" i="1053"/>
  <c r="N223" i="1053"/>
  <c r="M223" i="1053"/>
  <c r="L223" i="1053"/>
  <c r="K223" i="1053"/>
  <c r="J223" i="1053"/>
  <c r="I223" i="1053"/>
  <c r="H223" i="1053"/>
  <c r="G223" i="1053"/>
  <c r="D222" i="1053"/>
  <c r="S221" i="1053"/>
  <c r="S220" i="1053"/>
  <c r="S219" i="1053"/>
  <c r="D219" i="1053"/>
  <c r="S218" i="1053"/>
  <c r="D218" i="1053"/>
  <c r="S217" i="1053"/>
  <c r="G217" i="1053"/>
  <c r="S216" i="1053" a="1"/>
  <c r="S216" i="1053" s="1"/>
  <c r="S215" i="1053"/>
  <c r="S214" i="1053"/>
  <c r="S213" i="1053"/>
  <c r="S212" i="1053"/>
  <c r="S211" i="1053"/>
  <c r="S210" i="1053"/>
  <c r="S209" i="1053"/>
  <c r="S208" i="1053"/>
  <c r="S207" i="1053"/>
  <c r="S206" i="1053"/>
  <c r="S205" i="1053"/>
  <c r="S204" i="1053"/>
  <c r="S203" i="1053"/>
  <c r="S202" i="1053"/>
  <c r="AC199" i="1053"/>
  <c r="S199" i="1053"/>
  <c r="S198" i="1053"/>
  <c r="S197" i="1053"/>
  <c r="S196" i="1053"/>
  <c r="S195" i="1053"/>
  <c r="O195" i="1053"/>
  <c r="J195" i="1053"/>
  <c r="G195" i="1053"/>
  <c r="S194" i="1053"/>
  <c r="O194" i="1053"/>
  <c r="J194" i="1053"/>
  <c r="G194" i="1053"/>
  <c r="S193" i="1053"/>
  <c r="O193" i="1053"/>
  <c r="J193" i="1053"/>
  <c r="G193" i="1053"/>
  <c r="S192" i="1053"/>
  <c r="Q192" i="1053"/>
  <c r="O192" i="1053"/>
  <c r="J192" i="1053"/>
  <c r="G192" i="1053"/>
  <c r="S191" i="1053"/>
  <c r="R191" i="1053"/>
  <c r="Q191" i="1053"/>
  <c r="P191" i="1053"/>
  <c r="O191" i="1053"/>
  <c r="N191" i="1053"/>
  <c r="M191" i="1053"/>
  <c r="L191" i="1053"/>
  <c r="K191" i="1053"/>
  <c r="J191" i="1053"/>
  <c r="I191" i="1053"/>
  <c r="H191" i="1053"/>
  <c r="G191" i="1053"/>
  <c r="AE190" i="1053"/>
  <c r="AD190" i="1053"/>
  <c r="AC190" i="1053"/>
  <c r="AB190" i="1053"/>
  <c r="AA190" i="1053"/>
  <c r="Z190" i="1053"/>
  <c r="Y190" i="1053"/>
  <c r="X190" i="1053"/>
  <c r="W190" i="1053"/>
  <c r="V190" i="1053"/>
  <c r="U190" i="1053"/>
  <c r="T190" i="1053"/>
  <c r="S190" i="1053"/>
  <c r="R190" i="1053"/>
  <c r="Q190" i="1053"/>
  <c r="P190" i="1053"/>
  <c r="O190" i="1053"/>
  <c r="N190" i="1053"/>
  <c r="M190" i="1053"/>
  <c r="L190" i="1053"/>
  <c r="K190" i="1053"/>
  <c r="J190" i="1053"/>
  <c r="I190" i="1053"/>
  <c r="H190" i="1053"/>
  <c r="G190" i="1053"/>
  <c r="S189" i="1053"/>
  <c r="R189" i="1053"/>
  <c r="Q189" i="1053"/>
  <c r="P189" i="1053"/>
  <c r="O189" i="1053"/>
  <c r="N189" i="1053"/>
  <c r="M189" i="1053"/>
  <c r="L189" i="1053"/>
  <c r="K189" i="1053"/>
  <c r="J189" i="1053"/>
  <c r="I189" i="1053"/>
  <c r="H189" i="1053"/>
  <c r="G189" i="1053"/>
  <c r="S188" i="1053"/>
  <c r="R188" i="1053"/>
  <c r="Q188" i="1053"/>
  <c r="P188" i="1053"/>
  <c r="O188" i="1053"/>
  <c r="N188" i="1053"/>
  <c r="M188" i="1053"/>
  <c r="L188" i="1053"/>
  <c r="K188" i="1053"/>
  <c r="J188" i="1053"/>
  <c r="I188" i="1053"/>
  <c r="H188" i="1053"/>
  <c r="G188" i="1053"/>
  <c r="AE183" i="1053"/>
  <c r="AD183" i="1053"/>
  <c r="AC183" i="1053"/>
  <c r="AB183" i="1053"/>
  <c r="AA183" i="1053"/>
  <c r="Z183" i="1053"/>
  <c r="Y183" i="1053"/>
  <c r="X183" i="1053"/>
  <c r="W183" i="1053"/>
  <c r="V183" i="1053"/>
  <c r="U183" i="1053"/>
  <c r="T183" i="1053"/>
  <c r="S183" i="1053"/>
  <c r="R183" i="1053"/>
  <c r="Q183" i="1053"/>
  <c r="P183" i="1053"/>
  <c r="O183" i="1053"/>
  <c r="N183" i="1053"/>
  <c r="M183" i="1053"/>
  <c r="L183" i="1053"/>
  <c r="K183" i="1053"/>
  <c r="J183" i="1053"/>
  <c r="I183" i="1053"/>
  <c r="H183" i="1053"/>
  <c r="G183" i="1053"/>
  <c r="S182" i="1053"/>
  <c r="G182" i="1053"/>
  <c r="S181" i="1053"/>
  <c r="G181" i="1053"/>
  <c r="S180" i="1053"/>
  <c r="G180" i="1053"/>
  <c r="S179" i="1053"/>
  <c r="G179" i="1053"/>
  <c r="S178" i="1053"/>
  <c r="G178" i="1053"/>
  <c r="S177" i="1053"/>
  <c r="G177" i="1053"/>
  <c r="S176" i="1053"/>
  <c r="S169" i="1053"/>
  <c r="S168" i="1053"/>
  <c r="G168" i="1053"/>
  <c r="B168" i="1053"/>
  <c r="B169" i="1053" s="1"/>
  <c r="B170" i="1053" s="1"/>
  <c r="B171" i="1053" s="1"/>
  <c r="B172" i="1053" s="1"/>
  <c r="B173" i="1053" s="1"/>
  <c r="B174" i="1053" s="1"/>
  <c r="B175" i="1053" s="1"/>
  <c r="B176" i="1053" s="1"/>
  <c r="B177" i="1053" s="1"/>
  <c r="B178" i="1053" s="1"/>
  <c r="B179" i="1053" s="1"/>
  <c r="B180" i="1053" s="1"/>
  <c r="B181" i="1053" s="1"/>
  <c r="B182" i="1053" s="1"/>
  <c r="B183" i="1053" s="1"/>
  <c r="B184" i="1053" s="1"/>
  <c r="B185" i="1053" s="1"/>
  <c r="B186" i="1053" s="1"/>
  <c r="S167" i="1053"/>
  <c r="G167" i="1053"/>
  <c r="G166" i="1053"/>
  <c r="G165" i="1053"/>
  <c r="G169" i="1053" s="1"/>
  <c r="T162" i="1053"/>
  <c r="G162" i="1053"/>
  <c r="G139" i="1053"/>
  <c r="G134" i="1053"/>
  <c r="G133" i="1053"/>
  <c r="T132" i="1053"/>
  <c r="G132" i="1053"/>
  <c r="G131" i="1053"/>
  <c r="G130" i="1053" a="1"/>
  <c r="G130" i="1053" s="1"/>
  <c r="G164" i="1053" s="1"/>
  <c r="G129" i="1053"/>
  <c r="G163" i="1053" s="1"/>
  <c r="F128" i="1053"/>
  <c r="F127" i="1053"/>
  <c r="G125" i="1053"/>
  <c r="AE124" i="1053"/>
  <c r="AD124" i="1053"/>
  <c r="M124" i="1053"/>
  <c r="G124" i="1053"/>
  <c r="G135" i="1053" s="1"/>
  <c r="G123" i="1053"/>
  <c r="G121" i="1053" s="1"/>
  <c r="B112" i="1053"/>
  <c r="G111" i="1053"/>
  <c r="B111" i="1053"/>
  <c r="D223" i="1053" s="1"/>
  <c r="G108" i="1053"/>
  <c r="B108" i="1053"/>
  <c r="G107" i="1053"/>
  <c r="B107" i="1053"/>
  <c r="D220" i="1053" s="1"/>
  <c r="S106" i="1053"/>
  <c r="T105" i="1053"/>
  <c r="K105" i="1053"/>
  <c r="K218" i="1053" s="1"/>
  <c r="G105" i="1053"/>
  <c r="G218" i="1053" s="1"/>
  <c r="G99" i="1053"/>
  <c r="D98" i="1053"/>
  <c r="D97" i="1053"/>
  <c r="D96" i="1053"/>
  <c r="D95" i="1053"/>
  <c r="D94" i="1053"/>
  <c r="D93" i="1053"/>
  <c r="G88" i="1053" a="1"/>
  <c r="G88" i="1053" s="1"/>
  <c r="AF87" i="1053"/>
  <c r="X87" i="1053"/>
  <c r="X199" i="1053" s="1"/>
  <c r="R87" i="1053"/>
  <c r="R199" i="1053" s="1"/>
  <c r="Q87" i="1053"/>
  <c r="Q199" i="1053" s="1"/>
  <c r="P87" i="1053"/>
  <c r="P199" i="1053" s="1"/>
  <c r="O87" i="1053"/>
  <c r="O199" i="1053" s="1"/>
  <c r="N87" i="1053"/>
  <c r="N199" i="1053" s="1"/>
  <c r="M87" i="1053"/>
  <c r="M199" i="1053" s="1"/>
  <c r="L87" i="1053"/>
  <c r="L199" i="1053" s="1"/>
  <c r="K87" i="1053"/>
  <c r="K199" i="1053" s="1"/>
  <c r="J87" i="1053"/>
  <c r="J199" i="1053" s="1"/>
  <c r="I87" i="1053"/>
  <c r="I199" i="1053" s="1"/>
  <c r="H87" i="1053"/>
  <c r="H199" i="1053" s="1"/>
  <c r="G87" i="1053"/>
  <c r="G199" i="1053" s="1"/>
  <c r="Z86" i="1053"/>
  <c r="R86" i="1053"/>
  <c r="Q86" i="1053"/>
  <c r="O86" i="1053"/>
  <c r="N86" i="1053"/>
  <c r="M86" i="1053"/>
  <c r="L86" i="1053"/>
  <c r="K86" i="1053"/>
  <c r="J86" i="1053"/>
  <c r="I86" i="1053"/>
  <c r="H86" i="1053"/>
  <c r="AA85" i="1053"/>
  <c r="R85" i="1053"/>
  <c r="Q85" i="1053"/>
  <c r="P85" i="1053"/>
  <c r="O85" i="1053"/>
  <c r="N85" i="1053"/>
  <c r="M85" i="1053"/>
  <c r="L85" i="1053"/>
  <c r="K85" i="1053"/>
  <c r="J85" i="1053"/>
  <c r="I85" i="1053"/>
  <c r="H85" i="1053"/>
  <c r="G85" i="1053"/>
  <c r="AB84" i="1053"/>
  <c r="AA84" i="1053"/>
  <c r="T84" i="1053"/>
  <c r="T104" i="1053" s="1"/>
  <c r="R84" i="1053"/>
  <c r="Q84" i="1053"/>
  <c r="P84" i="1053"/>
  <c r="O84" i="1053"/>
  <c r="N84" i="1053"/>
  <c r="M84" i="1053"/>
  <c r="L84" i="1053"/>
  <c r="K84" i="1053"/>
  <c r="J84" i="1053"/>
  <c r="I84" i="1053"/>
  <c r="H84" i="1053"/>
  <c r="G84" i="1053"/>
  <c r="G216" i="1053" s="1" a="1"/>
  <c r="G216" i="1053" s="1"/>
  <c r="AC83" i="1053"/>
  <c r="Z83" i="1053"/>
  <c r="V83" i="1053"/>
  <c r="U83" i="1053"/>
  <c r="R83" i="1053"/>
  <c r="Q83" i="1053"/>
  <c r="P83" i="1053"/>
  <c r="O83" i="1053"/>
  <c r="N83" i="1053"/>
  <c r="M83" i="1053"/>
  <c r="L83" i="1053"/>
  <c r="K83" i="1053"/>
  <c r="J83" i="1053"/>
  <c r="I83" i="1053"/>
  <c r="H83" i="1053"/>
  <c r="G83" i="1053"/>
  <c r="AE82" i="1053"/>
  <c r="X82" i="1053"/>
  <c r="W82" i="1053"/>
  <c r="R82" i="1053"/>
  <c r="Q82" i="1053"/>
  <c r="P82" i="1053"/>
  <c r="O82" i="1053"/>
  <c r="N82" i="1053"/>
  <c r="AF82" i="1053" s="1"/>
  <c r="M82" i="1053"/>
  <c r="L82" i="1053"/>
  <c r="K82" i="1053"/>
  <c r="J82" i="1053"/>
  <c r="I82" i="1053"/>
  <c r="H82" i="1053"/>
  <c r="G82" i="1053"/>
  <c r="AB81" i="1053"/>
  <c r="Z81" i="1053"/>
  <c r="Y81" i="1053"/>
  <c r="T81" i="1053"/>
  <c r="R81" i="1053"/>
  <c r="Q81" i="1053"/>
  <c r="P81" i="1053"/>
  <c r="O81" i="1053"/>
  <c r="N81" i="1053"/>
  <c r="M81" i="1053"/>
  <c r="L81" i="1053"/>
  <c r="K81" i="1053"/>
  <c r="J81" i="1053"/>
  <c r="I81" i="1053"/>
  <c r="H81" i="1053"/>
  <c r="G81" i="1053"/>
  <c r="AB80" i="1053"/>
  <c r="R80" i="1053"/>
  <c r="Q80" i="1053"/>
  <c r="P80" i="1053"/>
  <c r="O80" i="1053"/>
  <c r="N80" i="1053"/>
  <c r="M80" i="1053"/>
  <c r="L80" i="1053"/>
  <c r="K80" i="1053"/>
  <c r="J80" i="1053"/>
  <c r="I80" i="1053"/>
  <c r="H80" i="1053"/>
  <c r="G80" i="1053"/>
  <c r="AC79" i="1053"/>
  <c r="AB79" i="1053"/>
  <c r="Y79" i="1053"/>
  <c r="T79" i="1053"/>
  <c r="R79" i="1053"/>
  <c r="Q79" i="1053"/>
  <c r="P79" i="1053"/>
  <c r="O79" i="1053"/>
  <c r="N79" i="1053"/>
  <c r="M79" i="1053"/>
  <c r="L79" i="1053"/>
  <c r="K79" i="1053"/>
  <c r="J79" i="1053"/>
  <c r="I79" i="1053"/>
  <c r="H79" i="1053"/>
  <c r="G79" i="1053"/>
  <c r="AD78" i="1053"/>
  <c r="AC78" i="1053"/>
  <c r="V78" i="1053"/>
  <c r="U78" i="1053"/>
  <c r="R78" i="1053"/>
  <c r="Q78" i="1053"/>
  <c r="P78" i="1053"/>
  <c r="O78" i="1053"/>
  <c r="N78" i="1053"/>
  <c r="M78" i="1053"/>
  <c r="L78" i="1053"/>
  <c r="K78" i="1053"/>
  <c r="J78" i="1053"/>
  <c r="I78" i="1053"/>
  <c r="H78" i="1053"/>
  <c r="G78" i="1053"/>
  <c r="O77" i="1053"/>
  <c r="J77" i="1053"/>
  <c r="G77" i="1053"/>
  <c r="Z76" i="1053"/>
  <c r="R76" i="1053"/>
  <c r="Q76" i="1053"/>
  <c r="P76" i="1053"/>
  <c r="O76" i="1053"/>
  <c r="N76" i="1053"/>
  <c r="M76" i="1053"/>
  <c r="L76" i="1053"/>
  <c r="K76" i="1053"/>
  <c r="J76" i="1053"/>
  <c r="I76" i="1053"/>
  <c r="H76" i="1053"/>
  <c r="G76" i="1053"/>
  <c r="AB75" i="1053"/>
  <c r="AA75" i="1053"/>
  <c r="T75" i="1053"/>
  <c r="R75" i="1053"/>
  <c r="Q75" i="1053"/>
  <c r="P75" i="1053"/>
  <c r="O75" i="1053"/>
  <c r="N75" i="1053"/>
  <c r="M75" i="1053"/>
  <c r="L75" i="1053"/>
  <c r="K75" i="1053"/>
  <c r="J75" i="1053"/>
  <c r="I75" i="1053"/>
  <c r="H75" i="1053"/>
  <c r="G75" i="1053"/>
  <c r="AD74" i="1053"/>
  <c r="V74" i="1053"/>
  <c r="U74" i="1053"/>
  <c r="R74" i="1053"/>
  <c r="Q74" i="1053"/>
  <c r="P74" i="1053"/>
  <c r="O74" i="1053"/>
  <c r="N74" i="1053"/>
  <c r="M74" i="1053"/>
  <c r="L74" i="1053"/>
  <c r="K74" i="1053"/>
  <c r="J74" i="1053"/>
  <c r="I74" i="1053"/>
  <c r="H74" i="1053"/>
  <c r="G74" i="1053"/>
  <c r="AE73" i="1053"/>
  <c r="X73" i="1053"/>
  <c r="W73" i="1053"/>
  <c r="R73" i="1053"/>
  <c r="Q73" i="1053"/>
  <c r="P73" i="1053"/>
  <c r="O73" i="1053"/>
  <c r="N73" i="1053"/>
  <c r="M73" i="1053"/>
  <c r="L73" i="1053"/>
  <c r="K73" i="1053"/>
  <c r="J73" i="1053"/>
  <c r="I73" i="1053"/>
  <c r="H73" i="1053"/>
  <c r="G73" i="1053"/>
  <c r="AF73" i="1053" s="1"/>
  <c r="AB72" i="1053"/>
  <c r="AB220" i="1053" s="1"/>
  <c r="Z72" i="1053"/>
  <c r="Y72" i="1053"/>
  <c r="Y220" i="1053" s="1"/>
  <c r="T72" i="1053"/>
  <c r="T220" i="1053" s="1"/>
  <c r="R72" i="1053"/>
  <c r="R220" i="1053" s="1"/>
  <c r="Q72" i="1053"/>
  <c r="P72" i="1053"/>
  <c r="P220" i="1053" s="1"/>
  <c r="O72" i="1053"/>
  <c r="O220" i="1053" s="1"/>
  <c r="N72" i="1053"/>
  <c r="N220" i="1053" s="1"/>
  <c r="M72" i="1053"/>
  <c r="M220" i="1053" s="1"/>
  <c r="L72" i="1053"/>
  <c r="L220" i="1053" s="1"/>
  <c r="K72" i="1053"/>
  <c r="K220" i="1053" s="1"/>
  <c r="J72" i="1053"/>
  <c r="J220" i="1053" s="1"/>
  <c r="I72" i="1053"/>
  <c r="H72" i="1053"/>
  <c r="H220" i="1053" s="1"/>
  <c r="G72" i="1053"/>
  <c r="G220" i="1053" s="1"/>
  <c r="H69" i="1053"/>
  <c r="G69" i="1053"/>
  <c r="AG68" i="1053"/>
  <c r="E68" i="1053"/>
  <c r="D68" i="1053"/>
  <c r="G68" i="1053" s="1"/>
  <c r="C68" i="1053"/>
  <c r="AG67" i="1053"/>
  <c r="G67" i="1053"/>
  <c r="G214" i="1053" s="1"/>
  <c r="AG66" i="1053"/>
  <c r="G66" i="1053"/>
  <c r="G213" i="1053" s="1"/>
  <c r="AG65" i="1053"/>
  <c r="G65" i="1053"/>
  <c r="AG64" i="1053"/>
  <c r="G64" i="1053"/>
  <c r="G212" i="1053" s="1"/>
  <c r="AG63" i="1053"/>
  <c r="G63" i="1053"/>
  <c r="G211" i="1053" s="1"/>
  <c r="AG62" i="1053"/>
  <c r="G62" i="1053"/>
  <c r="E62" i="1053"/>
  <c r="D62" i="1053"/>
  <c r="G176" i="1053" s="1"/>
  <c r="C62" i="1053"/>
  <c r="AG61" i="1053"/>
  <c r="E61" i="1053"/>
  <c r="D61" i="1053"/>
  <c r="V162" i="1053" s="1"/>
  <c r="C61" i="1053"/>
  <c r="AG60" i="1053"/>
  <c r="E60" i="1053"/>
  <c r="D60" i="1053"/>
  <c r="C60" i="1053"/>
  <c r="AG59" i="1053"/>
  <c r="E59" i="1053"/>
  <c r="D59" i="1053"/>
  <c r="C59" i="1053"/>
  <c r="AG58" i="1053"/>
  <c r="G58" i="1053"/>
  <c r="E58" i="1053"/>
  <c r="D58" i="1053"/>
  <c r="S172" i="1053" s="1"/>
  <c r="C58" i="1053"/>
  <c r="AG57" i="1053"/>
  <c r="E57" i="1053"/>
  <c r="D57" i="1053"/>
  <c r="C57" i="1053"/>
  <c r="AG56" i="1053"/>
  <c r="G56" i="1053"/>
  <c r="G204" i="1053" s="1"/>
  <c r="AG55" i="1053"/>
  <c r="G55" i="1053"/>
  <c r="AG54" i="1053"/>
  <c r="G54" i="1053"/>
  <c r="AG53" i="1053"/>
  <c r="G53" i="1053"/>
  <c r="AD52" i="1053"/>
  <c r="Y52" i="1053"/>
  <c r="W52" i="1053"/>
  <c r="M52" i="1053"/>
  <c r="A52" i="1053"/>
  <c r="T51" i="1053"/>
  <c r="H51" i="1053"/>
  <c r="T50" i="1053"/>
  <c r="H50" i="1053"/>
  <c r="T49" i="1053"/>
  <c r="H49" i="1053"/>
  <c r="AE48" i="1053"/>
  <c r="AD48" i="1053"/>
  <c r="AC48" i="1053"/>
  <c r="AB48" i="1053"/>
  <c r="AA48" i="1053"/>
  <c r="Z48" i="1053"/>
  <c r="Y48" i="1053"/>
  <c r="X48" i="1053"/>
  <c r="W48" i="1053"/>
  <c r="V48" i="1053"/>
  <c r="U48" i="1053"/>
  <c r="T48" i="1053"/>
  <c r="AE47" i="1053"/>
  <c r="AD47" i="1053"/>
  <c r="AC47" i="1053"/>
  <c r="AB47" i="1053"/>
  <c r="AA47" i="1053"/>
  <c r="Z47" i="1053"/>
  <c r="Y47" i="1053"/>
  <c r="X47" i="1053"/>
  <c r="W47" i="1053"/>
  <c r="V47" i="1053"/>
  <c r="U47" i="1053"/>
  <c r="T47" i="1053"/>
  <c r="AE46" i="1053"/>
  <c r="AD46" i="1053"/>
  <c r="AC46" i="1053"/>
  <c r="AB46" i="1053"/>
  <c r="AA46" i="1053"/>
  <c r="Z46" i="1053"/>
  <c r="Y46" i="1053"/>
  <c r="X46" i="1053"/>
  <c r="W46" i="1053"/>
  <c r="V46" i="1053"/>
  <c r="U46" i="1053"/>
  <c r="T46" i="1053"/>
  <c r="AE45" i="1053"/>
  <c r="AD45" i="1053"/>
  <c r="AC45" i="1053"/>
  <c r="AB45" i="1053"/>
  <c r="AA45" i="1053"/>
  <c r="Z45" i="1053"/>
  <c r="Y45" i="1053"/>
  <c r="X45" i="1053"/>
  <c r="W45" i="1053"/>
  <c r="V45" i="1053"/>
  <c r="U45" i="1053"/>
  <c r="T45" i="1053"/>
  <c r="AE44" i="1053"/>
  <c r="AE86" i="1053" s="1"/>
  <c r="AD44" i="1053"/>
  <c r="AD86" i="1053" s="1"/>
  <c r="AB44" i="1053"/>
  <c r="AB86" i="1053" s="1"/>
  <c r="AA44" i="1053"/>
  <c r="AA86" i="1053" s="1"/>
  <c r="Z44" i="1053"/>
  <c r="Y44" i="1053"/>
  <c r="Y86" i="1053" s="1"/>
  <c r="X44" i="1053"/>
  <c r="X86" i="1053" s="1"/>
  <c r="W44" i="1053"/>
  <c r="W86" i="1053" s="1"/>
  <c r="V44" i="1053"/>
  <c r="V86" i="1053" s="1"/>
  <c r="U44" i="1053"/>
  <c r="U86" i="1053" s="1"/>
  <c r="AF43" i="1053"/>
  <c r="AE43" i="1053"/>
  <c r="AD43" i="1053"/>
  <c r="AC43" i="1053"/>
  <c r="AB43" i="1053"/>
  <c r="AA43" i="1053"/>
  <c r="Z43" i="1053"/>
  <c r="Y43" i="1053"/>
  <c r="X43" i="1053"/>
  <c r="W43" i="1053"/>
  <c r="V43" i="1053"/>
  <c r="U43" i="1053"/>
  <c r="T43" i="1053"/>
  <c r="AE42" i="1053"/>
  <c r="AD42" i="1053"/>
  <c r="AC42" i="1053"/>
  <c r="AB42" i="1053"/>
  <c r="AA42" i="1053"/>
  <c r="Z42" i="1053"/>
  <c r="Y42" i="1053"/>
  <c r="Y87" i="1053" s="1"/>
  <c r="Y199" i="1053" s="1"/>
  <c r="X42" i="1053"/>
  <c r="W42" i="1053"/>
  <c r="V42" i="1053"/>
  <c r="U42" i="1053"/>
  <c r="T42" i="1053"/>
  <c r="AE41" i="1053"/>
  <c r="AE84" i="1053" s="1"/>
  <c r="AD41" i="1053"/>
  <c r="AD84" i="1053" s="1"/>
  <c r="AC41" i="1053"/>
  <c r="AC84" i="1053" s="1"/>
  <c r="AB41" i="1053"/>
  <c r="AA41" i="1053"/>
  <c r="Z41" i="1053"/>
  <c r="Z84" i="1053" s="1"/>
  <c r="Y41" i="1053"/>
  <c r="Y84" i="1053" s="1"/>
  <c r="X41" i="1053"/>
  <c r="X84" i="1053" s="1"/>
  <c r="W41" i="1053"/>
  <c r="W84" i="1053" s="1"/>
  <c r="V41" i="1053"/>
  <c r="V84" i="1053" s="1"/>
  <c r="U41" i="1053"/>
  <c r="U84" i="1053" s="1"/>
  <c r="T41" i="1053"/>
  <c r="AE40" i="1053"/>
  <c r="AE83" i="1053" s="1"/>
  <c r="AD40" i="1053"/>
  <c r="AD83" i="1053" s="1"/>
  <c r="AC40" i="1053"/>
  <c r="AB40" i="1053"/>
  <c r="AA40" i="1053"/>
  <c r="Z40" i="1053"/>
  <c r="Y40" i="1053"/>
  <c r="Y83" i="1053" s="1"/>
  <c r="X40" i="1053"/>
  <c r="W40" i="1053"/>
  <c r="W83" i="1053" s="1"/>
  <c r="V40" i="1053"/>
  <c r="U40" i="1053"/>
  <c r="T40" i="1053"/>
  <c r="AE39" i="1053"/>
  <c r="AD39" i="1053"/>
  <c r="AC39" i="1053"/>
  <c r="AB39" i="1053"/>
  <c r="AA39" i="1053"/>
  <c r="Z39" i="1053"/>
  <c r="Y39" i="1053"/>
  <c r="X39" i="1053"/>
  <c r="W39" i="1053"/>
  <c r="V39" i="1053"/>
  <c r="V82" i="1053" s="1"/>
  <c r="U39" i="1053"/>
  <c r="T39" i="1053"/>
  <c r="AE38" i="1053"/>
  <c r="AD38" i="1053"/>
  <c r="AC38" i="1053"/>
  <c r="AB38" i="1053"/>
  <c r="AA38" i="1053"/>
  <c r="Z38" i="1053"/>
  <c r="Y38" i="1053"/>
  <c r="X38" i="1053"/>
  <c r="W38" i="1053"/>
  <c r="V38" i="1053"/>
  <c r="U38" i="1053"/>
  <c r="T38" i="1053"/>
  <c r="AE37" i="1053"/>
  <c r="AE79" i="1053" s="1"/>
  <c r="AD37" i="1053"/>
  <c r="AD79" i="1053" s="1"/>
  <c r="AC37" i="1053"/>
  <c r="AB37" i="1053"/>
  <c r="AA37" i="1053"/>
  <c r="AA79" i="1053" s="1"/>
  <c r="Z37" i="1053"/>
  <c r="Z79" i="1053" s="1"/>
  <c r="Y37" i="1053"/>
  <c r="X37" i="1053"/>
  <c r="X79" i="1053" s="1"/>
  <c r="W37" i="1053"/>
  <c r="W79" i="1053" s="1"/>
  <c r="V37" i="1053"/>
  <c r="V79" i="1053" s="1"/>
  <c r="U37" i="1053"/>
  <c r="U79" i="1053" s="1"/>
  <c r="T37" i="1053"/>
  <c r="AE36" i="1053"/>
  <c r="AD36" i="1053"/>
  <c r="AC36" i="1053"/>
  <c r="AB36" i="1053"/>
  <c r="AA36" i="1053"/>
  <c r="Z36" i="1053"/>
  <c r="Y36" i="1053"/>
  <c r="X36" i="1053"/>
  <c r="W36" i="1053"/>
  <c r="V36" i="1053"/>
  <c r="U36" i="1053"/>
  <c r="T36" i="1053"/>
  <c r="AE35" i="1053"/>
  <c r="AD35" i="1053"/>
  <c r="AC35" i="1053"/>
  <c r="AB35" i="1053"/>
  <c r="AA35" i="1053"/>
  <c r="Z35" i="1053"/>
  <c r="Y35" i="1053"/>
  <c r="X35" i="1053"/>
  <c r="W35" i="1053"/>
  <c r="V35" i="1053"/>
  <c r="U35" i="1053"/>
  <c r="T35" i="1053"/>
  <c r="AE34" i="1053"/>
  <c r="AE191" i="1053" s="1"/>
  <c r="AD34" i="1053"/>
  <c r="AC34" i="1053"/>
  <c r="AC191" i="1053" s="1"/>
  <c r="AB34" i="1053"/>
  <c r="AA34" i="1053"/>
  <c r="AA191" i="1053" s="1"/>
  <c r="Z34" i="1053"/>
  <c r="Y34" i="1053"/>
  <c r="X34" i="1053"/>
  <c r="X191" i="1053" s="1"/>
  <c r="W34" i="1053"/>
  <c r="W191" i="1053" s="1"/>
  <c r="V34" i="1053"/>
  <c r="U34" i="1053"/>
  <c r="U191" i="1053" s="1"/>
  <c r="T34" i="1053"/>
  <c r="AE33" i="1053"/>
  <c r="AE76" i="1053" s="1"/>
  <c r="AD33" i="1053"/>
  <c r="AD76" i="1053" s="1"/>
  <c r="AC33" i="1053"/>
  <c r="AC76" i="1053" s="1"/>
  <c r="AB33" i="1053"/>
  <c r="AB76" i="1053" s="1"/>
  <c r="AA33" i="1053"/>
  <c r="AA76" i="1053" s="1"/>
  <c r="Z33" i="1053"/>
  <c r="Y33" i="1053"/>
  <c r="Y76" i="1053" s="1"/>
  <c r="X33" i="1053"/>
  <c r="X76" i="1053" s="1"/>
  <c r="W33" i="1053"/>
  <c r="W76" i="1053" s="1"/>
  <c r="V33" i="1053"/>
  <c r="V76" i="1053" s="1"/>
  <c r="U33" i="1053"/>
  <c r="U76" i="1053" s="1"/>
  <c r="T33" i="1053"/>
  <c r="T76" i="1053" s="1"/>
  <c r="AE32" i="1053"/>
  <c r="AE189" i="1053" s="1"/>
  <c r="AD32" i="1053"/>
  <c r="AC32" i="1053"/>
  <c r="AC189" i="1053" s="1"/>
  <c r="AB32" i="1053"/>
  <c r="AB189" i="1053" s="1"/>
  <c r="AA32" i="1053"/>
  <c r="AA189" i="1053" s="1"/>
  <c r="Z32" i="1053"/>
  <c r="Z189" i="1053" s="1"/>
  <c r="Y32" i="1053"/>
  <c r="Y189" i="1053" s="1"/>
  <c r="X32" i="1053"/>
  <c r="W32" i="1053"/>
  <c r="W189" i="1053" s="1"/>
  <c r="V32" i="1053"/>
  <c r="U32" i="1053"/>
  <c r="U189" i="1053" s="1"/>
  <c r="T32" i="1053"/>
  <c r="T189" i="1053" s="1"/>
  <c r="AE31" i="1053"/>
  <c r="AE188" i="1053" s="1"/>
  <c r="AD31" i="1053"/>
  <c r="AD188" i="1053" s="1"/>
  <c r="AC31" i="1053"/>
  <c r="AC188" i="1053" s="1"/>
  <c r="AB31" i="1053"/>
  <c r="AB188" i="1053" s="1"/>
  <c r="AA31" i="1053"/>
  <c r="Z31" i="1053"/>
  <c r="Z188" i="1053" s="1"/>
  <c r="Y31" i="1053"/>
  <c r="X31" i="1053"/>
  <c r="W31" i="1053"/>
  <c r="W188" i="1053" s="1"/>
  <c r="V31" i="1053"/>
  <c r="V188" i="1053" s="1"/>
  <c r="U31" i="1053"/>
  <c r="U188" i="1053" s="1"/>
  <c r="T31" i="1053"/>
  <c r="Y30" i="1053"/>
  <c r="U30" i="1053"/>
  <c r="T30" i="1053"/>
  <c r="M30" i="1053"/>
  <c r="N30" i="1053" s="1"/>
  <c r="AA30" i="1053" s="1"/>
  <c r="H30" i="1053"/>
  <c r="I30" i="1053" s="1"/>
  <c r="J30" i="1053" s="1"/>
  <c r="W30" i="1053" s="1"/>
  <c r="E30" i="1053"/>
  <c r="D30" i="1053"/>
  <c r="Z29" i="1053"/>
  <c r="Z228" i="1053" s="1"/>
  <c r="Y29" i="1053"/>
  <c r="Y228" i="1053" s="1"/>
  <c r="T29" i="1053"/>
  <c r="T228" i="1053" s="1"/>
  <c r="N29" i="1053"/>
  <c r="M29" i="1053"/>
  <c r="M228" i="1053" s="1"/>
  <c r="H29" i="1053"/>
  <c r="B29" i="1053"/>
  <c r="B30" i="1053" s="1"/>
  <c r="B31" i="1053" s="1"/>
  <c r="B32" i="1053" s="1"/>
  <c r="B33" i="1053" s="1"/>
  <c r="B34" i="1053" s="1"/>
  <c r="B35" i="1053" s="1"/>
  <c r="B36" i="1053" s="1"/>
  <c r="B37" i="1053" s="1"/>
  <c r="B38" i="1053" s="1"/>
  <c r="B39" i="1053" s="1"/>
  <c r="B40" i="1053" s="1"/>
  <c r="B41" i="1053" s="1"/>
  <c r="B42" i="1053" s="1"/>
  <c r="B43" i="1053" s="1"/>
  <c r="B44" i="1053" s="1"/>
  <c r="B45" i="1053" s="1"/>
  <c r="B46" i="1053" s="1"/>
  <c r="B47" i="1053" s="1"/>
  <c r="B48" i="1053" s="1"/>
  <c r="B49" i="1053" s="1"/>
  <c r="B50" i="1053" s="1"/>
  <c r="B51" i="1053" s="1"/>
  <c r="B52" i="1053" s="1"/>
  <c r="B53" i="1053" s="1"/>
  <c r="B54" i="1053" s="1"/>
  <c r="AE28" i="1053"/>
  <c r="AD28" i="1053"/>
  <c r="AC28" i="1053"/>
  <c r="AB28" i="1053"/>
  <c r="AA28" i="1053"/>
  <c r="Z28" i="1053"/>
  <c r="Y28" i="1053"/>
  <c r="X28" i="1053"/>
  <c r="W28" i="1053"/>
  <c r="V28" i="1053"/>
  <c r="U28" i="1053"/>
  <c r="T28" i="1053"/>
  <c r="AE27" i="1053"/>
  <c r="AD27" i="1053"/>
  <c r="AD73" i="1053" s="1"/>
  <c r="AC27" i="1053"/>
  <c r="AC73" i="1053" s="1"/>
  <c r="AB27" i="1053"/>
  <c r="AB73" i="1053" s="1"/>
  <c r="AA27" i="1053"/>
  <c r="AA73" i="1053" s="1"/>
  <c r="Z27" i="1053"/>
  <c r="Z73" i="1053" s="1"/>
  <c r="Y27" i="1053"/>
  <c r="Y73" i="1053" s="1"/>
  <c r="X27" i="1053"/>
  <c r="W27" i="1053"/>
  <c r="V27" i="1053"/>
  <c r="V73" i="1053" s="1"/>
  <c r="U27" i="1053"/>
  <c r="U73" i="1053" s="1"/>
  <c r="T27" i="1053"/>
  <c r="T73" i="1053" s="1"/>
  <c r="AE26" i="1053"/>
  <c r="AE72" i="1053" s="1"/>
  <c r="AD26" i="1053"/>
  <c r="AD72" i="1053" s="1"/>
  <c r="AC26" i="1053"/>
  <c r="AC72" i="1053" s="1"/>
  <c r="AB26" i="1053"/>
  <c r="AA26" i="1053"/>
  <c r="AA72" i="1053" s="1"/>
  <c r="Z26" i="1053"/>
  <c r="Y26" i="1053"/>
  <c r="X26" i="1053"/>
  <c r="X72" i="1053" s="1"/>
  <c r="X220" i="1053" s="1"/>
  <c r="W26" i="1053"/>
  <c r="W72" i="1053" s="1"/>
  <c r="V26" i="1053"/>
  <c r="V72" i="1053" s="1"/>
  <c r="U26" i="1053"/>
  <c r="U72" i="1053" s="1"/>
  <c r="T26" i="1053"/>
  <c r="AF25" i="1053"/>
  <c r="AE25" i="1053"/>
  <c r="AD25" i="1053"/>
  <c r="AC25" i="1053"/>
  <c r="AB25" i="1053"/>
  <c r="AA25" i="1053"/>
  <c r="Z25" i="1053"/>
  <c r="Y25" i="1053"/>
  <c r="X25" i="1053"/>
  <c r="W25" i="1053"/>
  <c r="V25" i="1053"/>
  <c r="U25" i="1053"/>
  <c r="T25" i="1053"/>
  <c r="AE24" i="1053"/>
  <c r="AD24" i="1053"/>
  <c r="AC24" i="1053"/>
  <c r="Y24" i="1053"/>
  <c r="X24" i="1053"/>
  <c r="W24" i="1053"/>
  <c r="V24" i="1053"/>
  <c r="U24" i="1053"/>
  <c r="T24" i="1053"/>
  <c r="L24" i="1053"/>
  <c r="M24" i="1053" s="1"/>
  <c r="T23" i="1053"/>
  <c r="T182" i="1053" s="1"/>
  <c r="H23" i="1053"/>
  <c r="H182" i="1053" s="1"/>
  <c r="T22" i="1053"/>
  <c r="H22" i="1053"/>
  <c r="U22" i="1053" s="1"/>
  <c r="T21" i="1053"/>
  <c r="I21" i="1053"/>
  <c r="H21" i="1053"/>
  <c r="T20" i="1053"/>
  <c r="H20" i="1053"/>
  <c r="T19" i="1053"/>
  <c r="I19" i="1053"/>
  <c r="H19" i="1053"/>
  <c r="T18" i="1053"/>
  <c r="H18" i="1053"/>
  <c r="T17" i="1053"/>
  <c r="I17" i="1053"/>
  <c r="J17" i="1053" s="1"/>
  <c r="K17" i="1053" s="1"/>
  <c r="H17" i="1053"/>
  <c r="T16" i="1053"/>
  <c r="H16" i="1053"/>
  <c r="U16" i="1053" s="1"/>
  <c r="T15" i="1053"/>
  <c r="H15" i="1053"/>
  <c r="T14" i="1053"/>
  <c r="H14" i="1053"/>
  <c r="I14" i="1053" s="1"/>
  <c r="U13" i="1053"/>
  <c r="T13" i="1053"/>
  <c r="H13" i="1053"/>
  <c r="I13" i="1053" s="1"/>
  <c r="T12" i="1053"/>
  <c r="H12" i="1053"/>
  <c r="H132" i="1053" s="1"/>
  <c r="T11" i="1053"/>
  <c r="H11" i="1053"/>
  <c r="T10" i="1053"/>
  <c r="T125" i="1053" s="1"/>
  <c r="H10" i="1053"/>
  <c r="H123" i="1053" s="1"/>
  <c r="U9" i="1053"/>
  <c r="U88" i="1053" s="1"/>
  <c r="U109" i="1053" s="1"/>
  <c r="T9" i="1053"/>
  <c r="T88" i="1053" s="1"/>
  <c r="T109" i="1053" s="1"/>
  <c r="I9" i="1053"/>
  <c r="J9" i="1053" s="1"/>
  <c r="H9" i="1053"/>
  <c r="H88" i="1053" s="1" a="1"/>
  <c r="H88" i="1053" s="1"/>
  <c r="T8" i="1053"/>
  <c r="H8" i="1053"/>
  <c r="H67" i="1053" s="1"/>
  <c r="AD7" i="1053"/>
  <c r="Z7" i="1053"/>
  <c r="Y7" i="1053"/>
  <c r="X7" i="1053"/>
  <c r="V7" i="1053"/>
  <c r="T7" i="1053"/>
  <c r="R7" i="1053"/>
  <c r="AE7" i="1053" s="1"/>
  <c r="Q7" i="1053"/>
  <c r="P7" i="1053"/>
  <c r="AC7" i="1053" s="1"/>
  <c r="O7" i="1053"/>
  <c r="AB7" i="1053" s="1"/>
  <c r="N7" i="1053"/>
  <c r="AA7" i="1053" s="1"/>
  <c r="M7" i="1053"/>
  <c r="L7" i="1053"/>
  <c r="K7" i="1053"/>
  <c r="J7" i="1053"/>
  <c r="W7" i="1053" s="1"/>
  <c r="I7" i="1053"/>
  <c r="H7" i="1053"/>
  <c r="U7" i="1053" s="1"/>
  <c r="AF6" i="1053"/>
  <c r="AB6" i="1053"/>
  <c r="X6" i="1053"/>
  <c r="W6" i="1053"/>
  <c r="T6" i="1053"/>
  <c r="T56" i="1053" s="1"/>
  <c r="Q6" i="1053"/>
  <c r="P6" i="1053"/>
  <c r="K6" i="1053"/>
  <c r="K77" i="1053" s="1"/>
  <c r="H6" i="1053"/>
  <c r="AE5" i="1053"/>
  <c r="AD5" i="1053"/>
  <c r="Z5" i="1053"/>
  <c r="Y5" i="1053"/>
  <c r="X5" i="1053"/>
  <c r="W5" i="1053"/>
  <c r="T5" i="1053"/>
  <c r="T124" i="1053" s="1"/>
  <c r="G149" i="1053" s="1"/>
  <c r="R5" i="1053"/>
  <c r="R124" i="1053" s="1"/>
  <c r="Q5" i="1053"/>
  <c r="P5" i="1053"/>
  <c r="O5" i="1053"/>
  <c r="O107" i="1053" s="1"/>
  <c r="N5" i="1053"/>
  <c r="M5" i="1053"/>
  <c r="L5" i="1053"/>
  <c r="K5" i="1053"/>
  <c r="K124" i="1053" s="1"/>
  <c r="J5" i="1053"/>
  <c r="J124" i="1053" s="1"/>
  <c r="I5" i="1053"/>
  <c r="H5" i="1053"/>
  <c r="U4" i="1053"/>
  <c r="T4" i="1053"/>
  <c r="I4" i="1053"/>
  <c r="V4" i="1053" s="1"/>
  <c r="H4" i="1053"/>
  <c r="AE2" i="1053"/>
  <c r="AE52" i="1053" s="1"/>
  <c r="AD2" i="1053"/>
  <c r="AC2" i="1053"/>
  <c r="AC52" i="1053" s="1"/>
  <c r="AB2" i="1053"/>
  <c r="AB52" i="1053" s="1"/>
  <c r="AA2" i="1053"/>
  <c r="AA52" i="1053" s="1"/>
  <c r="Z2" i="1053"/>
  <c r="Z52" i="1053" s="1"/>
  <c r="Y2" i="1053"/>
  <c r="X2" i="1053"/>
  <c r="X52" i="1053" s="1"/>
  <c r="W2" i="1053"/>
  <c r="V2" i="1053"/>
  <c r="V52" i="1053" s="1"/>
  <c r="U2" i="1053"/>
  <c r="U52" i="1053" s="1"/>
  <c r="T2" i="1053"/>
  <c r="T52" i="1053" s="1"/>
  <c r="R2" i="1053"/>
  <c r="R52" i="1053" s="1"/>
  <c r="Q2" i="1053"/>
  <c r="Q52" i="1053" s="1"/>
  <c r="P2" i="1053"/>
  <c r="P52" i="1053" s="1"/>
  <c r="O2" i="1053"/>
  <c r="O52" i="1053" s="1"/>
  <c r="N2" i="1053"/>
  <c r="N52" i="1053" s="1"/>
  <c r="M2" i="1053"/>
  <c r="L2" i="1053"/>
  <c r="L52" i="1053" s="1"/>
  <c r="K2" i="1053"/>
  <c r="K52" i="1053" s="1"/>
  <c r="J2" i="1053"/>
  <c r="J52" i="1053" s="1"/>
  <c r="I2" i="1053"/>
  <c r="I52" i="1053" s="1"/>
  <c r="H2" i="1053"/>
  <c r="H52" i="1053" s="1"/>
  <c r="G2" i="1053"/>
  <c r="G52" i="1053" s="1"/>
  <c r="B2" i="1053"/>
  <c r="B3" i="1053" s="1"/>
  <c r="B4" i="1053" s="1"/>
  <c r="B5" i="1053" s="1"/>
  <c r="B6" i="1053" s="1"/>
  <c r="B7" i="1053" s="1"/>
  <c r="B10" i="1053" s="1"/>
  <c r="B12" i="1053" s="1"/>
  <c r="B13" i="1053" s="1"/>
  <c r="B14" i="1053" s="1"/>
  <c r="B15" i="1053" s="1"/>
  <c r="B16" i="1053" s="1"/>
  <c r="B17" i="1053" s="1"/>
  <c r="B18" i="1053" s="1"/>
  <c r="B19" i="1053" s="1"/>
  <c r="B20" i="1053" s="1"/>
  <c r="B21" i="1053" s="1"/>
  <c r="B22" i="1053" s="1"/>
  <c r="B23" i="1053" s="1"/>
  <c r="B24" i="1053" s="1"/>
  <c r="B25" i="1053" s="1"/>
  <c r="B26" i="1053" s="1"/>
  <c r="U1" i="1053"/>
  <c r="V1" i="1053" s="1"/>
  <c r="W1" i="1053" s="1"/>
  <c r="X1" i="1053" s="1"/>
  <c r="Y1" i="1053" s="1"/>
  <c r="Z1" i="1053" s="1"/>
  <c r="AA1" i="1053" s="1"/>
  <c r="AB1" i="1053" s="1"/>
  <c r="AC1" i="1053" s="1"/>
  <c r="AD1" i="1053" s="1"/>
  <c r="AE1" i="1053" s="1"/>
  <c r="I1" i="1053"/>
  <c r="J1" i="1053" s="1"/>
  <c r="K1" i="1053" s="1"/>
  <c r="L1" i="1053" s="1"/>
  <c r="M1" i="1053" s="1"/>
  <c r="N1" i="1053" s="1"/>
  <c r="O1" i="1053" s="1"/>
  <c r="P1" i="1053" s="1"/>
  <c r="Q1" i="1053" s="1"/>
  <c r="R1" i="1053" s="1"/>
  <c r="H1" i="1053"/>
  <c r="AE238" i="1052"/>
  <c r="AD238" i="1052"/>
  <c r="AC238" i="1052"/>
  <c r="AB238" i="1052"/>
  <c r="AA238" i="1052"/>
  <c r="Z238" i="1052"/>
  <c r="Y238" i="1052"/>
  <c r="X238" i="1052"/>
  <c r="W238" i="1052"/>
  <c r="V238" i="1052"/>
  <c r="U238" i="1052"/>
  <c r="T238" i="1052"/>
  <c r="S238" i="1052"/>
  <c r="R238" i="1052"/>
  <c r="Q238" i="1052"/>
  <c r="P238" i="1052"/>
  <c r="O238" i="1052"/>
  <c r="N238" i="1052"/>
  <c r="M238" i="1052"/>
  <c r="L238" i="1052"/>
  <c r="K238" i="1052"/>
  <c r="J238" i="1052"/>
  <c r="I238" i="1052"/>
  <c r="H238" i="1052"/>
  <c r="G238" i="1052"/>
  <c r="S236" i="1052"/>
  <c r="G236" i="1052"/>
  <c r="AE235" i="1052"/>
  <c r="AD235" i="1052"/>
  <c r="AC235" i="1052"/>
  <c r="AB235" i="1052"/>
  <c r="AA235" i="1052"/>
  <c r="Z235" i="1052"/>
  <c r="Y235" i="1052"/>
  <c r="X235" i="1052"/>
  <c r="W235" i="1052"/>
  <c r="V235" i="1052"/>
  <c r="U235" i="1052"/>
  <c r="T235" i="1052"/>
  <c r="S235" i="1052"/>
  <c r="R235" i="1052"/>
  <c r="Q235" i="1052"/>
  <c r="P235" i="1052"/>
  <c r="O235" i="1052"/>
  <c r="N235" i="1052"/>
  <c r="M235" i="1052"/>
  <c r="L235" i="1052"/>
  <c r="K235" i="1052"/>
  <c r="J235" i="1052"/>
  <c r="I235" i="1052"/>
  <c r="H235" i="1052"/>
  <c r="G235" i="1052"/>
  <c r="AE234" i="1052"/>
  <c r="AD234" i="1052"/>
  <c r="AC234" i="1052"/>
  <c r="AB234" i="1052"/>
  <c r="AA234" i="1052"/>
  <c r="Z234" i="1052"/>
  <c r="Y234" i="1052"/>
  <c r="X234" i="1052"/>
  <c r="W234" i="1052"/>
  <c r="V234" i="1052"/>
  <c r="U234" i="1052"/>
  <c r="T234" i="1052"/>
  <c r="S234" i="1052"/>
  <c r="R234" i="1052"/>
  <c r="Q234" i="1052"/>
  <c r="P234" i="1052"/>
  <c r="O234" i="1052"/>
  <c r="N234" i="1052"/>
  <c r="M234" i="1052"/>
  <c r="L234" i="1052"/>
  <c r="K234" i="1052"/>
  <c r="J234" i="1052"/>
  <c r="I234" i="1052"/>
  <c r="H234" i="1052"/>
  <c r="G234" i="1052"/>
  <c r="AE233" i="1052"/>
  <c r="AD233" i="1052"/>
  <c r="AC233" i="1052"/>
  <c r="AB233" i="1052"/>
  <c r="AA233" i="1052"/>
  <c r="Z233" i="1052"/>
  <c r="Y233" i="1052"/>
  <c r="X233" i="1052"/>
  <c r="W233" i="1052"/>
  <c r="V233" i="1052"/>
  <c r="U233" i="1052"/>
  <c r="T233" i="1052"/>
  <c r="S233" i="1052"/>
  <c r="R233" i="1052"/>
  <c r="Q233" i="1052"/>
  <c r="P233" i="1052"/>
  <c r="O233" i="1052"/>
  <c r="N233" i="1052"/>
  <c r="M233" i="1052"/>
  <c r="L233" i="1052"/>
  <c r="K233" i="1052"/>
  <c r="J233" i="1052"/>
  <c r="I233" i="1052"/>
  <c r="H233" i="1052"/>
  <c r="G233" i="1052"/>
  <c r="B233" i="1052"/>
  <c r="B234" i="1052" s="1"/>
  <c r="B235" i="1052" s="1"/>
  <c r="B236" i="1052" s="1"/>
  <c r="B237" i="1052" s="1"/>
  <c r="AE232" i="1052"/>
  <c r="AD232" i="1052"/>
  <c r="AC232" i="1052"/>
  <c r="AB232" i="1052"/>
  <c r="AA232" i="1052"/>
  <c r="Z232" i="1052"/>
  <c r="Y232" i="1052"/>
  <c r="X232" i="1052"/>
  <c r="W232" i="1052"/>
  <c r="V232" i="1052"/>
  <c r="U232" i="1052"/>
  <c r="T232" i="1052"/>
  <c r="S232" i="1052"/>
  <c r="R232" i="1052"/>
  <c r="Q232" i="1052"/>
  <c r="P232" i="1052"/>
  <c r="O232" i="1052"/>
  <c r="N232" i="1052"/>
  <c r="M232" i="1052"/>
  <c r="L232" i="1052"/>
  <c r="K232" i="1052"/>
  <c r="J232" i="1052"/>
  <c r="I232" i="1052"/>
  <c r="H232" i="1052"/>
  <c r="G232" i="1052"/>
  <c r="B232" i="1052"/>
  <c r="AE231" i="1052"/>
  <c r="AD231" i="1052"/>
  <c r="AC231" i="1052"/>
  <c r="AB231" i="1052"/>
  <c r="AA231" i="1052"/>
  <c r="Z231" i="1052"/>
  <c r="Y231" i="1052"/>
  <c r="X231" i="1052"/>
  <c r="W231" i="1052"/>
  <c r="V231" i="1052"/>
  <c r="U231" i="1052"/>
  <c r="T231" i="1052"/>
  <c r="S231" i="1052"/>
  <c r="R231" i="1052"/>
  <c r="Q231" i="1052"/>
  <c r="P231" i="1052"/>
  <c r="O231" i="1052"/>
  <c r="N231" i="1052"/>
  <c r="M231" i="1052"/>
  <c r="L231" i="1052"/>
  <c r="K231" i="1052"/>
  <c r="J231" i="1052"/>
  <c r="I231" i="1052"/>
  <c r="H231" i="1052"/>
  <c r="G231" i="1052"/>
  <c r="F230" i="1052"/>
  <c r="F229" i="1052"/>
  <c r="S228" i="1052"/>
  <c r="L228" i="1052"/>
  <c r="G228" i="1052"/>
  <c r="AE227" i="1052"/>
  <c r="AD227" i="1052"/>
  <c r="AC227" i="1052"/>
  <c r="AB227" i="1052"/>
  <c r="AA227" i="1052"/>
  <c r="Z227" i="1052"/>
  <c r="Y227" i="1052"/>
  <c r="X227" i="1052"/>
  <c r="W227" i="1052"/>
  <c r="V227" i="1052"/>
  <c r="U227" i="1052"/>
  <c r="T227" i="1052"/>
  <c r="S227" i="1052"/>
  <c r="R227" i="1052"/>
  <c r="Q227" i="1052"/>
  <c r="P227" i="1052"/>
  <c r="O227" i="1052"/>
  <c r="N227" i="1052"/>
  <c r="M227" i="1052"/>
  <c r="L227" i="1052"/>
  <c r="K227" i="1052"/>
  <c r="J227" i="1052"/>
  <c r="I227" i="1052"/>
  <c r="H227" i="1052"/>
  <c r="G227" i="1052"/>
  <c r="AE226" i="1052"/>
  <c r="AD226" i="1052"/>
  <c r="AC226" i="1052"/>
  <c r="AB226" i="1052"/>
  <c r="AA226" i="1052"/>
  <c r="Z226" i="1052"/>
  <c r="Y226" i="1052"/>
  <c r="X226" i="1052"/>
  <c r="W226" i="1052"/>
  <c r="V226" i="1052"/>
  <c r="U226" i="1052"/>
  <c r="T226" i="1052"/>
  <c r="S226" i="1052"/>
  <c r="R226" i="1052"/>
  <c r="Q226" i="1052"/>
  <c r="P226" i="1052"/>
  <c r="O226" i="1052"/>
  <c r="N226" i="1052"/>
  <c r="M226" i="1052"/>
  <c r="L226" i="1052"/>
  <c r="K226" i="1052"/>
  <c r="J226" i="1052"/>
  <c r="I226" i="1052"/>
  <c r="H226" i="1052"/>
  <c r="G226" i="1052"/>
  <c r="S225" i="1052"/>
  <c r="AE224" i="1052"/>
  <c r="AD224" i="1052"/>
  <c r="AC224" i="1052"/>
  <c r="AB224" i="1052"/>
  <c r="AA224" i="1052"/>
  <c r="Z224" i="1052"/>
  <c r="Y224" i="1052"/>
  <c r="X224" i="1052"/>
  <c r="W224" i="1052"/>
  <c r="V224" i="1052"/>
  <c r="U224" i="1052"/>
  <c r="T224" i="1052"/>
  <c r="S224" i="1052"/>
  <c r="R224" i="1052"/>
  <c r="Q224" i="1052"/>
  <c r="P224" i="1052"/>
  <c r="O224" i="1052"/>
  <c r="N224" i="1052"/>
  <c r="M224" i="1052"/>
  <c r="L224" i="1052"/>
  <c r="K224" i="1052"/>
  <c r="J224" i="1052"/>
  <c r="I224" i="1052"/>
  <c r="H224" i="1052"/>
  <c r="G224" i="1052"/>
  <c r="AE223" i="1052"/>
  <c r="AD223" i="1052"/>
  <c r="AC223" i="1052"/>
  <c r="AB223" i="1052"/>
  <c r="AA223" i="1052"/>
  <c r="Z223" i="1052"/>
  <c r="Y223" i="1052"/>
  <c r="X223" i="1052"/>
  <c r="W223" i="1052"/>
  <c r="V223" i="1052"/>
  <c r="U223" i="1052"/>
  <c r="T223" i="1052"/>
  <c r="S223" i="1052"/>
  <c r="R223" i="1052"/>
  <c r="Q223" i="1052"/>
  <c r="P223" i="1052"/>
  <c r="O223" i="1052"/>
  <c r="N223" i="1052"/>
  <c r="M223" i="1052"/>
  <c r="L223" i="1052"/>
  <c r="K223" i="1052"/>
  <c r="J223" i="1052"/>
  <c r="I223" i="1052"/>
  <c r="H223" i="1052"/>
  <c r="G223" i="1052"/>
  <c r="D222" i="1052"/>
  <c r="S221" i="1052"/>
  <c r="S220" i="1052"/>
  <c r="S219" i="1052"/>
  <c r="D219" i="1052"/>
  <c r="S218" i="1052"/>
  <c r="D218" i="1052"/>
  <c r="S217" i="1052"/>
  <c r="G217" i="1052"/>
  <c r="S216" i="1052" a="1"/>
  <c r="S216" i="1052" s="1"/>
  <c r="S215" i="1052"/>
  <c r="S214" i="1052"/>
  <c r="S213" i="1052"/>
  <c r="S212" i="1052"/>
  <c r="S211" i="1052"/>
  <c r="S210" i="1052"/>
  <c r="S209" i="1052"/>
  <c r="S208" i="1052"/>
  <c r="S207" i="1052"/>
  <c r="S206" i="1052"/>
  <c r="S205" i="1052"/>
  <c r="S204" i="1052"/>
  <c r="S203" i="1052"/>
  <c r="S202" i="1052"/>
  <c r="AC199" i="1052"/>
  <c r="S199" i="1052"/>
  <c r="S198" i="1052"/>
  <c r="S197" i="1052"/>
  <c r="S196" i="1052"/>
  <c r="S195" i="1052"/>
  <c r="O195" i="1052"/>
  <c r="J195" i="1052"/>
  <c r="G195" i="1052"/>
  <c r="S194" i="1052"/>
  <c r="O194" i="1052"/>
  <c r="J194" i="1052"/>
  <c r="G194" i="1052"/>
  <c r="S193" i="1052"/>
  <c r="O193" i="1052"/>
  <c r="J193" i="1052"/>
  <c r="G193" i="1052"/>
  <c r="S192" i="1052"/>
  <c r="O192" i="1052"/>
  <c r="J192" i="1052"/>
  <c r="G192" i="1052"/>
  <c r="S191" i="1052"/>
  <c r="R191" i="1052"/>
  <c r="Q191" i="1052"/>
  <c r="P191" i="1052"/>
  <c r="O191" i="1052"/>
  <c r="N191" i="1052"/>
  <c r="M191" i="1052"/>
  <c r="L191" i="1052"/>
  <c r="K191" i="1052"/>
  <c r="J191" i="1052"/>
  <c r="I191" i="1052"/>
  <c r="H191" i="1052"/>
  <c r="G191" i="1052"/>
  <c r="AE190" i="1052"/>
  <c r="AD190" i="1052"/>
  <c r="AC190" i="1052"/>
  <c r="AB190" i="1052"/>
  <c r="AA190" i="1052"/>
  <c r="Z190" i="1052"/>
  <c r="Y190" i="1052"/>
  <c r="X190" i="1052"/>
  <c r="W190" i="1052"/>
  <c r="V190" i="1052"/>
  <c r="U190" i="1052"/>
  <c r="T190" i="1052"/>
  <c r="S190" i="1052"/>
  <c r="R190" i="1052"/>
  <c r="Q190" i="1052"/>
  <c r="P190" i="1052"/>
  <c r="O190" i="1052"/>
  <c r="N190" i="1052"/>
  <c r="M190" i="1052"/>
  <c r="L190" i="1052"/>
  <c r="K190" i="1052"/>
  <c r="J190" i="1052"/>
  <c r="I190" i="1052"/>
  <c r="H190" i="1052"/>
  <c r="G190" i="1052"/>
  <c r="S189" i="1052"/>
  <c r="R189" i="1052"/>
  <c r="Q189" i="1052"/>
  <c r="P189" i="1052"/>
  <c r="O189" i="1052"/>
  <c r="N189" i="1052"/>
  <c r="M189" i="1052"/>
  <c r="L189" i="1052"/>
  <c r="K189" i="1052"/>
  <c r="J189" i="1052"/>
  <c r="I189" i="1052"/>
  <c r="H189" i="1052"/>
  <c r="G189" i="1052"/>
  <c r="S188" i="1052"/>
  <c r="R188" i="1052"/>
  <c r="Q188" i="1052"/>
  <c r="P188" i="1052"/>
  <c r="O188" i="1052"/>
  <c r="N188" i="1052"/>
  <c r="M188" i="1052"/>
  <c r="L188" i="1052"/>
  <c r="K188" i="1052"/>
  <c r="J188" i="1052"/>
  <c r="I188" i="1052"/>
  <c r="H188" i="1052"/>
  <c r="G188" i="1052"/>
  <c r="AE183" i="1052"/>
  <c r="AD183" i="1052"/>
  <c r="AC183" i="1052"/>
  <c r="AB183" i="1052"/>
  <c r="AA183" i="1052"/>
  <c r="Z183" i="1052"/>
  <c r="Y183" i="1052"/>
  <c r="X183" i="1052"/>
  <c r="W183" i="1052"/>
  <c r="V183" i="1052"/>
  <c r="U183" i="1052"/>
  <c r="T183" i="1052"/>
  <c r="S183" i="1052"/>
  <c r="R183" i="1052"/>
  <c r="Q183" i="1052"/>
  <c r="P183" i="1052"/>
  <c r="O183" i="1052"/>
  <c r="N183" i="1052"/>
  <c r="M183" i="1052"/>
  <c r="L183" i="1052"/>
  <c r="K183" i="1052"/>
  <c r="J183" i="1052"/>
  <c r="I183" i="1052"/>
  <c r="H183" i="1052"/>
  <c r="G183" i="1052"/>
  <c r="S182" i="1052"/>
  <c r="G182" i="1052"/>
  <c r="S181" i="1052"/>
  <c r="G181" i="1052"/>
  <c r="S180" i="1052"/>
  <c r="G180" i="1052"/>
  <c r="S179" i="1052"/>
  <c r="G179" i="1052"/>
  <c r="S178" i="1052"/>
  <c r="G178" i="1052"/>
  <c r="S177" i="1052"/>
  <c r="G177" i="1052"/>
  <c r="B173" i="1052"/>
  <c r="B174" i="1052" s="1"/>
  <c r="B175" i="1052" s="1"/>
  <c r="B176" i="1052" s="1"/>
  <c r="B177" i="1052" s="1"/>
  <c r="B178" i="1052" s="1"/>
  <c r="B179" i="1052" s="1"/>
  <c r="B180" i="1052" s="1"/>
  <c r="B181" i="1052" s="1"/>
  <c r="B182" i="1052" s="1"/>
  <c r="B183" i="1052" s="1"/>
  <c r="B184" i="1052" s="1"/>
  <c r="B185" i="1052" s="1"/>
  <c r="B186" i="1052" s="1"/>
  <c r="S169" i="1052"/>
  <c r="S168" i="1052"/>
  <c r="G168" i="1052"/>
  <c r="B168" i="1052"/>
  <c r="B169" i="1052" s="1"/>
  <c r="B170" i="1052" s="1"/>
  <c r="B171" i="1052" s="1"/>
  <c r="B172" i="1052" s="1"/>
  <c r="S167" i="1052"/>
  <c r="G167" i="1052"/>
  <c r="G166" i="1052"/>
  <c r="G165" i="1052"/>
  <c r="G169" i="1052" s="1"/>
  <c r="T162" i="1052"/>
  <c r="G162" i="1052"/>
  <c r="G139" i="1052"/>
  <c r="G134" i="1052"/>
  <c r="G133" i="1052"/>
  <c r="G132" i="1052"/>
  <c r="G131" i="1052"/>
  <c r="G130" i="1052" a="1"/>
  <c r="G130" i="1052" s="1"/>
  <c r="G164" i="1052" s="1"/>
  <c r="G129" i="1052"/>
  <c r="G163" i="1052" s="1"/>
  <c r="F128" i="1052"/>
  <c r="F127" i="1052"/>
  <c r="G125" i="1052"/>
  <c r="G124" i="1052"/>
  <c r="G135" i="1052" s="1"/>
  <c r="G123" i="1052"/>
  <c r="G121" i="1052"/>
  <c r="G111" i="1052"/>
  <c r="B111" i="1052"/>
  <c r="G108" i="1052"/>
  <c r="B108" i="1052"/>
  <c r="G107" i="1052"/>
  <c r="B107" i="1052"/>
  <c r="D220" i="1052" s="1"/>
  <c r="S106" i="1052"/>
  <c r="G105" i="1052"/>
  <c r="D98" i="1052"/>
  <c r="D97" i="1052"/>
  <c r="D96" i="1052"/>
  <c r="D95" i="1052"/>
  <c r="D94" i="1052"/>
  <c r="D93" i="1052"/>
  <c r="G88" i="1052"/>
  <c r="G88" i="1052" a="1"/>
  <c r="R87" i="1052"/>
  <c r="R199" i="1052" s="1"/>
  <c r="Q87" i="1052"/>
  <c r="Q199" i="1052" s="1"/>
  <c r="P87" i="1052"/>
  <c r="P199" i="1052" s="1"/>
  <c r="O87" i="1052"/>
  <c r="O199" i="1052" s="1"/>
  <c r="N87" i="1052"/>
  <c r="N199" i="1052" s="1"/>
  <c r="M87" i="1052"/>
  <c r="M199" i="1052" s="1"/>
  <c r="L87" i="1052"/>
  <c r="L199" i="1052" s="1"/>
  <c r="K87" i="1052"/>
  <c r="K199" i="1052" s="1"/>
  <c r="J87" i="1052"/>
  <c r="J199" i="1052" s="1"/>
  <c r="I87" i="1052"/>
  <c r="I199" i="1052" s="1"/>
  <c r="H87" i="1052"/>
  <c r="H199" i="1052" s="1"/>
  <c r="G87" i="1052"/>
  <c r="R86" i="1052"/>
  <c r="Q86" i="1052"/>
  <c r="O86" i="1052"/>
  <c r="N86" i="1052"/>
  <c r="M86" i="1052"/>
  <c r="L86" i="1052"/>
  <c r="K86" i="1052"/>
  <c r="J86" i="1052"/>
  <c r="I86" i="1052"/>
  <c r="H86" i="1052"/>
  <c r="R85" i="1052"/>
  <c r="Q85" i="1052"/>
  <c r="P85" i="1052"/>
  <c r="O85" i="1052"/>
  <c r="N85" i="1052"/>
  <c r="M85" i="1052"/>
  <c r="L85" i="1052"/>
  <c r="K85" i="1052"/>
  <c r="J85" i="1052"/>
  <c r="I85" i="1052"/>
  <c r="H85" i="1052"/>
  <c r="G85" i="1052"/>
  <c r="R84" i="1052"/>
  <c r="Q84" i="1052"/>
  <c r="P84" i="1052"/>
  <c r="O84" i="1052"/>
  <c r="N84" i="1052"/>
  <c r="M84" i="1052"/>
  <c r="L84" i="1052"/>
  <c r="K84" i="1052"/>
  <c r="J84" i="1052"/>
  <c r="I84" i="1052"/>
  <c r="H84" i="1052"/>
  <c r="G84" i="1052"/>
  <c r="R83" i="1052"/>
  <c r="Q83" i="1052"/>
  <c r="P83" i="1052"/>
  <c r="O83" i="1052"/>
  <c r="N83" i="1052"/>
  <c r="M83" i="1052"/>
  <c r="L83" i="1052"/>
  <c r="K83" i="1052"/>
  <c r="J83" i="1052"/>
  <c r="I83" i="1052"/>
  <c r="H83" i="1052"/>
  <c r="G83" i="1052"/>
  <c r="R82" i="1052"/>
  <c r="Q82" i="1052"/>
  <c r="P82" i="1052"/>
  <c r="O82" i="1052"/>
  <c r="N82" i="1052"/>
  <c r="M82" i="1052"/>
  <c r="L82" i="1052"/>
  <c r="K82" i="1052"/>
  <c r="J82" i="1052"/>
  <c r="I82" i="1052"/>
  <c r="H82" i="1052"/>
  <c r="G82" i="1052"/>
  <c r="R81" i="1052"/>
  <c r="Q81" i="1052"/>
  <c r="P81" i="1052"/>
  <c r="O81" i="1052"/>
  <c r="N81" i="1052"/>
  <c r="M81" i="1052"/>
  <c r="L81" i="1052"/>
  <c r="K81" i="1052"/>
  <c r="J81" i="1052"/>
  <c r="I81" i="1052"/>
  <c r="H81" i="1052"/>
  <c r="G81" i="1052"/>
  <c r="R80" i="1052"/>
  <c r="Q80" i="1052"/>
  <c r="P80" i="1052"/>
  <c r="O80" i="1052"/>
  <c r="N80" i="1052"/>
  <c r="M80" i="1052"/>
  <c r="L80" i="1052"/>
  <c r="K80" i="1052"/>
  <c r="J80" i="1052"/>
  <c r="I80" i="1052"/>
  <c r="H80" i="1052"/>
  <c r="G80" i="1052"/>
  <c r="R79" i="1052"/>
  <c r="Q79" i="1052"/>
  <c r="P79" i="1052"/>
  <c r="O79" i="1052"/>
  <c r="N79" i="1052"/>
  <c r="M79" i="1052"/>
  <c r="L79" i="1052"/>
  <c r="K79" i="1052"/>
  <c r="J79" i="1052"/>
  <c r="I79" i="1052"/>
  <c r="H79" i="1052"/>
  <c r="G79" i="1052"/>
  <c r="R78" i="1052"/>
  <c r="Q78" i="1052"/>
  <c r="P78" i="1052"/>
  <c r="O78" i="1052"/>
  <c r="N78" i="1052"/>
  <c r="M78" i="1052"/>
  <c r="L78" i="1052"/>
  <c r="K78" i="1052"/>
  <c r="J78" i="1052"/>
  <c r="I78" i="1052"/>
  <c r="H78" i="1052"/>
  <c r="G78" i="1052"/>
  <c r="O77" i="1052"/>
  <c r="J77" i="1052"/>
  <c r="G77" i="1052"/>
  <c r="R76" i="1052"/>
  <c r="Q76" i="1052"/>
  <c r="P76" i="1052"/>
  <c r="O76" i="1052"/>
  <c r="N76" i="1052"/>
  <c r="M76" i="1052"/>
  <c r="AF76" i="1052" s="1"/>
  <c r="L76" i="1052"/>
  <c r="K76" i="1052"/>
  <c r="J76" i="1052"/>
  <c r="I76" i="1052"/>
  <c r="H76" i="1052"/>
  <c r="G76" i="1052"/>
  <c r="R75" i="1052"/>
  <c r="Q75" i="1052"/>
  <c r="P75" i="1052"/>
  <c r="O75" i="1052"/>
  <c r="N75" i="1052"/>
  <c r="M75" i="1052"/>
  <c r="L75" i="1052"/>
  <c r="K75" i="1052"/>
  <c r="J75" i="1052"/>
  <c r="I75" i="1052"/>
  <c r="H75" i="1052"/>
  <c r="G75" i="1052"/>
  <c r="AF75" i="1052" s="1"/>
  <c r="R74" i="1052"/>
  <c r="Q74" i="1052"/>
  <c r="P74" i="1052"/>
  <c r="O74" i="1052"/>
  <c r="N74" i="1052"/>
  <c r="M74" i="1052"/>
  <c r="L74" i="1052"/>
  <c r="K74" i="1052"/>
  <c r="J74" i="1052"/>
  <c r="I74" i="1052"/>
  <c r="H74" i="1052"/>
  <c r="G74" i="1052"/>
  <c r="AF74" i="1052" s="1"/>
  <c r="R73" i="1052"/>
  <c r="Q73" i="1052"/>
  <c r="P73" i="1052"/>
  <c r="O73" i="1052"/>
  <c r="N73" i="1052"/>
  <c r="M73" i="1052"/>
  <c r="L73" i="1052"/>
  <c r="K73" i="1052"/>
  <c r="J73" i="1052"/>
  <c r="I73" i="1052"/>
  <c r="H73" i="1052"/>
  <c r="G73" i="1052"/>
  <c r="AF73" i="1052" s="1"/>
  <c r="R72" i="1052"/>
  <c r="Q72" i="1052"/>
  <c r="P72" i="1052"/>
  <c r="O72" i="1052"/>
  <c r="N72" i="1052"/>
  <c r="M72" i="1052"/>
  <c r="L72" i="1052"/>
  <c r="K72" i="1052"/>
  <c r="J72" i="1052"/>
  <c r="I72" i="1052"/>
  <c r="H72" i="1052"/>
  <c r="G72" i="1052"/>
  <c r="G220" i="1052" s="1"/>
  <c r="G69" i="1052"/>
  <c r="AG68" i="1052"/>
  <c r="E68" i="1052"/>
  <c r="D68" i="1052"/>
  <c r="G68" i="1052" s="1"/>
  <c r="C68" i="1052"/>
  <c r="AG67" i="1052"/>
  <c r="G67" i="1052"/>
  <c r="AG66" i="1052"/>
  <c r="G66" i="1052"/>
  <c r="AG65" i="1052"/>
  <c r="G65" i="1052"/>
  <c r="AG64" i="1052"/>
  <c r="G64" i="1052"/>
  <c r="AG63" i="1052"/>
  <c r="G63" i="1052"/>
  <c r="G211" i="1052" s="1"/>
  <c r="AG62" i="1052"/>
  <c r="E62" i="1052"/>
  <c r="D62" i="1052"/>
  <c r="C62" i="1052"/>
  <c r="AG61" i="1052"/>
  <c r="E61" i="1052"/>
  <c r="D61" i="1052"/>
  <c r="C61" i="1052"/>
  <c r="AG60" i="1052"/>
  <c r="E60" i="1052"/>
  <c r="D60" i="1052"/>
  <c r="C60" i="1052"/>
  <c r="AG59" i="1052"/>
  <c r="G59" i="1052"/>
  <c r="E59" i="1052"/>
  <c r="D59" i="1052"/>
  <c r="C59" i="1052"/>
  <c r="AG58" i="1052"/>
  <c r="E58" i="1052"/>
  <c r="D58" i="1052"/>
  <c r="C58" i="1052"/>
  <c r="AG57" i="1052"/>
  <c r="E57" i="1052"/>
  <c r="D57" i="1052"/>
  <c r="C57" i="1052"/>
  <c r="AG56" i="1052"/>
  <c r="G56" i="1052"/>
  <c r="AG55" i="1052"/>
  <c r="G55" i="1052"/>
  <c r="G203" i="1052" s="1"/>
  <c r="AG54" i="1052"/>
  <c r="G54" i="1052"/>
  <c r="AG53" i="1052"/>
  <c r="G53" i="1052"/>
  <c r="A52" i="1052"/>
  <c r="V51" i="1052"/>
  <c r="T51" i="1052"/>
  <c r="I51" i="1052"/>
  <c r="J51" i="1052" s="1"/>
  <c r="H51" i="1052"/>
  <c r="U51" i="1052" s="1"/>
  <c r="V50" i="1052"/>
  <c r="T50" i="1052"/>
  <c r="I50" i="1052"/>
  <c r="J50" i="1052" s="1"/>
  <c r="H50" i="1052"/>
  <c r="U50" i="1052" s="1"/>
  <c r="V49" i="1052"/>
  <c r="T49" i="1052"/>
  <c r="I49" i="1052"/>
  <c r="J49" i="1052" s="1"/>
  <c r="H49" i="1052"/>
  <c r="U49" i="1052" s="1"/>
  <c r="AE48" i="1052"/>
  <c r="AD48" i="1052"/>
  <c r="AC48" i="1052"/>
  <c r="AB48" i="1052"/>
  <c r="AA48" i="1052"/>
  <c r="Z48" i="1052"/>
  <c r="Y48" i="1052"/>
  <c r="X48" i="1052"/>
  <c r="W48" i="1052"/>
  <c r="V48" i="1052"/>
  <c r="U48" i="1052"/>
  <c r="T48" i="1052"/>
  <c r="AE47" i="1052"/>
  <c r="AD47" i="1052"/>
  <c r="AC47" i="1052"/>
  <c r="AB47" i="1052"/>
  <c r="AA47" i="1052"/>
  <c r="Z47" i="1052"/>
  <c r="Y47" i="1052"/>
  <c r="X47" i="1052"/>
  <c r="W47" i="1052"/>
  <c r="V47" i="1052"/>
  <c r="U47" i="1052"/>
  <c r="T47" i="1052"/>
  <c r="AE46" i="1052"/>
  <c r="AD46" i="1052"/>
  <c r="AC46" i="1052"/>
  <c r="AB46" i="1052"/>
  <c r="AA46" i="1052"/>
  <c r="Z46" i="1052"/>
  <c r="Y46" i="1052"/>
  <c r="X46" i="1052"/>
  <c r="W46" i="1052"/>
  <c r="V46" i="1052"/>
  <c r="U46" i="1052"/>
  <c r="T46" i="1052"/>
  <c r="AE45" i="1052"/>
  <c r="AD45" i="1052"/>
  <c r="AC45" i="1052"/>
  <c r="AB45" i="1052"/>
  <c r="AA45" i="1052"/>
  <c r="Z45" i="1052"/>
  <c r="Y45" i="1052"/>
  <c r="X45" i="1052"/>
  <c r="W45" i="1052"/>
  <c r="V45" i="1052"/>
  <c r="U45" i="1052"/>
  <c r="T45" i="1052"/>
  <c r="AE44" i="1052"/>
  <c r="AE86" i="1052" s="1"/>
  <c r="AD44" i="1052"/>
  <c r="AD86" i="1052" s="1"/>
  <c r="AB44" i="1052"/>
  <c r="AB86" i="1052" s="1"/>
  <c r="AA44" i="1052"/>
  <c r="AA86" i="1052" s="1"/>
  <c r="Z44" i="1052"/>
  <c r="Z86" i="1052" s="1"/>
  <c r="Y44" i="1052"/>
  <c r="Y86" i="1052" s="1"/>
  <c r="X44" i="1052"/>
  <c r="X86" i="1052" s="1"/>
  <c r="W44" i="1052"/>
  <c r="W86" i="1052" s="1"/>
  <c r="V44" i="1052"/>
  <c r="V86" i="1052" s="1"/>
  <c r="U44" i="1052"/>
  <c r="U86" i="1052" s="1"/>
  <c r="AF43" i="1052"/>
  <c r="AE43" i="1052"/>
  <c r="AD43" i="1052"/>
  <c r="AC43" i="1052"/>
  <c r="AB43" i="1052"/>
  <c r="AA43" i="1052"/>
  <c r="Z43" i="1052"/>
  <c r="Y43" i="1052"/>
  <c r="X43" i="1052"/>
  <c r="W43" i="1052"/>
  <c r="V43" i="1052"/>
  <c r="U43" i="1052"/>
  <c r="T43" i="1052"/>
  <c r="AE42" i="1052"/>
  <c r="AD42" i="1052"/>
  <c r="AC42" i="1052"/>
  <c r="AB42" i="1052"/>
  <c r="AA42" i="1052"/>
  <c r="Z42" i="1052"/>
  <c r="Y42" i="1052"/>
  <c r="X42" i="1052"/>
  <c r="W42" i="1052"/>
  <c r="V42" i="1052"/>
  <c r="U42" i="1052"/>
  <c r="T42" i="1052"/>
  <c r="AE41" i="1052"/>
  <c r="AE84" i="1052" s="1"/>
  <c r="AD41" i="1052"/>
  <c r="AD84" i="1052" s="1"/>
  <c r="AC41" i="1052"/>
  <c r="AC84" i="1052" s="1"/>
  <c r="AB41" i="1052"/>
  <c r="AB84" i="1052" s="1"/>
  <c r="AA41" i="1052"/>
  <c r="AA84" i="1052" s="1"/>
  <c r="Z41" i="1052"/>
  <c r="Z84" i="1052" s="1"/>
  <c r="Y41" i="1052"/>
  <c r="Y84" i="1052" s="1"/>
  <c r="X41" i="1052"/>
  <c r="X84" i="1052" s="1"/>
  <c r="W41" i="1052"/>
  <c r="W84" i="1052" s="1"/>
  <c r="V41" i="1052"/>
  <c r="V84" i="1052" s="1"/>
  <c r="U41" i="1052"/>
  <c r="U84" i="1052" s="1"/>
  <c r="T41" i="1052"/>
  <c r="T84" i="1052" s="1"/>
  <c r="AE40" i="1052"/>
  <c r="AD40" i="1052"/>
  <c r="AC40" i="1052"/>
  <c r="AB40" i="1052"/>
  <c r="AA40" i="1052"/>
  <c r="Z40" i="1052"/>
  <c r="Y40" i="1052"/>
  <c r="X40" i="1052"/>
  <c r="W40" i="1052"/>
  <c r="V40" i="1052"/>
  <c r="U40" i="1052"/>
  <c r="T40" i="1052"/>
  <c r="AE39" i="1052"/>
  <c r="AD39" i="1052"/>
  <c r="AC39" i="1052"/>
  <c r="AB39" i="1052"/>
  <c r="AA39" i="1052"/>
  <c r="Z39" i="1052"/>
  <c r="Y39" i="1052"/>
  <c r="X39" i="1052"/>
  <c r="W39" i="1052"/>
  <c r="V39" i="1052"/>
  <c r="U39" i="1052"/>
  <c r="T39" i="1052"/>
  <c r="AE38" i="1052"/>
  <c r="AD38" i="1052"/>
  <c r="AC38" i="1052"/>
  <c r="AB38" i="1052"/>
  <c r="AA38" i="1052"/>
  <c r="Z38" i="1052"/>
  <c r="Y38" i="1052"/>
  <c r="X38" i="1052"/>
  <c r="W38" i="1052"/>
  <c r="V38" i="1052"/>
  <c r="U38" i="1052"/>
  <c r="T38" i="1052"/>
  <c r="AE37" i="1052"/>
  <c r="AE79" i="1052" s="1"/>
  <c r="AD37" i="1052"/>
  <c r="AD79" i="1052" s="1"/>
  <c r="AC37" i="1052"/>
  <c r="AC79" i="1052" s="1"/>
  <c r="AB37" i="1052"/>
  <c r="AB79" i="1052" s="1"/>
  <c r="AA37" i="1052"/>
  <c r="AA79" i="1052" s="1"/>
  <c r="Z37" i="1052"/>
  <c r="Z79" i="1052" s="1"/>
  <c r="Y37" i="1052"/>
  <c r="Y79" i="1052" s="1"/>
  <c r="X37" i="1052"/>
  <c r="X79" i="1052" s="1"/>
  <c r="W37" i="1052"/>
  <c r="W79" i="1052" s="1"/>
  <c r="V37" i="1052"/>
  <c r="V79" i="1052" s="1"/>
  <c r="U37" i="1052"/>
  <c r="U79" i="1052" s="1"/>
  <c r="T37" i="1052"/>
  <c r="T79" i="1052" s="1"/>
  <c r="AE36" i="1052"/>
  <c r="AD36" i="1052"/>
  <c r="AC36" i="1052"/>
  <c r="AB36" i="1052"/>
  <c r="AA36" i="1052"/>
  <c r="Z36" i="1052"/>
  <c r="Y36" i="1052"/>
  <c r="X36" i="1052"/>
  <c r="W36" i="1052"/>
  <c r="V36" i="1052"/>
  <c r="U36" i="1052"/>
  <c r="T36" i="1052"/>
  <c r="AE35" i="1052"/>
  <c r="AD35" i="1052"/>
  <c r="AC35" i="1052"/>
  <c r="AB35" i="1052"/>
  <c r="AA35" i="1052"/>
  <c r="Z35" i="1052"/>
  <c r="Y35" i="1052"/>
  <c r="X35" i="1052"/>
  <c r="W35" i="1052"/>
  <c r="V35" i="1052"/>
  <c r="U35" i="1052"/>
  <c r="T35" i="1052"/>
  <c r="AE34" i="1052"/>
  <c r="AD34" i="1052"/>
  <c r="AC34" i="1052"/>
  <c r="AB34" i="1052"/>
  <c r="AA34" i="1052"/>
  <c r="Z34" i="1052"/>
  <c r="Y34" i="1052"/>
  <c r="X34" i="1052"/>
  <c r="W34" i="1052"/>
  <c r="V34" i="1052"/>
  <c r="U34" i="1052"/>
  <c r="T34" i="1052"/>
  <c r="AE33" i="1052"/>
  <c r="AE76" i="1052" s="1"/>
  <c r="AD33" i="1052"/>
  <c r="AD76" i="1052" s="1"/>
  <c r="AC33" i="1052"/>
  <c r="AC76" i="1052" s="1"/>
  <c r="AB33" i="1052"/>
  <c r="AB76" i="1052" s="1"/>
  <c r="AA33" i="1052"/>
  <c r="AA76" i="1052" s="1"/>
  <c r="Z33" i="1052"/>
  <c r="Z76" i="1052" s="1"/>
  <c r="Y33" i="1052"/>
  <c r="Y76" i="1052" s="1"/>
  <c r="X33" i="1052"/>
  <c r="X76" i="1052" s="1"/>
  <c r="W33" i="1052"/>
  <c r="W76" i="1052" s="1"/>
  <c r="V33" i="1052"/>
  <c r="V76" i="1052" s="1"/>
  <c r="U33" i="1052"/>
  <c r="U76" i="1052" s="1"/>
  <c r="T33" i="1052"/>
  <c r="T76" i="1052" s="1"/>
  <c r="AE32" i="1052"/>
  <c r="AD32" i="1052"/>
  <c r="AC32" i="1052"/>
  <c r="AB32" i="1052"/>
  <c r="AA32" i="1052"/>
  <c r="Z32" i="1052"/>
  <c r="Y32" i="1052"/>
  <c r="X32" i="1052"/>
  <c r="W32" i="1052"/>
  <c r="V32" i="1052"/>
  <c r="U32" i="1052"/>
  <c r="T32" i="1052"/>
  <c r="AE31" i="1052"/>
  <c r="AD31" i="1052"/>
  <c r="AC31" i="1052"/>
  <c r="AB31" i="1052"/>
  <c r="AA31" i="1052"/>
  <c r="Z31" i="1052"/>
  <c r="Y31" i="1052"/>
  <c r="X31" i="1052"/>
  <c r="W31" i="1052"/>
  <c r="V31" i="1052"/>
  <c r="U31" i="1052"/>
  <c r="T31" i="1052"/>
  <c r="AA30" i="1052"/>
  <c r="Y30" i="1052"/>
  <c r="U30" i="1052"/>
  <c r="T30" i="1052"/>
  <c r="N30" i="1052"/>
  <c r="O30" i="1052" s="1"/>
  <c r="M30" i="1052"/>
  <c r="Z30" i="1052" s="1"/>
  <c r="I30" i="1052"/>
  <c r="V30" i="1052" s="1"/>
  <c r="H30" i="1052"/>
  <c r="E30" i="1052"/>
  <c r="D30" i="1052"/>
  <c r="Y29" i="1052"/>
  <c r="Y228" i="1052" s="1"/>
  <c r="U29" i="1052"/>
  <c r="U228" i="1052" s="1"/>
  <c r="T29" i="1052"/>
  <c r="T228" i="1052" s="1"/>
  <c r="M29" i="1052"/>
  <c r="M228" i="1052" s="1"/>
  <c r="H29" i="1052"/>
  <c r="H228" i="1052" s="1"/>
  <c r="B29" i="1052"/>
  <c r="B30" i="1052" s="1"/>
  <c r="B31" i="1052" s="1"/>
  <c r="B32" i="1052" s="1"/>
  <c r="B33" i="1052" s="1"/>
  <c r="B34" i="1052" s="1"/>
  <c r="B35" i="1052" s="1"/>
  <c r="B36" i="1052" s="1"/>
  <c r="B37" i="1052" s="1"/>
  <c r="B38" i="1052" s="1"/>
  <c r="B39" i="1052" s="1"/>
  <c r="B40" i="1052" s="1"/>
  <c r="B41" i="1052" s="1"/>
  <c r="B42" i="1052" s="1"/>
  <c r="B43" i="1052" s="1"/>
  <c r="B44" i="1052" s="1"/>
  <c r="B45" i="1052" s="1"/>
  <c r="B46" i="1052" s="1"/>
  <c r="B47" i="1052" s="1"/>
  <c r="B48" i="1052" s="1"/>
  <c r="B49" i="1052" s="1"/>
  <c r="B50" i="1052" s="1"/>
  <c r="B51" i="1052" s="1"/>
  <c r="B52" i="1052" s="1"/>
  <c r="B53" i="1052" s="1"/>
  <c r="B54" i="1052" s="1"/>
  <c r="AE28" i="1052"/>
  <c r="AD28" i="1052"/>
  <c r="AC28" i="1052"/>
  <c r="AB28" i="1052"/>
  <c r="AA28" i="1052"/>
  <c r="Z28" i="1052"/>
  <c r="Y28" i="1052"/>
  <c r="X28" i="1052"/>
  <c r="W28" i="1052"/>
  <c r="V28" i="1052"/>
  <c r="U28" i="1052"/>
  <c r="T28" i="1052"/>
  <c r="AE27" i="1052"/>
  <c r="AE73" i="1052" s="1"/>
  <c r="AD27" i="1052"/>
  <c r="AD73" i="1052" s="1"/>
  <c r="AC27" i="1052"/>
  <c r="AC73" i="1052" s="1"/>
  <c r="AB27" i="1052"/>
  <c r="AB73" i="1052" s="1"/>
  <c r="AA27" i="1052"/>
  <c r="AA73" i="1052" s="1"/>
  <c r="Z27" i="1052"/>
  <c r="Z73" i="1052" s="1"/>
  <c r="Y27" i="1052"/>
  <c r="Y73" i="1052" s="1"/>
  <c r="X27" i="1052"/>
  <c r="X73" i="1052" s="1"/>
  <c r="W27" i="1052"/>
  <c r="W73" i="1052" s="1"/>
  <c r="V27" i="1052"/>
  <c r="V73" i="1052" s="1"/>
  <c r="U27" i="1052"/>
  <c r="U73" i="1052" s="1"/>
  <c r="T27" i="1052"/>
  <c r="T73" i="1052" s="1"/>
  <c r="AE26" i="1052"/>
  <c r="AE72" i="1052" s="1"/>
  <c r="AD26" i="1052"/>
  <c r="AD72" i="1052" s="1"/>
  <c r="AC26" i="1052"/>
  <c r="AC72" i="1052" s="1"/>
  <c r="AB26" i="1052"/>
  <c r="AB72" i="1052" s="1"/>
  <c r="AA26" i="1052"/>
  <c r="AA72" i="1052" s="1"/>
  <c r="Z26" i="1052"/>
  <c r="Z72" i="1052" s="1"/>
  <c r="Y26" i="1052"/>
  <c r="Y72" i="1052" s="1"/>
  <c r="X26" i="1052"/>
  <c r="X72" i="1052" s="1"/>
  <c r="W26" i="1052"/>
  <c r="W72" i="1052" s="1"/>
  <c r="V26" i="1052"/>
  <c r="V72" i="1052" s="1"/>
  <c r="U26" i="1052"/>
  <c r="U72" i="1052" s="1"/>
  <c r="T26" i="1052"/>
  <c r="T72" i="1052" s="1"/>
  <c r="AF25" i="1052"/>
  <c r="AE25" i="1052"/>
  <c r="AD25" i="1052"/>
  <c r="AC25" i="1052"/>
  <c r="AB25" i="1052"/>
  <c r="AA25" i="1052"/>
  <c r="Z25" i="1052"/>
  <c r="Y25" i="1052"/>
  <c r="X25" i="1052"/>
  <c r="W25" i="1052"/>
  <c r="V25" i="1052"/>
  <c r="U25" i="1052"/>
  <c r="T25" i="1052"/>
  <c r="AE24" i="1052"/>
  <c r="AD24" i="1052"/>
  <c r="AC24" i="1052"/>
  <c r="X24" i="1052"/>
  <c r="W24" i="1052"/>
  <c r="V24" i="1052"/>
  <c r="U24" i="1052"/>
  <c r="T24" i="1052"/>
  <c r="L24" i="1052"/>
  <c r="Y24" i="1052" s="1"/>
  <c r="T23" i="1052"/>
  <c r="H23" i="1052"/>
  <c r="H182" i="1052" s="1"/>
  <c r="T22" i="1052"/>
  <c r="H22" i="1052"/>
  <c r="U22" i="1052" s="1"/>
  <c r="T21" i="1052"/>
  <c r="H21" i="1052"/>
  <c r="H178" i="1052" s="1"/>
  <c r="T20" i="1052"/>
  <c r="H20" i="1052"/>
  <c r="T19" i="1052"/>
  <c r="H19" i="1052"/>
  <c r="T18" i="1052"/>
  <c r="T61" i="1052" s="1"/>
  <c r="H18" i="1052"/>
  <c r="T17" i="1052"/>
  <c r="H17" i="1052"/>
  <c r="T16" i="1052"/>
  <c r="H16" i="1052"/>
  <c r="T15" i="1052"/>
  <c r="H15" i="1052"/>
  <c r="T14" i="1052"/>
  <c r="H14" i="1052"/>
  <c r="T13" i="1052"/>
  <c r="T56" i="1052" s="1"/>
  <c r="H13" i="1052"/>
  <c r="T12" i="1052"/>
  <c r="H12" i="1052"/>
  <c r="T11" i="1052"/>
  <c r="T10" i="1052" s="1"/>
  <c r="H11" i="1052"/>
  <c r="J10" i="1052"/>
  <c r="I10" i="1052"/>
  <c r="H10" i="1052"/>
  <c r="W9" i="1052"/>
  <c r="W88" i="1052" s="1"/>
  <c r="W109" i="1052" s="1"/>
  <c r="V9" i="1052"/>
  <c r="V88" i="1052" s="1"/>
  <c r="V109" i="1052" s="1"/>
  <c r="T9" i="1052"/>
  <c r="T88" i="1052" s="1"/>
  <c r="J9" i="1052"/>
  <c r="J88" i="1052" s="1" a="1"/>
  <c r="J88" i="1052" s="1"/>
  <c r="I9" i="1052"/>
  <c r="I88" i="1052" s="1" a="1"/>
  <c r="I88" i="1052" s="1"/>
  <c r="H9" i="1052"/>
  <c r="H88" i="1052" s="1" a="1"/>
  <c r="H88" i="1052" s="1"/>
  <c r="V8" i="1052"/>
  <c r="U8" i="1052"/>
  <c r="T8" i="1052"/>
  <c r="I8" i="1052"/>
  <c r="H8" i="1052"/>
  <c r="AE7" i="1052"/>
  <c r="AD7" i="1052"/>
  <c r="AC7" i="1052"/>
  <c r="AB7" i="1052"/>
  <c r="W7" i="1052"/>
  <c r="V7" i="1052"/>
  <c r="U7" i="1052"/>
  <c r="T7" i="1052"/>
  <c r="R7" i="1052"/>
  <c r="Q7" i="1052"/>
  <c r="P7" i="1052"/>
  <c r="O7" i="1052"/>
  <c r="N7" i="1052"/>
  <c r="AA7" i="1052" s="1"/>
  <c r="M7" i="1052"/>
  <c r="Z7" i="1052" s="1"/>
  <c r="L7" i="1052"/>
  <c r="Y7" i="1052" s="1"/>
  <c r="K7" i="1052"/>
  <c r="X7" i="1052" s="1"/>
  <c r="J7" i="1052"/>
  <c r="I7" i="1052"/>
  <c r="H7" i="1052"/>
  <c r="AF6" i="1052"/>
  <c r="AD6" i="1052"/>
  <c r="AC6" i="1052"/>
  <c r="AB6" i="1052"/>
  <c r="W6" i="1052"/>
  <c r="U6" i="1052"/>
  <c r="T6" i="1052"/>
  <c r="Q6" i="1052"/>
  <c r="P6" i="1052"/>
  <c r="K6" i="1052"/>
  <c r="H6" i="1052"/>
  <c r="AD5" i="1052"/>
  <c r="AC5" i="1052"/>
  <c r="AB5" i="1052"/>
  <c r="AA5" i="1052"/>
  <c r="V5" i="1052"/>
  <c r="U5" i="1052"/>
  <c r="T5" i="1052"/>
  <c r="R5" i="1052"/>
  <c r="Q5" i="1052"/>
  <c r="P5" i="1052"/>
  <c r="O5" i="1052"/>
  <c r="N5" i="1052"/>
  <c r="M5" i="1052"/>
  <c r="L5" i="1052"/>
  <c r="K5" i="1052"/>
  <c r="J5" i="1052"/>
  <c r="I5" i="1052"/>
  <c r="H5" i="1052"/>
  <c r="U4" i="1052"/>
  <c r="T4" i="1052"/>
  <c r="H4" i="1052"/>
  <c r="AE2" i="1052"/>
  <c r="AE52" i="1052" s="1"/>
  <c r="AD2" i="1052"/>
  <c r="AD52" i="1052" s="1"/>
  <c r="AC2" i="1052"/>
  <c r="AC52" i="1052" s="1"/>
  <c r="AB2" i="1052"/>
  <c r="AB52" i="1052" s="1"/>
  <c r="AA2" i="1052"/>
  <c r="AA52" i="1052" s="1"/>
  <c r="Z2" i="1052"/>
  <c r="Z52" i="1052" s="1"/>
  <c r="Y2" i="1052"/>
  <c r="Y52" i="1052" s="1"/>
  <c r="X2" i="1052"/>
  <c r="X52" i="1052" s="1"/>
  <c r="W2" i="1052"/>
  <c r="W52" i="1052" s="1"/>
  <c r="V2" i="1052"/>
  <c r="V52" i="1052" s="1"/>
  <c r="U2" i="1052"/>
  <c r="U52" i="1052" s="1"/>
  <c r="T2" i="1052"/>
  <c r="T52" i="1052" s="1"/>
  <c r="R2" i="1052"/>
  <c r="R52" i="1052" s="1"/>
  <c r="Q2" i="1052"/>
  <c r="Q52" i="1052" s="1"/>
  <c r="P2" i="1052"/>
  <c r="P52" i="1052" s="1"/>
  <c r="O2" i="1052"/>
  <c r="O52" i="1052" s="1"/>
  <c r="N2" i="1052"/>
  <c r="N52" i="1052" s="1"/>
  <c r="M2" i="1052"/>
  <c r="M52" i="1052" s="1"/>
  <c r="L2" i="1052"/>
  <c r="L52" i="1052" s="1"/>
  <c r="K2" i="1052"/>
  <c r="K52" i="1052" s="1"/>
  <c r="J2" i="1052"/>
  <c r="J52" i="1052" s="1"/>
  <c r="I2" i="1052"/>
  <c r="I52" i="1052" s="1"/>
  <c r="H2" i="1052"/>
  <c r="H52" i="1052" s="1"/>
  <c r="G2" i="1052"/>
  <c r="G52" i="1052" s="1"/>
  <c r="B2" i="1052"/>
  <c r="B3" i="1052" s="1"/>
  <c r="B4" i="1052" s="1"/>
  <c r="B5" i="1052" s="1"/>
  <c r="B6" i="1052" s="1"/>
  <c r="B7" i="1052" s="1"/>
  <c r="B10" i="1052" s="1"/>
  <c r="B12" i="1052" s="1"/>
  <c r="B13" i="1052" s="1"/>
  <c r="B14" i="1052" s="1"/>
  <c r="B15" i="1052" s="1"/>
  <c r="B16" i="1052" s="1"/>
  <c r="B17" i="1052" s="1"/>
  <c r="B18" i="1052" s="1"/>
  <c r="B19" i="1052" s="1"/>
  <c r="B20" i="1052" s="1"/>
  <c r="B21" i="1052" s="1"/>
  <c r="B22" i="1052" s="1"/>
  <c r="B23" i="1052" s="1"/>
  <c r="B24" i="1052" s="1"/>
  <c r="B25" i="1052" s="1"/>
  <c r="B26" i="1052" s="1"/>
  <c r="U1" i="1052"/>
  <c r="V1" i="1052" s="1"/>
  <c r="W1" i="1052" s="1"/>
  <c r="X1" i="1052" s="1"/>
  <c r="Y1" i="1052" s="1"/>
  <c r="Z1" i="1052" s="1"/>
  <c r="AA1" i="1052" s="1"/>
  <c r="AB1" i="1052" s="1"/>
  <c r="AC1" i="1052" s="1"/>
  <c r="AD1" i="1052" s="1"/>
  <c r="AE1" i="1052" s="1"/>
  <c r="H1" i="1052"/>
  <c r="I1" i="1052" s="1"/>
  <c r="J1" i="1052" s="1"/>
  <c r="K1" i="1052" s="1"/>
  <c r="L1" i="1052" s="1"/>
  <c r="M1" i="1052" s="1"/>
  <c r="N1" i="1052" s="1"/>
  <c r="O1" i="1052" s="1"/>
  <c r="P1" i="1052" s="1"/>
  <c r="Q1" i="1052" s="1"/>
  <c r="R1" i="1052" s="1"/>
  <c r="AE238" i="1051"/>
  <c r="AD238" i="1051"/>
  <c r="AC238" i="1051"/>
  <c r="AB238" i="1051"/>
  <c r="AA238" i="1051"/>
  <c r="Z238" i="1051"/>
  <c r="Y238" i="1051"/>
  <c r="X238" i="1051"/>
  <c r="W238" i="1051"/>
  <c r="V238" i="1051"/>
  <c r="U238" i="1051"/>
  <c r="T238" i="1051"/>
  <c r="S238" i="1051"/>
  <c r="R238" i="1051"/>
  <c r="Q238" i="1051"/>
  <c r="P238" i="1051"/>
  <c r="O238" i="1051"/>
  <c r="N238" i="1051"/>
  <c r="M238" i="1051"/>
  <c r="L238" i="1051"/>
  <c r="K238" i="1051"/>
  <c r="J238" i="1051"/>
  <c r="I238" i="1051"/>
  <c r="H238" i="1051"/>
  <c r="G238" i="1051"/>
  <c r="S236" i="1051"/>
  <c r="G236" i="1051"/>
  <c r="AE235" i="1051"/>
  <c r="AD235" i="1051"/>
  <c r="AC235" i="1051"/>
  <c r="AB235" i="1051"/>
  <c r="AA235" i="1051"/>
  <c r="Z235" i="1051"/>
  <c r="Y235" i="1051"/>
  <c r="X235" i="1051"/>
  <c r="W235" i="1051"/>
  <c r="V235" i="1051"/>
  <c r="U235" i="1051"/>
  <c r="T235" i="1051"/>
  <c r="S235" i="1051"/>
  <c r="R235" i="1051"/>
  <c r="Q235" i="1051"/>
  <c r="P235" i="1051"/>
  <c r="O235" i="1051"/>
  <c r="N235" i="1051"/>
  <c r="M235" i="1051"/>
  <c r="L235" i="1051"/>
  <c r="K235" i="1051"/>
  <c r="J235" i="1051"/>
  <c r="I235" i="1051"/>
  <c r="H235" i="1051"/>
  <c r="G235" i="1051"/>
  <c r="AE234" i="1051"/>
  <c r="AD234" i="1051"/>
  <c r="AC234" i="1051"/>
  <c r="AB234" i="1051"/>
  <c r="AA234" i="1051"/>
  <c r="Z234" i="1051"/>
  <c r="Y234" i="1051"/>
  <c r="X234" i="1051"/>
  <c r="W234" i="1051"/>
  <c r="V234" i="1051"/>
  <c r="U234" i="1051"/>
  <c r="T234" i="1051"/>
  <c r="S234" i="1051"/>
  <c r="R234" i="1051"/>
  <c r="Q234" i="1051"/>
  <c r="P234" i="1051"/>
  <c r="O234" i="1051"/>
  <c r="N234" i="1051"/>
  <c r="M234" i="1051"/>
  <c r="L234" i="1051"/>
  <c r="K234" i="1051"/>
  <c r="J234" i="1051"/>
  <c r="I234" i="1051"/>
  <c r="H234" i="1051"/>
  <c r="G234" i="1051"/>
  <c r="AE233" i="1051"/>
  <c r="AD233" i="1051"/>
  <c r="AC233" i="1051"/>
  <c r="AB233" i="1051"/>
  <c r="AA233" i="1051"/>
  <c r="Z233" i="1051"/>
  <c r="Y233" i="1051"/>
  <c r="X233" i="1051"/>
  <c r="W233" i="1051"/>
  <c r="V233" i="1051"/>
  <c r="U233" i="1051"/>
  <c r="T233" i="1051"/>
  <c r="S233" i="1051"/>
  <c r="R233" i="1051"/>
  <c r="Q233" i="1051"/>
  <c r="P233" i="1051"/>
  <c r="O233" i="1051"/>
  <c r="N233" i="1051"/>
  <c r="M233" i="1051"/>
  <c r="L233" i="1051"/>
  <c r="K233" i="1051"/>
  <c r="J233" i="1051"/>
  <c r="I233" i="1051"/>
  <c r="H233" i="1051"/>
  <c r="G233" i="1051"/>
  <c r="B233" i="1051"/>
  <c r="B234" i="1051" s="1"/>
  <c r="B235" i="1051" s="1"/>
  <c r="B236" i="1051" s="1"/>
  <c r="B237" i="1051" s="1"/>
  <c r="AE232" i="1051"/>
  <c r="AD232" i="1051"/>
  <c r="AC232" i="1051"/>
  <c r="AB232" i="1051"/>
  <c r="AA232" i="1051"/>
  <c r="Z232" i="1051"/>
  <c r="Y232" i="1051"/>
  <c r="X232" i="1051"/>
  <c r="W232" i="1051"/>
  <c r="V232" i="1051"/>
  <c r="U232" i="1051"/>
  <c r="T232" i="1051"/>
  <c r="S232" i="1051"/>
  <c r="R232" i="1051"/>
  <c r="Q232" i="1051"/>
  <c r="P232" i="1051"/>
  <c r="O232" i="1051"/>
  <c r="N232" i="1051"/>
  <c r="M232" i="1051"/>
  <c r="L232" i="1051"/>
  <c r="K232" i="1051"/>
  <c r="J232" i="1051"/>
  <c r="I232" i="1051"/>
  <c r="H232" i="1051"/>
  <c r="G232" i="1051"/>
  <c r="B232" i="1051"/>
  <c r="AE231" i="1051"/>
  <c r="AD231" i="1051"/>
  <c r="AC231" i="1051"/>
  <c r="AB231" i="1051"/>
  <c r="AA231" i="1051"/>
  <c r="Z231" i="1051"/>
  <c r="Y231" i="1051"/>
  <c r="X231" i="1051"/>
  <c r="W231" i="1051"/>
  <c r="V231" i="1051"/>
  <c r="U231" i="1051"/>
  <c r="T231" i="1051"/>
  <c r="S231" i="1051"/>
  <c r="R231" i="1051"/>
  <c r="Q231" i="1051"/>
  <c r="P231" i="1051"/>
  <c r="O231" i="1051"/>
  <c r="N231" i="1051"/>
  <c r="M231" i="1051"/>
  <c r="L231" i="1051"/>
  <c r="K231" i="1051"/>
  <c r="J231" i="1051"/>
  <c r="I231" i="1051"/>
  <c r="H231" i="1051"/>
  <c r="G231" i="1051"/>
  <c r="F230" i="1051"/>
  <c r="F229" i="1051"/>
  <c r="S228" i="1051"/>
  <c r="L228" i="1051"/>
  <c r="G228" i="1051"/>
  <c r="AE227" i="1051"/>
  <c r="AD227" i="1051"/>
  <c r="AC227" i="1051"/>
  <c r="AB227" i="1051"/>
  <c r="AA227" i="1051"/>
  <c r="Z227" i="1051"/>
  <c r="Y227" i="1051"/>
  <c r="X227" i="1051"/>
  <c r="W227" i="1051"/>
  <c r="V227" i="1051"/>
  <c r="U227" i="1051"/>
  <c r="T227" i="1051"/>
  <c r="S227" i="1051"/>
  <c r="R227" i="1051"/>
  <c r="Q227" i="1051"/>
  <c r="P227" i="1051"/>
  <c r="O227" i="1051"/>
  <c r="N227" i="1051"/>
  <c r="M227" i="1051"/>
  <c r="L227" i="1051"/>
  <c r="K227" i="1051"/>
  <c r="J227" i="1051"/>
  <c r="I227" i="1051"/>
  <c r="H227" i="1051"/>
  <c r="G227" i="1051"/>
  <c r="AE226" i="1051"/>
  <c r="AD226" i="1051"/>
  <c r="AC226" i="1051"/>
  <c r="AB226" i="1051"/>
  <c r="AA226" i="1051"/>
  <c r="Z226" i="1051"/>
  <c r="Y226" i="1051"/>
  <c r="X226" i="1051"/>
  <c r="W226" i="1051"/>
  <c r="V226" i="1051"/>
  <c r="U226" i="1051"/>
  <c r="T226" i="1051"/>
  <c r="S226" i="1051"/>
  <c r="R226" i="1051"/>
  <c r="Q226" i="1051"/>
  <c r="P226" i="1051"/>
  <c r="O226" i="1051"/>
  <c r="N226" i="1051"/>
  <c r="M226" i="1051"/>
  <c r="L226" i="1051"/>
  <c r="K226" i="1051"/>
  <c r="J226" i="1051"/>
  <c r="I226" i="1051"/>
  <c r="H226" i="1051"/>
  <c r="G226" i="1051"/>
  <c r="S225" i="1051"/>
  <c r="AE224" i="1051"/>
  <c r="AD224" i="1051"/>
  <c r="AC224" i="1051"/>
  <c r="AB224" i="1051"/>
  <c r="AA224" i="1051"/>
  <c r="Z224" i="1051"/>
  <c r="Y224" i="1051"/>
  <c r="X224" i="1051"/>
  <c r="W224" i="1051"/>
  <c r="V224" i="1051"/>
  <c r="U224" i="1051"/>
  <c r="T224" i="1051"/>
  <c r="S224" i="1051"/>
  <c r="R224" i="1051"/>
  <c r="Q224" i="1051"/>
  <c r="P224" i="1051"/>
  <c r="O224" i="1051"/>
  <c r="N224" i="1051"/>
  <c r="M224" i="1051"/>
  <c r="L224" i="1051"/>
  <c r="K224" i="1051"/>
  <c r="J224" i="1051"/>
  <c r="I224" i="1051"/>
  <c r="H224" i="1051"/>
  <c r="G224" i="1051"/>
  <c r="AE223" i="1051"/>
  <c r="AD223" i="1051"/>
  <c r="AC223" i="1051"/>
  <c r="AB223" i="1051"/>
  <c r="AA223" i="1051"/>
  <c r="Z223" i="1051"/>
  <c r="Y223" i="1051"/>
  <c r="X223" i="1051"/>
  <c r="W223" i="1051"/>
  <c r="V223" i="1051"/>
  <c r="U223" i="1051"/>
  <c r="T223" i="1051"/>
  <c r="S223" i="1051"/>
  <c r="R223" i="1051"/>
  <c r="Q223" i="1051"/>
  <c r="P223" i="1051"/>
  <c r="O223" i="1051"/>
  <c r="N223" i="1051"/>
  <c r="M223" i="1051"/>
  <c r="L223" i="1051"/>
  <c r="K223" i="1051"/>
  <c r="J223" i="1051"/>
  <c r="I223" i="1051"/>
  <c r="H223" i="1051"/>
  <c r="G223" i="1051"/>
  <c r="D222" i="1051"/>
  <c r="S221" i="1051"/>
  <c r="S220" i="1051"/>
  <c r="S219" i="1051"/>
  <c r="D219" i="1051"/>
  <c r="S218" i="1051"/>
  <c r="G218" i="1051"/>
  <c r="D218" i="1051"/>
  <c r="S217" i="1051"/>
  <c r="G217" i="1051"/>
  <c r="S216" i="1051" a="1"/>
  <c r="S216" i="1051" s="1"/>
  <c r="S215" i="1051"/>
  <c r="S214" i="1051"/>
  <c r="S213" i="1051"/>
  <c r="S212" i="1051"/>
  <c r="S211" i="1051"/>
  <c r="S210" i="1051"/>
  <c r="S209" i="1051"/>
  <c r="S208" i="1051"/>
  <c r="S207" i="1051"/>
  <c r="S206" i="1051"/>
  <c r="S205" i="1051"/>
  <c r="S204" i="1051"/>
  <c r="S203" i="1051"/>
  <c r="S202" i="1051"/>
  <c r="AC199" i="1051"/>
  <c r="S199" i="1051"/>
  <c r="S198" i="1051"/>
  <c r="S197" i="1051"/>
  <c r="S196" i="1051"/>
  <c r="S195" i="1051"/>
  <c r="O195" i="1051"/>
  <c r="J195" i="1051"/>
  <c r="G195" i="1051"/>
  <c r="S194" i="1051"/>
  <c r="O194" i="1051"/>
  <c r="J194" i="1051"/>
  <c r="G194" i="1051"/>
  <c r="S193" i="1051"/>
  <c r="O193" i="1051"/>
  <c r="J193" i="1051"/>
  <c r="G193" i="1051"/>
  <c r="S192" i="1051"/>
  <c r="O192" i="1051"/>
  <c r="J192" i="1051"/>
  <c r="G192" i="1051"/>
  <c r="S191" i="1051"/>
  <c r="R191" i="1051"/>
  <c r="Q191" i="1051"/>
  <c r="P191" i="1051"/>
  <c r="O191" i="1051"/>
  <c r="N191" i="1051"/>
  <c r="M191" i="1051"/>
  <c r="L191" i="1051"/>
  <c r="K191" i="1051"/>
  <c r="J191" i="1051"/>
  <c r="I191" i="1051"/>
  <c r="H191" i="1051"/>
  <c r="G191" i="1051"/>
  <c r="AE190" i="1051"/>
  <c r="AD190" i="1051"/>
  <c r="AC190" i="1051"/>
  <c r="AB190" i="1051"/>
  <c r="AA190" i="1051"/>
  <c r="Z190" i="1051"/>
  <c r="Y190" i="1051"/>
  <c r="X190" i="1051"/>
  <c r="W190" i="1051"/>
  <c r="V190" i="1051"/>
  <c r="U190" i="1051"/>
  <c r="T190" i="1051"/>
  <c r="S190" i="1051"/>
  <c r="R190" i="1051"/>
  <c r="Q190" i="1051"/>
  <c r="P190" i="1051"/>
  <c r="O190" i="1051"/>
  <c r="N190" i="1051"/>
  <c r="M190" i="1051"/>
  <c r="L190" i="1051"/>
  <c r="K190" i="1051"/>
  <c r="J190" i="1051"/>
  <c r="I190" i="1051"/>
  <c r="H190" i="1051"/>
  <c r="G190" i="1051"/>
  <c r="S189" i="1051"/>
  <c r="R189" i="1051"/>
  <c r="Q189" i="1051"/>
  <c r="P189" i="1051"/>
  <c r="O189" i="1051"/>
  <c r="N189" i="1051"/>
  <c r="M189" i="1051"/>
  <c r="L189" i="1051"/>
  <c r="K189" i="1051"/>
  <c r="J189" i="1051"/>
  <c r="I189" i="1051"/>
  <c r="H189" i="1051"/>
  <c r="G189" i="1051"/>
  <c r="S188" i="1051"/>
  <c r="R188" i="1051"/>
  <c r="Q188" i="1051"/>
  <c r="P188" i="1051"/>
  <c r="O188" i="1051"/>
  <c r="N188" i="1051"/>
  <c r="M188" i="1051"/>
  <c r="L188" i="1051"/>
  <c r="K188" i="1051"/>
  <c r="J188" i="1051"/>
  <c r="I188" i="1051"/>
  <c r="H188" i="1051"/>
  <c r="G188" i="1051"/>
  <c r="AE183" i="1051"/>
  <c r="AD183" i="1051"/>
  <c r="AC183" i="1051"/>
  <c r="AB183" i="1051"/>
  <c r="AA183" i="1051"/>
  <c r="Z183" i="1051"/>
  <c r="Y183" i="1051"/>
  <c r="X183" i="1051"/>
  <c r="W183" i="1051"/>
  <c r="V183" i="1051"/>
  <c r="U183" i="1051"/>
  <c r="T183" i="1051"/>
  <c r="S183" i="1051"/>
  <c r="R183" i="1051"/>
  <c r="Q183" i="1051"/>
  <c r="P183" i="1051"/>
  <c r="O183" i="1051"/>
  <c r="N183" i="1051"/>
  <c r="M183" i="1051"/>
  <c r="L183" i="1051"/>
  <c r="K183" i="1051"/>
  <c r="J183" i="1051"/>
  <c r="I183" i="1051"/>
  <c r="H183" i="1051"/>
  <c r="G183" i="1051"/>
  <c r="S182" i="1051"/>
  <c r="G182" i="1051"/>
  <c r="S181" i="1051"/>
  <c r="G181" i="1051"/>
  <c r="S180" i="1051"/>
  <c r="G180" i="1051"/>
  <c r="S179" i="1051"/>
  <c r="G179" i="1051"/>
  <c r="S178" i="1051"/>
  <c r="G178" i="1051"/>
  <c r="S177" i="1051"/>
  <c r="G177" i="1051"/>
  <c r="S169" i="1051"/>
  <c r="B169" i="1051"/>
  <c r="B170" i="1051" s="1"/>
  <c r="B171" i="1051" s="1"/>
  <c r="B172" i="1051" s="1"/>
  <c r="B173" i="1051" s="1"/>
  <c r="B174" i="1051" s="1"/>
  <c r="B175" i="1051" s="1"/>
  <c r="B176" i="1051" s="1"/>
  <c r="B177" i="1051" s="1"/>
  <c r="B178" i="1051" s="1"/>
  <c r="B179" i="1051" s="1"/>
  <c r="B180" i="1051" s="1"/>
  <c r="B181" i="1051" s="1"/>
  <c r="B182" i="1051" s="1"/>
  <c r="B183" i="1051" s="1"/>
  <c r="B184" i="1051" s="1"/>
  <c r="B185" i="1051" s="1"/>
  <c r="B186" i="1051" s="1"/>
  <c r="S168" i="1051"/>
  <c r="G168" i="1051"/>
  <c r="B168" i="1051"/>
  <c r="S167" i="1051"/>
  <c r="G167" i="1051"/>
  <c r="G166" i="1051"/>
  <c r="G165" i="1051"/>
  <c r="G169" i="1051" s="1"/>
  <c r="Z162" i="1051"/>
  <c r="T162" i="1051"/>
  <c r="G162" i="1051"/>
  <c r="G139" i="1051"/>
  <c r="G135" i="1051"/>
  <c r="G134" i="1051"/>
  <c r="G133" i="1051"/>
  <c r="G132" i="1051"/>
  <c r="G131" i="1051"/>
  <c r="G130" i="1051" a="1"/>
  <c r="G130" i="1051" s="1"/>
  <c r="G164" i="1051" s="1"/>
  <c r="G129" i="1051"/>
  <c r="G163" i="1051" s="1"/>
  <c r="F128" i="1051"/>
  <c r="F127" i="1051"/>
  <c r="G125" i="1051"/>
  <c r="G124" i="1051"/>
  <c r="G123" i="1051"/>
  <c r="B111" i="1051"/>
  <c r="G108" i="1051"/>
  <c r="B108" i="1051"/>
  <c r="B107" i="1051"/>
  <c r="D220" i="1051" s="1"/>
  <c r="S106" i="1051"/>
  <c r="G105" i="1051"/>
  <c r="D98" i="1051"/>
  <c r="D97" i="1051"/>
  <c r="D96" i="1051"/>
  <c r="D95" i="1051"/>
  <c r="D94" i="1051"/>
  <c r="D93" i="1051"/>
  <c r="G88" i="1051" a="1"/>
  <c r="G88" i="1051" s="1"/>
  <c r="R87" i="1051"/>
  <c r="R199" i="1051" s="1"/>
  <c r="Q87" i="1051"/>
  <c r="Q199" i="1051" s="1"/>
  <c r="P87" i="1051"/>
  <c r="P199" i="1051" s="1"/>
  <c r="O87" i="1051"/>
  <c r="O199" i="1051" s="1"/>
  <c r="N87" i="1051"/>
  <c r="N199" i="1051" s="1"/>
  <c r="M87" i="1051"/>
  <c r="M199" i="1051" s="1"/>
  <c r="L87" i="1051"/>
  <c r="L199" i="1051" s="1"/>
  <c r="K87" i="1051"/>
  <c r="K199" i="1051" s="1"/>
  <c r="J87" i="1051"/>
  <c r="J199" i="1051" s="1"/>
  <c r="I87" i="1051"/>
  <c r="I199" i="1051" s="1"/>
  <c r="H87" i="1051"/>
  <c r="H199" i="1051" s="1"/>
  <c r="G87" i="1051"/>
  <c r="G199" i="1051" s="1"/>
  <c r="V86" i="1051"/>
  <c r="R86" i="1051"/>
  <c r="Q86" i="1051"/>
  <c r="O86" i="1051"/>
  <c r="N86" i="1051"/>
  <c r="M86" i="1051"/>
  <c r="L86" i="1051"/>
  <c r="K86" i="1051"/>
  <c r="J86" i="1051"/>
  <c r="I86" i="1051"/>
  <c r="H86" i="1051"/>
  <c r="X85" i="1051"/>
  <c r="R85" i="1051"/>
  <c r="Q85" i="1051"/>
  <c r="P85" i="1051"/>
  <c r="O85" i="1051"/>
  <c r="N85" i="1051"/>
  <c r="M85" i="1051"/>
  <c r="L85" i="1051"/>
  <c r="K85" i="1051"/>
  <c r="J85" i="1051"/>
  <c r="I85" i="1051"/>
  <c r="H85" i="1051"/>
  <c r="G85" i="1051"/>
  <c r="Z84" i="1051"/>
  <c r="R84" i="1051"/>
  <c r="Q84" i="1051"/>
  <c r="P84" i="1051"/>
  <c r="O84" i="1051"/>
  <c r="N84" i="1051"/>
  <c r="M84" i="1051"/>
  <c r="L84" i="1051"/>
  <c r="K84" i="1051"/>
  <c r="J84" i="1051"/>
  <c r="I84" i="1051"/>
  <c r="H84" i="1051"/>
  <c r="G84" i="1051"/>
  <c r="G216" i="1051" s="1" a="1"/>
  <c r="G216" i="1051" s="1"/>
  <c r="AD83" i="1051"/>
  <c r="R83" i="1051"/>
  <c r="Q83" i="1051"/>
  <c r="P83" i="1051"/>
  <c r="O83" i="1051"/>
  <c r="N83" i="1051"/>
  <c r="M83" i="1051"/>
  <c r="L83" i="1051"/>
  <c r="K83" i="1051"/>
  <c r="J83" i="1051"/>
  <c r="I83" i="1051"/>
  <c r="H83" i="1051"/>
  <c r="G83" i="1051"/>
  <c r="U82" i="1051"/>
  <c r="R82" i="1051"/>
  <c r="Q82" i="1051"/>
  <c r="P82" i="1051"/>
  <c r="O82" i="1051"/>
  <c r="N82" i="1051"/>
  <c r="M82" i="1051"/>
  <c r="L82" i="1051"/>
  <c r="K82" i="1051"/>
  <c r="J82" i="1051"/>
  <c r="I82" i="1051"/>
  <c r="H82" i="1051"/>
  <c r="G82" i="1051"/>
  <c r="AD81" i="1051"/>
  <c r="R81" i="1051"/>
  <c r="Q81" i="1051"/>
  <c r="P81" i="1051"/>
  <c r="O81" i="1051"/>
  <c r="N81" i="1051"/>
  <c r="M81" i="1051"/>
  <c r="L81" i="1051"/>
  <c r="K81" i="1051"/>
  <c r="J81" i="1051"/>
  <c r="I81" i="1051"/>
  <c r="H81" i="1051"/>
  <c r="G81" i="1051"/>
  <c r="R80" i="1051"/>
  <c r="Q80" i="1051"/>
  <c r="P80" i="1051"/>
  <c r="O80" i="1051"/>
  <c r="N80" i="1051"/>
  <c r="M80" i="1051"/>
  <c r="L80" i="1051"/>
  <c r="K80" i="1051"/>
  <c r="J80" i="1051"/>
  <c r="I80" i="1051"/>
  <c r="H80" i="1051"/>
  <c r="G80" i="1051"/>
  <c r="AF80" i="1051" s="1"/>
  <c r="U79" i="1051"/>
  <c r="R79" i="1051"/>
  <c r="Q79" i="1051"/>
  <c r="P79" i="1051"/>
  <c r="O79" i="1051"/>
  <c r="N79" i="1051"/>
  <c r="M79" i="1051"/>
  <c r="L79" i="1051"/>
  <c r="K79" i="1051"/>
  <c r="J79" i="1051"/>
  <c r="I79" i="1051"/>
  <c r="H79" i="1051"/>
  <c r="G79" i="1051"/>
  <c r="AA78" i="1051"/>
  <c r="Z78" i="1051"/>
  <c r="R78" i="1051"/>
  <c r="Q78" i="1051"/>
  <c r="P78" i="1051"/>
  <c r="O78" i="1051"/>
  <c r="N78" i="1051"/>
  <c r="M78" i="1051"/>
  <c r="L78" i="1051"/>
  <c r="K78" i="1051"/>
  <c r="J78" i="1051"/>
  <c r="I78" i="1051"/>
  <c r="H78" i="1051"/>
  <c r="G78" i="1051"/>
  <c r="O77" i="1051"/>
  <c r="J77" i="1051"/>
  <c r="G77" i="1051"/>
  <c r="Z76" i="1051"/>
  <c r="R76" i="1051"/>
  <c r="Q76" i="1051"/>
  <c r="P76" i="1051"/>
  <c r="O76" i="1051"/>
  <c r="N76" i="1051"/>
  <c r="M76" i="1051"/>
  <c r="L76" i="1051"/>
  <c r="K76" i="1051"/>
  <c r="J76" i="1051"/>
  <c r="I76" i="1051"/>
  <c r="H76" i="1051"/>
  <c r="G76" i="1051"/>
  <c r="AF76" i="1051" s="1"/>
  <c r="R75" i="1051"/>
  <c r="Q75" i="1051"/>
  <c r="P75" i="1051"/>
  <c r="O75" i="1051"/>
  <c r="N75" i="1051"/>
  <c r="M75" i="1051"/>
  <c r="L75" i="1051"/>
  <c r="K75" i="1051"/>
  <c r="J75" i="1051"/>
  <c r="I75" i="1051"/>
  <c r="H75" i="1051"/>
  <c r="G75" i="1051"/>
  <c r="AF75" i="1051" s="1"/>
  <c r="X74" i="1051"/>
  <c r="R74" i="1051"/>
  <c r="Q74" i="1051"/>
  <c r="P74" i="1051"/>
  <c r="O74" i="1051"/>
  <c r="N74" i="1051"/>
  <c r="M74" i="1051"/>
  <c r="L74" i="1051"/>
  <c r="K74" i="1051"/>
  <c r="J74" i="1051"/>
  <c r="I74" i="1051"/>
  <c r="H74" i="1051"/>
  <c r="G74" i="1051"/>
  <c r="V73" i="1051"/>
  <c r="R73" i="1051"/>
  <c r="Q73" i="1051"/>
  <c r="P73" i="1051"/>
  <c r="O73" i="1051"/>
  <c r="N73" i="1051"/>
  <c r="M73" i="1051"/>
  <c r="L73" i="1051"/>
  <c r="K73" i="1051"/>
  <c r="J73" i="1051"/>
  <c r="I73" i="1051"/>
  <c r="H73" i="1051"/>
  <c r="G73" i="1051"/>
  <c r="AE72" i="1051"/>
  <c r="T72" i="1051"/>
  <c r="R72" i="1051"/>
  <c r="R220" i="1051" s="1"/>
  <c r="Q72" i="1051"/>
  <c r="P72" i="1051"/>
  <c r="P220" i="1051" s="1"/>
  <c r="O72" i="1051"/>
  <c r="N72" i="1051"/>
  <c r="M72" i="1051"/>
  <c r="L72" i="1051"/>
  <c r="K72" i="1051"/>
  <c r="J72" i="1051"/>
  <c r="J220" i="1051" s="1"/>
  <c r="I72" i="1051"/>
  <c r="H72" i="1051"/>
  <c r="H220" i="1051" s="1"/>
  <c r="G72" i="1051"/>
  <c r="G69" i="1051"/>
  <c r="AG68" i="1051"/>
  <c r="H68" i="1051"/>
  <c r="G68" i="1051"/>
  <c r="G215" i="1051" s="1"/>
  <c r="E68" i="1051"/>
  <c r="D68" i="1051"/>
  <c r="C68" i="1051"/>
  <c r="AG67" i="1051"/>
  <c r="G67" i="1051"/>
  <c r="G214" i="1051" s="1"/>
  <c r="AG66" i="1051"/>
  <c r="G66" i="1051"/>
  <c r="AG65" i="1051"/>
  <c r="G65" i="1051"/>
  <c r="AG64" i="1051"/>
  <c r="G64" i="1051"/>
  <c r="AG63" i="1051"/>
  <c r="G63" i="1051"/>
  <c r="G211" i="1051" s="1"/>
  <c r="AG62" i="1051"/>
  <c r="E62" i="1051"/>
  <c r="D62" i="1051"/>
  <c r="C62" i="1051"/>
  <c r="AG61" i="1051"/>
  <c r="T61" i="1051"/>
  <c r="G61" i="1051"/>
  <c r="E61" i="1051"/>
  <c r="D61" i="1051"/>
  <c r="C61" i="1051"/>
  <c r="AG60" i="1051"/>
  <c r="E60" i="1051"/>
  <c r="D60" i="1051"/>
  <c r="C60" i="1051"/>
  <c r="AG59" i="1051"/>
  <c r="G59" i="1051"/>
  <c r="E59" i="1051"/>
  <c r="D59" i="1051"/>
  <c r="C59" i="1051"/>
  <c r="AG58" i="1051"/>
  <c r="E58" i="1051"/>
  <c r="D58" i="1051"/>
  <c r="C58" i="1051"/>
  <c r="AG57" i="1051"/>
  <c r="T57" i="1051"/>
  <c r="G57" i="1051"/>
  <c r="E57" i="1051"/>
  <c r="D57" i="1051"/>
  <c r="C57" i="1051"/>
  <c r="AG56" i="1051"/>
  <c r="G56" i="1051"/>
  <c r="G204" i="1051" s="1"/>
  <c r="AG55" i="1051"/>
  <c r="G55" i="1051"/>
  <c r="G203" i="1051" s="1"/>
  <c r="AG54" i="1051"/>
  <c r="G54" i="1051"/>
  <c r="G71" i="1051" s="1"/>
  <c r="AG53" i="1051"/>
  <c r="G53" i="1051"/>
  <c r="AB52" i="1051"/>
  <c r="A52" i="1051"/>
  <c r="T51" i="1051"/>
  <c r="H51" i="1051"/>
  <c r="U51" i="1051" s="1"/>
  <c r="T50" i="1051"/>
  <c r="H50" i="1051"/>
  <c r="U50" i="1051" s="1"/>
  <c r="T49" i="1051"/>
  <c r="H49" i="1051"/>
  <c r="U49" i="1051" s="1"/>
  <c r="AE48" i="1051"/>
  <c r="AD48" i="1051"/>
  <c r="AD87" i="1051" s="1"/>
  <c r="AD199" i="1051" s="1"/>
  <c r="AC48" i="1051"/>
  <c r="AB48" i="1051"/>
  <c r="AA48" i="1051"/>
  <c r="Z48" i="1051"/>
  <c r="Y48" i="1051"/>
  <c r="X48" i="1051"/>
  <c r="W48" i="1051"/>
  <c r="V48" i="1051"/>
  <c r="U48" i="1051"/>
  <c r="T48" i="1051"/>
  <c r="AE47" i="1051"/>
  <c r="AD47" i="1051"/>
  <c r="AC47" i="1051"/>
  <c r="AB47" i="1051"/>
  <c r="AA47" i="1051"/>
  <c r="Z47" i="1051"/>
  <c r="Y47" i="1051"/>
  <c r="X47" i="1051"/>
  <c r="W47" i="1051"/>
  <c r="V47" i="1051"/>
  <c r="U47" i="1051"/>
  <c r="T47" i="1051"/>
  <c r="AE46" i="1051"/>
  <c r="AD46" i="1051"/>
  <c r="AC46" i="1051"/>
  <c r="AB46" i="1051"/>
  <c r="AA46" i="1051"/>
  <c r="Z46" i="1051"/>
  <c r="Y46" i="1051"/>
  <c r="X46" i="1051"/>
  <c r="W46" i="1051"/>
  <c r="V46" i="1051"/>
  <c r="U46" i="1051"/>
  <c r="T46" i="1051"/>
  <c r="AE45" i="1051"/>
  <c r="AD45" i="1051"/>
  <c r="AC45" i="1051"/>
  <c r="AB45" i="1051"/>
  <c r="AA45" i="1051"/>
  <c r="Z45" i="1051"/>
  <c r="Y45" i="1051"/>
  <c r="X45" i="1051"/>
  <c r="W45" i="1051"/>
  <c r="V45" i="1051"/>
  <c r="U45" i="1051"/>
  <c r="T45" i="1051"/>
  <c r="AE44" i="1051"/>
  <c r="AE86" i="1051" s="1"/>
  <c r="AD44" i="1051"/>
  <c r="AD86" i="1051" s="1"/>
  <c r="AB44" i="1051"/>
  <c r="AB86" i="1051" s="1"/>
  <c r="AA44" i="1051"/>
  <c r="AA86" i="1051" s="1"/>
  <c r="Z44" i="1051"/>
  <c r="Z86" i="1051" s="1"/>
  <c r="Y44" i="1051"/>
  <c r="Y86" i="1051" s="1"/>
  <c r="X44" i="1051"/>
  <c r="X86" i="1051" s="1"/>
  <c r="W44" i="1051"/>
  <c r="W86" i="1051" s="1"/>
  <c r="V44" i="1051"/>
  <c r="U44" i="1051"/>
  <c r="U86" i="1051" s="1"/>
  <c r="AF43" i="1051"/>
  <c r="AE43" i="1051"/>
  <c r="AD43" i="1051"/>
  <c r="AC43" i="1051"/>
  <c r="AB43" i="1051"/>
  <c r="AA43" i="1051"/>
  <c r="Z43" i="1051"/>
  <c r="Y43" i="1051"/>
  <c r="X43" i="1051"/>
  <c r="W43" i="1051"/>
  <c r="V43" i="1051"/>
  <c r="U43" i="1051"/>
  <c r="T43" i="1051"/>
  <c r="AE42" i="1051"/>
  <c r="AD42" i="1051"/>
  <c r="AC42" i="1051"/>
  <c r="AB42" i="1051"/>
  <c r="AA42" i="1051"/>
  <c r="Z42" i="1051"/>
  <c r="Y42" i="1051"/>
  <c r="X42" i="1051"/>
  <c r="W42" i="1051"/>
  <c r="V42" i="1051"/>
  <c r="V87" i="1051" s="1"/>
  <c r="V199" i="1051" s="1"/>
  <c r="U42" i="1051"/>
  <c r="U87" i="1051" s="1"/>
  <c r="U199" i="1051" s="1"/>
  <c r="T42" i="1051"/>
  <c r="AE41" i="1051"/>
  <c r="AE84" i="1051" s="1"/>
  <c r="AD41" i="1051"/>
  <c r="AD84" i="1051" s="1"/>
  <c r="AC41" i="1051"/>
  <c r="AC84" i="1051" s="1"/>
  <c r="AB41" i="1051"/>
  <c r="AB84" i="1051" s="1"/>
  <c r="AA41" i="1051"/>
  <c r="AA84" i="1051" s="1"/>
  <c r="Z41" i="1051"/>
  <c r="Y41" i="1051"/>
  <c r="Y84" i="1051" s="1"/>
  <c r="X41" i="1051"/>
  <c r="X84" i="1051" s="1"/>
  <c r="W41" i="1051"/>
  <c r="W84" i="1051" s="1"/>
  <c r="V41" i="1051"/>
  <c r="V84" i="1051" s="1"/>
  <c r="U41" i="1051"/>
  <c r="U84" i="1051" s="1"/>
  <c r="T41" i="1051"/>
  <c r="T84" i="1051" s="1"/>
  <c r="AE40" i="1051"/>
  <c r="AD40" i="1051"/>
  <c r="AC40" i="1051"/>
  <c r="AB40" i="1051"/>
  <c r="AA40" i="1051"/>
  <c r="Z40" i="1051"/>
  <c r="Y40" i="1051"/>
  <c r="X40" i="1051"/>
  <c r="W40" i="1051"/>
  <c r="V40" i="1051"/>
  <c r="V83" i="1051" s="1"/>
  <c r="U40" i="1051"/>
  <c r="T40" i="1051"/>
  <c r="AE39" i="1051"/>
  <c r="AD39" i="1051"/>
  <c r="AC39" i="1051"/>
  <c r="AC82" i="1051" s="1"/>
  <c r="AB39" i="1051"/>
  <c r="AB82" i="1051" s="1"/>
  <c r="AA39" i="1051"/>
  <c r="Z39" i="1051"/>
  <c r="Y39" i="1051"/>
  <c r="X39" i="1051"/>
  <c r="W39" i="1051"/>
  <c r="V39" i="1051"/>
  <c r="U39" i="1051"/>
  <c r="T39" i="1051"/>
  <c r="AE38" i="1051"/>
  <c r="AE81" i="1051" s="1"/>
  <c r="AD38" i="1051"/>
  <c r="AC38" i="1051"/>
  <c r="AB38" i="1051"/>
  <c r="AA38" i="1051"/>
  <c r="Z38" i="1051"/>
  <c r="Y38" i="1051"/>
  <c r="X38" i="1051"/>
  <c r="W38" i="1051"/>
  <c r="V38" i="1051"/>
  <c r="U38" i="1051"/>
  <c r="T38" i="1051"/>
  <c r="B38" i="1051"/>
  <c r="B39" i="1051" s="1"/>
  <c r="B40" i="1051" s="1"/>
  <c r="B41" i="1051" s="1"/>
  <c r="B42" i="1051" s="1"/>
  <c r="B43" i="1051" s="1"/>
  <c r="B44" i="1051" s="1"/>
  <c r="B45" i="1051" s="1"/>
  <c r="B46" i="1051" s="1"/>
  <c r="B47" i="1051" s="1"/>
  <c r="B48" i="1051" s="1"/>
  <c r="B49" i="1051" s="1"/>
  <c r="B50" i="1051" s="1"/>
  <c r="B51" i="1051" s="1"/>
  <c r="B52" i="1051" s="1"/>
  <c r="B53" i="1051" s="1"/>
  <c r="B54" i="1051" s="1"/>
  <c r="AE37" i="1051"/>
  <c r="AE79" i="1051" s="1"/>
  <c r="AD37" i="1051"/>
  <c r="AD79" i="1051" s="1"/>
  <c r="AC37" i="1051"/>
  <c r="AC79" i="1051" s="1"/>
  <c r="AB37" i="1051"/>
  <c r="AB79" i="1051" s="1"/>
  <c r="AA37" i="1051"/>
  <c r="AA79" i="1051" s="1"/>
  <c r="Z37" i="1051"/>
  <c r="Z79" i="1051" s="1"/>
  <c r="Y37" i="1051"/>
  <c r="Y79" i="1051" s="1"/>
  <c r="X37" i="1051"/>
  <c r="X79" i="1051" s="1"/>
  <c r="W37" i="1051"/>
  <c r="W79" i="1051" s="1"/>
  <c r="V37" i="1051"/>
  <c r="V79" i="1051" s="1"/>
  <c r="U37" i="1051"/>
  <c r="T37" i="1051"/>
  <c r="T79" i="1051" s="1"/>
  <c r="AE36" i="1051"/>
  <c r="AD36" i="1051"/>
  <c r="AC36" i="1051"/>
  <c r="AB36" i="1051"/>
  <c r="AB78" i="1051" s="1"/>
  <c r="AA36" i="1051"/>
  <c r="Z36" i="1051"/>
  <c r="Y36" i="1051"/>
  <c r="X36" i="1051"/>
  <c r="W36" i="1051"/>
  <c r="V36" i="1051"/>
  <c r="U36" i="1051"/>
  <c r="T36" i="1051"/>
  <c r="T78" i="1051" s="1"/>
  <c r="AE35" i="1051"/>
  <c r="AD35" i="1051"/>
  <c r="AC35" i="1051"/>
  <c r="AB35" i="1051"/>
  <c r="AA35" i="1051"/>
  <c r="Z35" i="1051"/>
  <c r="Y35" i="1051"/>
  <c r="X35" i="1051"/>
  <c r="W35" i="1051"/>
  <c r="V35" i="1051"/>
  <c r="U35" i="1051"/>
  <c r="T35" i="1051"/>
  <c r="T80" i="1051" s="1"/>
  <c r="AE34" i="1051"/>
  <c r="AD34" i="1051"/>
  <c r="AC34" i="1051"/>
  <c r="AB34" i="1051"/>
  <c r="AA34" i="1051"/>
  <c r="AA85" i="1051" s="1"/>
  <c r="Z34" i="1051"/>
  <c r="Y34" i="1051"/>
  <c r="Y85" i="1051" s="1"/>
  <c r="X34" i="1051"/>
  <c r="X191" i="1051" s="1"/>
  <c r="W34" i="1051"/>
  <c r="V34" i="1051"/>
  <c r="V77" i="1051" s="1"/>
  <c r="U34" i="1051"/>
  <c r="U77" i="1051" s="1"/>
  <c r="T34" i="1051"/>
  <c r="T77" i="1051" s="1"/>
  <c r="AE33" i="1051"/>
  <c r="AE76" i="1051" s="1"/>
  <c r="AD33" i="1051"/>
  <c r="AD76" i="1051" s="1"/>
  <c r="AC33" i="1051"/>
  <c r="AC76" i="1051" s="1"/>
  <c r="AB33" i="1051"/>
  <c r="AB76" i="1051" s="1"/>
  <c r="AA33" i="1051"/>
  <c r="AA76" i="1051" s="1"/>
  <c r="Z33" i="1051"/>
  <c r="Y33" i="1051"/>
  <c r="Y76" i="1051" s="1"/>
  <c r="X33" i="1051"/>
  <c r="X76" i="1051" s="1"/>
  <c r="W33" i="1051"/>
  <c r="W76" i="1051" s="1"/>
  <c r="V33" i="1051"/>
  <c r="V76" i="1051" s="1"/>
  <c r="U33" i="1051"/>
  <c r="U76" i="1051" s="1"/>
  <c r="T33" i="1051"/>
  <c r="T76" i="1051" s="1"/>
  <c r="AE32" i="1051"/>
  <c r="AD32" i="1051"/>
  <c r="AC32" i="1051"/>
  <c r="AB32" i="1051"/>
  <c r="AB189" i="1051" s="1"/>
  <c r="AA32" i="1051"/>
  <c r="Z32" i="1051"/>
  <c r="Z189" i="1051" s="1"/>
  <c r="Y32" i="1051"/>
  <c r="X32" i="1051"/>
  <c r="X189" i="1051" s="1"/>
  <c r="W32" i="1051"/>
  <c r="V32" i="1051"/>
  <c r="U32" i="1051"/>
  <c r="T32" i="1051"/>
  <c r="T189" i="1051" s="1"/>
  <c r="AE31" i="1051"/>
  <c r="AE188" i="1051" s="1"/>
  <c r="AD31" i="1051"/>
  <c r="AC31" i="1051"/>
  <c r="AB31" i="1051"/>
  <c r="AB188" i="1051" s="1"/>
  <c r="AA31" i="1051"/>
  <c r="AA188" i="1051" s="1"/>
  <c r="Z31" i="1051"/>
  <c r="Z188" i="1051" s="1"/>
  <c r="Y31" i="1051"/>
  <c r="X31" i="1051"/>
  <c r="X188" i="1051" s="1"/>
  <c r="W31" i="1051"/>
  <c r="W188" i="1051" s="1"/>
  <c r="V31" i="1051"/>
  <c r="U31" i="1051"/>
  <c r="T31" i="1051"/>
  <c r="T188" i="1051" s="1"/>
  <c r="Y30" i="1051"/>
  <c r="T30" i="1051"/>
  <c r="M30" i="1051"/>
  <c r="Z30" i="1051" s="1"/>
  <c r="I30" i="1051"/>
  <c r="H30" i="1051"/>
  <c r="U30" i="1051" s="1"/>
  <c r="E30" i="1051"/>
  <c r="D30" i="1051"/>
  <c r="B30" i="1051"/>
  <c r="B31" i="1051" s="1"/>
  <c r="B32" i="1051" s="1"/>
  <c r="B33" i="1051" s="1"/>
  <c r="B34" i="1051" s="1"/>
  <c r="B35" i="1051" s="1"/>
  <c r="B36" i="1051" s="1"/>
  <c r="B37" i="1051" s="1"/>
  <c r="Y29" i="1051"/>
  <c r="Y228" i="1051" s="1"/>
  <c r="U29" i="1051"/>
  <c r="U228" i="1051" s="1"/>
  <c r="T29" i="1051"/>
  <c r="T228" i="1051" s="1"/>
  <c r="N29" i="1051"/>
  <c r="N228" i="1051" s="1"/>
  <c r="M29" i="1051"/>
  <c r="M228" i="1051" s="1"/>
  <c r="J29" i="1051"/>
  <c r="I29" i="1051"/>
  <c r="I228" i="1051" s="1"/>
  <c r="H29" i="1051"/>
  <c r="H228" i="1051" s="1"/>
  <c r="B29" i="1051"/>
  <c r="AE28" i="1051"/>
  <c r="AD28" i="1051"/>
  <c r="AC28" i="1051"/>
  <c r="AB28" i="1051"/>
  <c r="AA28" i="1051"/>
  <c r="Z28" i="1051"/>
  <c r="Y28" i="1051"/>
  <c r="X28" i="1051"/>
  <c r="W28" i="1051"/>
  <c r="V28" i="1051"/>
  <c r="U28" i="1051"/>
  <c r="T28" i="1051"/>
  <c r="AE27" i="1051"/>
  <c r="AE73" i="1051" s="1"/>
  <c r="AD27" i="1051"/>
  <c r="AD73" i="1051" s="1"/>
  <c r="AC27" i="1051"/>
  <c r="AC73" i="1051" s="1"/>
  <c r="AB27" i="1051"/>
  <c r="AB73" i="1051" s="1"/>
  <c r="AA27" i="1051"/>
  <c r="AA73" i="1051" s="1"/>
  <c r="Z27" i="1051"/>
  <c r="Z73" i="1051" s="1"/>
  <c r="Y27" i="1051"/>
  <c r="Y73" i="1051" s="1"/>
  <c r="X27" i="1051"/>
  <c r="X73" i="1051" s="1"/>
  <c r="W27" i="1051"/>
  <c r="W73" i="1051" s="1"/>
  <c r="V27" i="1051"/>
  <c r="U27" i="1051"/>
  <c r="U73" i="1051" s="1"/>
  <c r="T27" i="1051"/>
  <c r="T73" i="1051" s="1"/>
  <c r="AE26" i="1051"/>
  <c r="AD26" i="1051"/>
  <c r="AD72" i="1051" s="1"/>
  <c r="AC26" i="1051"/>
  <c r="AC72" i="1051" s="1"/>
  <c r="AB26" i="1051"/>
  <c r="AB72" i="1051" s="1"/>
  <c r="AA26" i="1051"/>
  <c r="AA72" i="1051" s="1"/>
  <c r="Z26" i="1051"/>
  <c r="Z72" i="1051" s="1"/>
  <c r="Y26" i="1051"/>
  <c r="Y72" i="1051" s="1"/>
  <c r="X26" i="1051"/>
  <c r="X72" i="1051" s="1"/>
  <c r="W26" i="1051"/>
  <c r="W72" i="1051" s="1"/>
  <c r="V26" i="1051"/>
  <c r="V72" i="1051" s="1"/>
  <c r="U26" i="1051"/>
  <c r="U72" i="1051" s="1"/>
  <c r="T26" i="1051"/>
  <c r="AF25" i="1051"/>
  <c r="AE25" i="1051"/>
  <c r="AD25" i="1051"/>
  <c r="AC25" i="1051"/>
  <c r="AB25" i="1051"/>
  <c r="AA25" i="1051"/>
  <c r="Z25" i="1051"/>
  <c r="Y25" i="1051"/>
  <c r="X25" i="1051"/>
  <c r="W25" i="1051"/>
  <c r="V25" i="1051"/>
  <c r="U25" i="1051"/>
  <c r="T25" i="1051"/>
  <c r="AE24" i="1051"/>
  <c r="AD24" i="1051"/>
  <c r="AC24" i="1051"/>
  <c r="Y24" i="1051"/>
  <c r="X24" i="1051"/>
  <c r="W24" i="1051"/>
  <c r="V24" i="1051"/>
  <c r="U24" i="1051"/>
  <c r="T24" i="1051"/>
  <c r="M24" i="1051"/>
  <c r="Z24" i="1051" s="1"/>
  <c r="L24" i="1051"/>
  <c r="T23" i="1051"/>
  <c r="T182" i="1051" s="1"/>
  <c r="I23" i="1051"/>
  <c r="I182" i="1051" s="1"/>
  <c r="H23" i="1051"/>
  <c r="H182" i="1051" s="1"/>
  <c r="T22" i="1051"/>
  <c r="I22" i="1051"/>
  <c r="V22" i="1051" s="1"/>
  <c r="H22" i="1051"/>
  <c r="U22" i="1051" s="1"/>
  <c r="T21" i="1051"/>
  <c r="T64" i="1051" s="1"/>
  <c r="I21" i="1051"/>
  <c r="H21" i="1051"/>
  <c r="T20" i="1051"/>
  <c r="I20" i="1051"/>
  <c r="H20" i="1051"/>
  <c r="T19" i="1051"/>
  <c r="I19" i="1051"/>
  <c r="H19" i="1051"/>
  <c r="T18" i="1051"/>
  <c r="I18" i="1051"/>
  <c r="H18" i="1051"/>
  <c r="T17" i="1051"/>
  <c r="T60" i="1051" s="1"/>
  <c r="I17" i="1051"/>
  <c r="H17" i="1051"/>
  <c r="T16" i="1051"/>
  <c r="T59" i="1051" s="1"/>
  <c r="H16" i="1051"/>
  <c r="I16" i="1051" s="1"/>
  <c r="T15" i="1051"/>
  <c r="H15" i="1051"/>
  <c r="T14" i="1051"/>
  <c r="H14" i="1051"/>
  <c r="T13" i="1051"/>
  <c r="T56" i="1051" s="1"/>
  <c r="H13" i="1051"/>
  <c r="U13" i="1051" s="1"/>
  <c r="U56" i="1051" s="1"/>
  <c r="T12" i="1051"/>
  <c r="H12" i="1051"/>
  <c r="U12" i="1051" s="1"/>
  <c r="T11" i="1051"/>
  <c r="I11" i="1051"/>
  <c r="H11" i="1051"/>
  <c r="U11" i="1051" s="1"/>
  <c r="U10" i="1051" s="1"/>
  <c r="T10" i="1051"/>
  <c r="T54" i="1051" s="1"/>
  <c r="H10" i="1051"/>
  <c r="B10" i="1051"/>
  <c r="B12" i="1051" s="1"/>
  <c r="B13" i="1051" s="1"/>
  <c r="B14" i="1051" s="1"/>
  <c r="B15" i="1051" s="1"/>
  <c r="B16" i="1051" s="1"/>
  <c r="B17" i="1051" s="1"/>
  <c r="B18" i="1051" s="1"/>
  <c r="B19" i="1051" s="1"/>
  <c r="B20" i="1051" s="1"/>
  <c r="B21" i="1051" s="1"/>
  <c r="B22" i="1051" s="1"/>
  <c r="B23" i="1051" s="1"/>
  <c r="B24" i="1051" s="1"/>
  <c r="B25" i="1051" s="1"/>
  <c r="B26" i="1051" s="1"/>
  <c r="T9" i="1051"/>
  <c r="T88" i="1051" s="1"/>
  <c r="T109" i="1051" s="1"/>
  <c r="H9" i="1051"/>
  <c r="U8" i="1051"/>
  <c r="T8" i="1051"/>
  <c r="H8" i="1051"/>
  <c r="H62" i="1051" s="1"/>
  <c r="AE7" i="1051"/>
  <c r="AD7" i="1051"/>
  <c r="AC7" i="1051"/>
  <c r="AB7" i="1051"/>
  <c r="W7" i="1051"/>
  <c r="V7" i="1051"/>
  <c r="U7" i="1051"/>
  <c r="T7" i="1051"/>
  <c r="R7" i="1051"/>
  <c r="Q7" i="1051"/>
  <c r="P7" i="1051"/>
  <c r="O7" i="1051"/>
  <c r="N7" i="1051"/>
  <c r="AA7" i="1051" s="1"/>
  <c r="M7" i="1051"/>
  <c r="Z7" i="1051" s="1"/>
  <c r="L7" i="1051"/>
  <c r="Y7" i="1051" s="1"/>
  <c r="K7" i="1051"/>
  <c r="X7" i="1051" s="1"/>
  <c r="J7" i="1051"/>
  <c r="I7" i="1051"/>
  <c r="H7" i="1051"/>
  <c r="AF6" i="1051"/>
  <c r="AC6" i="1051"/>
  <c r="AB6" i="1051"/>
  <c r="X6" i="1051"/>
  <c r="W6" i="1051"/>
  <c r="V6" i="1051"/>
  <c r="U6" i="1051"/>
  <c r="T6" i="1051"/>
  <c r="T63" i="1051" s="1"/>
  <c r="P6" i="1051"/>
  <c r="L6" i="1051"/>
  <c r="K6" i="1051"/>
  <c r="I6" i="1051"/>
  <c r="H6" i="1051"/>
  <c r="AD5" i="1051"/>
  <c r="AC5" i="1051"/>
  <c r="AB5" i="1051"/>
  <c r="AA5" i="1051"/>
  <c r="V5" i="1051"/>
  <c r="U5" i="1051"/>
  <c r="T5" i="1051"/>
  <c r="R5" i="1051"/>
  <c r="Q5" i="1051"/>
  <c r="P5" i="1051"/>
  <c r="O5" i="1051"/>
  <c r="N5" i="1051"/>
  <c r="M5" i="1051"/>
  <c r="L5" i="1051"/>
  <c r="K5" i="1051"/>
  <c r="J5" i="1051"/>
  <c r="I5" i="1051"/>
  <c r="H5" i="1051"/>
  <c r="V4" i="1051"/>
  <c r="U4" i="1051"/>
  <c r="T4" i="1051"/>
  <c r="K4" i="1051"/>
  <c r="J4" i="1051"/>
  <c r="I4" i="1051"/>
  <c r="H4" i="1051"/>
  <c r="AE2" i="1051"/>
  <c r="AE52" i="1051" s="1"/>
  <c r="AD2" i="1051"/>
  <c r="AD52" i="1051" s="1"/>
  <c r="AC2" i="1051"/>
  <c r="AC52" i="1051" s="1"/>
  <c r="AB2" i="1051"/>
  <c r="AA2" i="1051"/>
  <c r="AA52" i="1051" s="1"/>
  <c r="Z2" i="1051"/>
  <c r="Z52" i="1051" s="1"/>
  <c r="Y2" i="1051"/>
  <c r="Y52" i="1051" s="1"/>
  <c r="X2" i="1051"/>
  <c r="X52" i="1051" s="1"/>
  <c r="W2" i="1051"/>
  <c r="W52" i="1051" s="1"/>
  <c r="V2" i="1051"/>
  <c r="V52" i="1051" s="1"/>
  <c r="U2" i="1051"/>
  <c r="U52" i="1051" s="1"/>
  <c r="T2" i="1051"/>
  <c r="T52" i="1051" s="1"/>
  <c r="R2" i="1051"/>
  <c r="R52" i="1051" s="1"/>
  <c r="Q2" i="1051"/>
  <c r="Q52" i="1051" s="1"/>
  <c r="P2" i="1051"/>
  <c r="P52" i="1051" s="1"/>
  <c r="O2" i="1051"/>
  <c r="O52" i="1051" s="1"/>
  <c r="N2" i="1051"/>
  <c r="N52" i="1051" s="1"/>
  <c r="M2" i="1051"/>
  <c r="M52" i="1051" s="1"/>
  <c r="L2" i="1051"/>
  <c r="L52" i="1051" s="1"/>
  <c r="K2" i="1051"/>
  <c r="K52" i="1051" s="1"/>
  <c r="J2" i="1051"/>
  <c r="J52" i="1051" s="1"/>
  <c r="I2" i="1051"/>
  <c r="I52" i="1051" s="1"/>
  <c r="H2" i="1051"/>
  <c r="H52" i="1051" s="1"/>
  <c r="G2" i="1051"/>
  <c r="G52" i="1051" s="1"/>
  <c r="B2" i="1051"/>
  <c r="B3" i="1051" s="1"/>
  <c r="B4" i="1051" s="1"/>
  <c r="B5" i="1051" s="1"/>
  <c r="B6" i="1051" s="1"/>
  <c r="B7" i="1051" s="1"/>
  <c r="V1" i="1051"/>
  <c r="W1" i="1051" s="1"/>
  <c r="X1" i="1051" s="1"/>
  <c r="Y1" i="1051" s="1"/>
  <c r="Z1" i="1051" s="1"/>
  <c r="AA1" i="1051" s="1"/>
  <c r="AB1" i="1051" s="1"/>
  <c r="AC1" i="1051" s="1"/>
  <c r="AD1" i="1051" s="1"/>
  <c r="AE1" i="1051" s="1"/>
  <c r="U1" i="1051"/>
  <c r="H1" i="1051"/>
  <c r="I1" i="1051" s="1"/>
  <c r="J1" i="1051" s="1"/>
  <c r="K1" i="1051" s="1"/>
  <c r="L1" i="1051" s="1"/>
  <c r="M1" i="1051" s="1"/>
  <c r="N1" i="1051" s="1"/>
  <c r="O1" i="1051" s="1"/>
  <c r="P1" i="1051" s="1"/>
  <c r="Q1" i="1051" s="1"/>
  <c r="R1" i="1051" s="1"/>
  <c r="AE238" i="1050"/>
  <c r="AD238" i="1050"/>
  <c r="AC238" i="1050"/>
  <c r="AB238" i="1050"/>
  <c r="AA238" i="1050"/>
  <c r="Z238" i="1050"/>
  <c r="Y238" i="1050"/>
  <c r="X238" i="1050"/>
  <c r="W238" i="1050"/>
  <c r="V238" i="1050"/>
  <c r="U238" i="1050"/>
  <c r="T238" i="1050"/>
  <c r="S238" i="1050"/>
  <c r="R238" i="1050"/>
  <c r="Q238" i="1050"/>
  <c r="P238" i="1050"/>
  <c r="O238" i="1050"/>
  <c r="N238" i="1050"/>
  <c r="M238" i="1050"/>
  <c r="L238" i="1050"/>
  <c r="K238" i="1050"/>
  <c r="J238" i="1050"/>
  <c r="I238" i="1050"/>
  <c r="H238" i="1050"/>
  <c r="G238" i="1050"/>
  <c r="S236" i="1050"/>
  <c r="G236" i="1050"/>
  <c r="AE235" i="1050"/>
  <c r="AD235" i="1050"/>
  <c r="AC235" i="1050"/>
  <c r="AB235" i="1050"/>
  <c r="AA235" i="1050"/>
  <c r="Z235" i="1050"/>
  <c r="Y235" i="1050"/>
  <c r="X235" i="1050"/>
  <c r="W235" i="1050"/>
  <c r="V235" i="1050"/>
  <c r="U235" i="1050"/>
  <c r="T235" i="1050"/>
  <c r="S235" i="1050"/>
  <c r="R235" i="1050"/>
  <c r="Q235" i="1050"/>
  <c r="P235" i="1050"/>
  <c r="O235" i="1050"/>
  <c r="N235" i="1050"/>
  <c r="M235" i="1050"/>
  <c r="L235" i="1050"/>
  <c r="K235" i="1050"/>
  <c r="J235" i="1050"/>
  <c r="I235" i="1050"/>
  <c r="H235" i="1050"/>
  <c r="G235" i="1050"/>
  <c r="AE234" i="1050"/>
  <c r="AD234" i="1050"/>
  <c r="AC234" i="1050"/>
  <c r="AB234" i="1050"/>
  <c r="AA234" i="1050"/>
  <c r="Z234" i="1050"/>
  <c r="Y234" i="1050"/>
  <c r="X234" i="1050"/>
  <c r="W234" i="1050"/>
  <c r="V234" i="1050"/>
  <c r="U234" i="1050"/>
  <c r="T234" i="1050"/>
  <c r="S234" i="1050"/>
  <c r="R234" i="1050"/>
  <c r="Q234" i="1050"/>
  <c r="P234" i="1050"/>
  <c r="O234" i="1050"/>
  <c r="N234" i="1050"/>
  <c r="M234" i="1050"/>
  <c r="L234" i="1050"/>
  <c r="K234" i="1050"/>
  <c r="J234" i="1050"/>
  <c r="I234" i="1050"/>
  <c r="H234" i="1050"/>
  <c r="G234" i="1050"/>
  <c r="AE233" i="1050"/>
  <c r="AD233" i="1050"/>
  <c r="AC233" i="1050"/>
  <c r="AB233" i="1050"/>
  <c r="AA233" i="1050"/>
  <c r="Z233" i="1050"/>
  <c r="Y233" i="1050"/>
  <c r="X233" i="1050"/>
  <c r="W233" i="1050"/>
  <c r="V233" i="1050"/>
  <c r="U233" i="1050"/>
  <c r="T233" i="1050"/>
  <c r="S233" i="1050"/>
  <c r="R233" i="1050"/>
  <c r="Q233" i="1050"/>
  <c r="P233" i="1050"/>
  <c r="O233" i="1050"/>
  <c r="N233" i="1050"/>
  <c r="M233" i="1050"/>
  <c r="L233" i="1050"/>
  <c r="K233" i="1050"/>
  <c r="J233" i="1050"/>
  <c r="I233" i="1050"/>
  <c r="H233" i="1050"/>
  <c r="G233" i="1050"/>
  <c r="B233" i="1050"/>
  <c r="B234" i="1050" s="1"/>
  <c r="B235" i="1050" s="1"/>
  <c r="B236" i="1050" s="1"/>
  <c r="B237" i="1050" s="1"/>
  <c r="AE232" i="1050"/>
  <c r="AD232" i="1050"/>
  <c r="AC232" i="1050"/>
  <c r="AB232" i="1050"/>
  <c r="AA232" i="1050"/>
  <c r="Z232" i="1050"/>
  <c r="Y232" i="1050"/>
  <c r="X232" i="1050"/>
  <c r="W232" i="1050"/>
  <c r="V232" i="1050"/>
  <c r="U232" i="1050"/>
  <c r="T232" i="1050"/>
  <c r="S232" i="1050"/>
  <c r="R232" i="1050"/>
  <c r="Q232" i="1050"/>
  <c r="P232" i="1050"/>
  <c r="O232" i="1050"/>
  <c r="N232" i="1050"/>
  <c r="M232" i="1050"/>
  <c r="L232" i="1050"/>
  <c r="K232" i="1050"/>
  <c r="J232" i="1050"/>
  <c r="I232" i="1050"/>
  <c r="H232" i="1050"/>
  <c r="G232" i="1050"/>
  <c r="B232" i="1050"/>
  <c r="AE231" i="1050"/>
  <c r="AD231" i="1050"/>
  <c r="AC231" i="1050"/>
  <c r="AB231" i="1050"/>
  <c r="AA231" i="1050"/>
  <c r="Z231" i="1050"/>
  <c r="Y231" i="1050"/>
  <c r="X231" i="1050"/>
  <c r="W231" i="1050"/>
  <c r="V231" i="1050"/>
  <c r="U231" i="1050"/>
  <c r="T231" i="1050"/>
  <c r="S231" i="1050"/>
  <c r="R231" i="1050"/>
  <c r="Q231" i="1050"/>
  <c r="P231" i="1050"/>
  <c r="O231" i="1050"/>
  <c r="N231" i="1050"/>
  <c r="M231" i="1050"/>
  <c r="L231" i="1050"/>
  <c r="K231" i="1050"/>
  <c r="J231" i="1050"/>
  <c r="I231" i="1050"/>
  <c r="H231" i="1050"/>
  <c r="G231" i="1050"/>
  <c r="F230" i="1050"/>
  <c r="F229" i="1050"/>
  <c r="S228" i="1050"/>
  <c r="L228" i="1050"/>
  <c r="G228" i="1050"/>
  <c r="AE227" i="1050"/>
  <c r="AD227" i="1050"/>
  <c r="AC227" i="1050"/>
  <c r="AB227" i="1050"/>
  <c r="AA227" i="1050"/>
  <c r="Z227" i="1050"/>
  <c r="Y227" i="1050"/>
  <c r="X227" i="1050"/>
  <c r="W227" i="1050"/>
  <c r="V227" i="1050"/>
  <c r="U227" i="1050"/>
  <c r="T227" i="1050"/>
  <c r="S227" i="1050"/>
  <c r="R227" i="1050"/>
  <c r="Q227" i="1050"/>
  <c r="P227" i="1050"/>
  <c r="O227" i="1050"/>
  <c r="N227" i="1050"/>
  <c r="M227" i="1050"/>
  <c r="L227" i="1050"/>
  <c r="K227" i="1050"/>
  <c r="J227" i="1050"/>
  <c r="I227" i="1050"/>
  <c r="H227" i="1050"/>
  <c r="G227" i="1050"/>
  <c r="AE226" i="1050"/>
  <c r="AD226" i="1050"/>
  <c r="AC226" i="1050"/>
  <c r="AB226" i="1050"/>
  <c r="AA226" i="1050"/>
  <c r="Z226" i="1050"/>
  <c r="Y226" i="1050"/>
  <c r="X226" i="1050"/>
  <c r="W226" i="1050"/>
  <c r="V226" i="1050"/>
  <c r="U226" i="1050"/>
  <c r="T226" i="1050"/>
  <c r="S226" i="1050"/>
  <c r="R226" i="1050"/>
  <c r="Q226" i="1050"/>
  <c r="P226" i="1050"/>
  <c r="O226" i="1050"/>
  <c r="N226" i="1050"/>
  <c r="M226" i="1050"/>
  <c r="L226" i="1050"/>
  <c r="K226" i="1050"/>
  <c r="J226" i="1050"/>
  <c r="I226" i="1050"/>
  <c r="H226" i="1050"/>
  <c r="G226" i="1050"/>
  <c r="S225" i="1050"/>
  <c r="AE224" i="1050"/>
  <c r="AD224" i="1050"/>
  <c r="AC224" i="1050"/>
  <c r="AB224" i="1050"/>
  <c r="AA224" i="1050"/>
  <c r="Z224" i="1050"/>
  <c r="Y224" i="1050"/>
  <c r="X224" i="1050"/>
  <c r="W224" i="1050"/>
  <c r="V224" i="1050"/>
  <c r="U224" i="1050"/>
  <c r="T224" i="1050"/>
  <c r="S224" i="1050"/>
  <c r="R224" i="1050"/>
  <c r="Q224" i="1050"/>
  <c r="P224" i="1050"/>
  <c r="O224" i="1050"/>
  <c r="N224" i="1050"/>
  <c r="M224" i="1050"/>
  <c r="L224" i="1050"/>
  <c r="K224" i="1050"/>
  <c r="J224" i="1050"/>
  <c r="I224" i="1050"/>
  <c r="H224" i="1050"/>
  <c r="G224" i="1050"/>
  <c r="AE223" i="1050"/>
  <c r="AD223" i="1050"/>
  <c r="AC223" i="1050"/>
  <c r="AB223" i="1050"/>
  <c r="AA223" i="1050"/>
  <c r="Z223" i="1050"/>
  <c r="Y223" i="1050"/>
  <c r="X223" i="1050"/>
  <c r="W223" i="1050"/>
  <c r="V223" i="1050"/>
  <c r="U223" i="1050"/>
  <c r="T223" i="1050"/>
  <c r="S223" i="1050"/>
  <c r="R223" i="1050"/>
  <c r="Q223" i="1050"/>
  <c r="P223" i="1050"/>
  <c r="O223" i="1050"/>
  <c r="N223" i="1050"/>
  <c r="M223" i="1050"/>
  <c r="L223" i="1050"/>
  <c r="K223" i="1050"/>
  <c r="J223" i="1050"/>
  <c r="I223" i="1050"/>
  <c r="H223" i="1050"/>
  <c r="G223" i="1050"/>
  <c r="D222" i="1050"/>
  <c r="S221" i="1050"/>
  <c r="S220" i="1050"/>
  <c r="S219" i="1050"/>
  <c r="D219" i="1050"/>
  <c r="S218" i="1050"/>
  <c r="D218" i="1050"/>
  <c r="S217" i="1050"/>
  <c r="G217" i="1050"/>
  <c r="S216" i="1050" a="1"/>
  <c r="S216" i="1050" s="1"/>
  <c r="S215" i="1050"/>
  <c r="S214" i="1050"/>
  <c r="S213" i="1050"/>
  <c r="S212" i="1050"/>
  <c r="S211" i="1050"/>
  <c r="S210" i="1050"/>
  <c r="S209" i="1050"/>
  <c r="S208" i="1050"/>
  <c r="S207" i="1050"/>
  <c r="S206" i="1050"/>
  <c r="S205" i="1050"/>
  <c r="S204" i="1050"/>
  <c r="S203" i="1050"/>
  <c r="S202" i="1050"/>
  <c r="AC199" i="1050"/>
  <c r="S199" i="1050"/>
  <c r="S198" i="1050"/>
  <c r="S197" i="1050"/>
  <c r="S196" i="1050"/>
  <c r="S195" i="1050"/>
  <c r="O195" i="1050"/>
  <c r="J195" i="1050"/>
  <c r="G195" i="1050"/>
  <c r="S194" i="1050"/>
  <c r="O194" i="1050"/>
  <c r="J194" i="1050"/>
  <c r="G194" i="1050"/>
  <c r="S193" i="1050"/>
  <c r="O193" i="1050"/>
  <c r="J193" i="1050"/>
  <c r="G193" i="1050"/>
  <c r="S192" i="1050"/>
  <c r="O192" i="1050"/>
  <c r="J192" i="1050"/>
  <c r="G192" i="1050"/>
  <c r="S191" i="1050"/>
  <c r="R191" i="1050"/>
  <c r="Q191" i="1050"/>
  <c r="P191" i="1050"/>
  <c r="O191" i="1050"/>
  <c r="N191" i="1050"/>
  <c r="M191" i="1050"/>
  <c r="L191" i="1050"/>
  <c r="K191" i="1050"/>
  <c r="J191" i="1050"/>
  <c r="I191" i="1050"/>
  <c r="H191" i="1050"/>
  <c r="G191" i="1050"/>
  <c r="AE190" i="1050"/>
  <c r="AD190" i="1050"/>
  <c r="AC190" i="1050"/>
  <c r="AB190" i="1050"/>
  <c r="AA190" i="1050"/>
  <c r="Z190" i="1050"/>
  <c r="Y190" i="1050"/>
  <c r="X190" i="1050"/>
  <c r="W190" i="1050"/>
  <c r="V190" i="1050"/>
  <c r="U190" i="1050"/>
  <c r="T190" i="1050"/>
  <c r="S190" i="1050"/>
  <c r="R190" i="1050"/>
  <c r="Q190" i="1050"/>
  <c r="P190" i="1050"/>
  <c r="O190" i="1050"/>
  <c r="N190" i="1050"/>
  <c r="M190" i="1050"/>
  <c r="L190" i="1050"/>
  <c r="K190" i="1050"/>
  <c r="J190" i="1050"/>
  <c r="I190" i="1050"/>
  <c r="H190" i="1050"/>
  <c r="G190" i="1050"/>
  <c r="S189" i="1050"/>
  <c r="R189" i="1050"/>
  <c r="Q189" i="1050"/>
  <c r="P189" i="1050"/>
  <c r="O189" i="1050"/>
  <c r="N189" i="1050"/>
  <c r="M189" i="1050"/>
  <c r="L189" i="1050"/>
  <c r="K189" i="1050"/>
  <c r="J189" i="1050"/>
  <c r="I189" i="1050"/>
  <c r="H189" i="1050"/>
  <c r="G189" i="1050"/>
  <c r="S188" i="1050"/>
  <c r="R188" i="1050"/>
  <c r="Q188" i="1050"/>
  <c r="P188" i="1050"/>
  <c r="O188" i="1050"/>
  <c r="N188" i="1050"/>
  <c r="M188" i="1050"/>
  <c r="L188" i="1050"/>
  <c r="K188" i="1050"/>
  <c r="J188" i="1050"/>
  <c r="I188" i="1050"/>
  <c r="H188" i="1050"/>
  <c r="G188" i="1050"/>
  <c r="AE183" i="1050"/>
  <c r="AD183" i="1050"/>
  <c r="AC183" i="1050"/>
  <c r="AB183" i="1050"/>
  <c r="AA183" i="1050"/>
  <c r="Z183" i="1050"/>
  <c r="Y183" i="1050"/>
  <c r="X183" i="1050"/>
  <c r="W183" i="1050"/>
  <c r="V183" i="1050"/>
  <c r="U183" i="1050"/>
  <c r="T183" i="1050"/>
  <c r="S183" i="1050"/>
  <c r="R183" i="1050"/>
  <c r="Q183" i="1050"/>
  <c r="P183" i="1050"/>
  <c r="O183" i="1050"/>
  <c r="N183" i="1050"/>
  <c r="M183" i="1050"/>
  <c r="L183" i="1050"/>
  <c r="K183" i="1050"/>
  <c r="J183" i="1050"/>
  <c r="I183" i="1050"/>
  <c r="H183" i="1050"/>
  <c r="G183" i="1050"/>
  <c r="S182" i="1050"/>
  <c r="G182" i="1050"/>
  <c r="S181" i="1050"/>
  <c r="G181" i="1050"/>
  <c r="S180" i="1050"/>
  <c r="G180" i="1050"/>
  <c r="S179" i="1050"/>
  <c r="G179" i="1050"/>
  <c r="S178" i="1050"/>
  <c r="G178" i="1050"/>
  <c r="S177" i="1050"/>
  <c r="G177" i="1050"/>
  <c r="B177" i="1050"/>
  <c r="B178" i="1050" s="1"/>
  <c r="B179" i="1050" s="1"/>
  <c r="B180" i="1050" s="1"/>
  <c r="B181" i="1050" s="1"/>
  <c r="B182" i="1050" s="1"/>
  <c r="B183" i="1050" s="1"/>
  <c r="B184" i="1050" s="1"/>
  <c r="B185" i="1050" s="1"/>
  <c r="B186" i="1050" s="1"/>
  <c r="B175" i="1050"/>
  <c r="B176" i="1050" s="1"/>
  <c r="B173" i="1050"/>
  <c r="B174" i="1050" s="1"/>
  <c r="B170" i="1050"/>
  <c r="B171" i="1050" s="1"/>
  <c r="B172" i="1050" s="1"/>
  <c r="S169" i="1050"/>
  <c r="S168" i="1050"/>
  <c r="G168" i="1050"/>
  <c r="B168" i="1050"/>
  <c r="B169" i="1050" s="1"/>
  <c r="S167" i="1050"/>
  <c r="G167" i="1050"/>
  <c r="G166" i="1050"/>
  <c r="G165" i="1050"/>
  <c r="G169" i="1050" s="1"/>
  <c r="T162" i="1050"/>
  <c r="G162" i="1050"/>
  <c r="G139" i="1050"/>
  <c r="G134" i="1050"/>
  <c r="G133" i="1050"/>
  <c r="G132" i="1050"/>
  <c r="G131" i="1050"/>
  <c r="G130" i="1050" a="1"/>
  <c r="G130" i="1050" s="1"/>
  <c r="G164" i="1050" s="1"/>
  <c r="G129" i="1050"/>
  <c r="G163" i="1050" s="1"/>
  <c r="F128" i="1050"/>
  <c r="F127" i="1050"/>
  <c r="G125" i="1050"/>
  <c r="M124" i="1050"/>
  <c r="G124" i="1050"/>
  <c r="G135" i="1050" s="1"/>
  <c r="G123" i="1050"/>
  <c r="G121" i="1050"/>
  <c r="G111" i="1050"/>
  <c r="B111" i="1050"/>
  <c r="D223" i="1050" s="1"/>
  <c r="G108" i="1050"/>
  <c r="B107" i="1050"/>
  <c r="S106" i="1050"/>
  <c r="G105" i="1050"/>
  <c r="G218" i="1050" s="1"/>
  <c r="D98" i="1050"/>
  <c r="D97" i="1050"/>
  <c r="D96" i="1050"/>
  <c r="D95" i="1050"/>
  <c r="D94" i="1050"/>
  <c r="D93" i="1050"/>
  <c r="G88" i="1050" a="1"/>
  <c r="G88" i="1050" s="1"/>
  <c r="R87" i="1050"/>
  <c r="R199" i="1050" s="1"/>
  <c r="Q87" i="1050"/>
  <c r="Q199" i="1050" s="1"/>
  <c r="P87" i="1050"/>
  <c r="P199" i="1050" s="1"/>
  <c r="O87" i="1050"/>
  <c r="O199" i="1050" s="1"/>
  <c r="N87" i="1050"/>
  <c r="N199" i="1050" s="1"/>
  <c r="M87" i="1050"/>
  <c r="M199" i="1050" s="1"/>
  <c r="L87" i="1050"/>
  <c r="L199" i="1050" s="1"/>
  <c r="K87" i="1050"/>
  <c r="K199" i="1050" s="1"/>
  <c r="J87" i="1050"/>
  <c r="J199" i="1050" s="1"/>
  <c r="I87" i="1050"/>
  <c r="I199" i="1050" s="1"/>
  <c r="H87" i="1050"/>
  <c r="H199" i="1050" s="1"/>
  <c r="G87" i="1050"/>
  <c r="G199" i="1050" s="1"/>
  <c r="AA86" i="1050"/>
  <c r="Z86" i="1050"/>
  <c r="R86" i="1050"/>
  <c r="Q86" i="1050"/>
  <c r="O86" i="1050"/>
  <c r="N86" i="1050"/>
  <c r="M86" i="1050"/>
  <c r="L86" i="1050"/>
  <c r="K86" i="1050"/>
  <c r="J86" i="1050"/>
  <c r="I86" i="1050"/>
  <c r="H86" i="1050"/>
  <c r="AE85" i="1050"/>
  <c r="AD85" i="1050"/>
  <c r="U85" i="1050"/>
  <c r="T85" i="1050"/>
  <c r="R85" i="1050"/>
  <c r="Q85" i="1050"/>
  <c r="P85" i="1050"/>
  <c r="O85" i="1050"/>
  <c r="N85" i="1050"/>
  <c r="M85" i="1050"/>
  <c r="L85" i="1050"/>
  <c r="K85" i="1050"/>
  <c r="J85" i="1050"/>
  <c r="I85" i="1050"/>
  <c r="H85" i="1050"/>
  <c r="G85" i="1050"/>
  <c r="AD84" i="1050"/>
  <c r="AC84" i="1050"/>
  <c r="U84" i="1050"/>
  <c r="T84" i="1050"/>
  <c r="R84" i="1050"/>
  <c r="Q84" i="1050"/>
  <c r="P84" i="1050"/>
  <c r="O84" i="1050"/>
  <c r="N84" i="1050"/>
  <c r="M84" i="1050"/>
  <c r="L84" i="1050"/>
  <c r="K84" i="1050"/>
  <c r="J84" i="1050"/>
  <c r="I84" i="1050"/>
  <c r="H84" i="1050"/>
  <c r="G84" i="1050"/>
  <c r="AE83" i="1050"/>
  <c r="AD83" i="1050"/>
  <c r="V83" i="1050"/>
  <c r="T83" i="1050"/>
  <c r="R83" i="1050"/>
  <c r="Q83" i="1050"/>
  <c r="P83" i="1050"/>
  <c r="O83" i="1050"/>
  <c r="N83" i="1050"/>
  <c r="M83" i="1050"/>
  <c r="L83" i="1050"/>
  <c r="K83" i="1050"/>
  <c r="J83" i="1050"/>
  <c r="I83" i="1050"/>
  <c r="H83" i="1050"/>
  <c r="G83" i="1050"/>
  <c r="AD82" i="1050"/>
  <c r="AC82" i="1050"/>
  <c r="U82" i="1050"/>
  <c r="T82" i="1050"/>
  <c r="R82" i="1050"/>
  <c r="Q82" i="1050"/>
  <c r="P82" i="1050"/>
  <c r="O82" i="1050"/>
  <c r="N82" i="1050"/>
  <c r="M82" i="1050"/>
  <c r="L82" i="1050"/>
  <c r="K82" i="1050"/>
  <c r="J82" i="1050"/>
  <c r="I82" i="1050"/>
  <c r="H82" i="1050"/>
  <c r="G82" i="1050"/>
  <c r="AD81" i="1050"/>
  <c r="AC81" i="1050"/>
  <c r="U81" i="1050"/>
  <c r="T81" i="1050"/>
  <c r="R81" i="1050"/>
  <c r="Q81" i="1050"/>
  <c r="P81" i="1050"/>
  <c r="O81" i="1050"/>
  <c r="N81" i="1050"/>
  <c r="M81" i="1050"/>
  <c r="L81" i="1050"/>
  <c r="K81" i="1050"/>
  <c r="J81" i="1050"/>
  <c r="I81" i="1050"/>
  <c r="H81" i="1050"/>
  <c r="G81" i="1050"/>
  <c r="R80" i="1050"/>
  <c r="Q80" i="1050"/>
  <c r="P80" i="1050"/>
  <c r="O80" i="1050"/>
  <c r="N80" i="1050"/>
  <c r="M80" i="1050"/>
  <c r="L80" i="1050"/>
  <c r="K80" i="1050"/>
  <c r="J80" i="1050"/>
  <c r="I80" i="1050"/>
  <c r="H80" i="1050"/>
  <c r="G80" i="1050"/>
  <c r="AE79" i="1050"/>
  <c r="AD79" i="1050"/>
  <c r="V79" i="1050"/>
  <c r="R79" i="1050"/>
  <c r="Q79" i="1050"/>
  <c r="P79" i="1050"/>
  <c r="O79" i="1050"/>
  <c r="N79" i="1050"/>
  <c r="M79" i="1050"/>
  <c r="L79" i="1050"/>
  <c r="K79" i="1050"/>
  <c r="J79" i="1050"/>
  <c r="I79" i="1050"/>
  <c r="H79" i="1050"/>
  <c r="G79" i="1050"/>
  <c r="AD78" i="1050"/>
  <c r="AB78" i="1050"/>
  <c r="T78" i="1050"/>
  <c r="R78" i="1050"/>
  <c r="Q78" i="1050"/>
  <c r="P78" i="1050"/>
  <c r="O78" i="1050"/>
  <c r="N78" i="1050"/>
  <c r="M78" i="1050"/>
  <c r="L78" i="1050"/>
  <c r="K78" i="1050"/>
  <c r="J78" i="1050"/>
  <c r="I78" i="1050"/>
  <c r="H78" i="1050"/>
  <c r="G78" i="1050"/>
  <c r="O77" i="1050"/>
  <c r="J77" i="1050"/>
  <c r="G77" i="1050"/>
  <c r="AB76" i="1050"/>
  <c r="AA76" i="1050"/>
  <c r="R76" i="1050"/>
  <c r="Q76" i="1050"/>
  <c r="P76" i="1050"/>
  <c r="O76" i="1050"/>
  <c r="N76" i="1050"/>
  <c r="M76" i="1050"/>
  <c r="L76" i="1050"/>
  <c r="K76" i="1050"/>
  <c r="J76" i="1050"/>
  <c r="I76" i="1050"/>
  <c r="AF76" i="1050" s="1"/>
  <c r="H76" i="1050"/>
  <c r="G76" i="1050"/>
  <c r="AC75" i="1050"/>
  <c r="AB75" i="1050"/>
  <c r="T75" i="1050"/>
  <c r="R75" i="1050"/>
  <c r="Q75" i="1050"/>
  <c r="P75" i="1050"/>
  <c r="O75" i="1050"/>
  <c r="N75" i="1050"/>
  <c r="M75" i="1050"/>
  <c r="L75" i="1050"/>
  <c r="K75" i="1050"/>
  <c r="J75" i="1050"/>
  <c r="I75" i="1050"/>
  <c r="H75" i="1050"/>
  <c r="G75" i="1050"/>
  <c r="AF75" i="1050" s="1"/>
  <c r="AD74" i="1050"/>
  <c r="AB74" i="1050"/>
  <c r="T74" i="1050"/>
  <c r="R74" i="1050"/>
  <c r="Q74" i="1050"/>
  <c r="P74" i="1050"/>
  <c r="O74" i="1050"/>
  <c r="N74" i="1050"/>
  <c r="M74" i="1050"/>
  <c r="L74" i="1050"/>
  <c r="K74" i="1050"/>
  <c r="J74" i="1050"/>
  <c r="I74" i="1050"/>
  <c r="H74" i="1050"/>
  <c r="G74" i="1050"/>
  <c r="T73" i="1050"/>
  <c r="R73" i="1050"/>
  <c r="Q73" i="1050"/>
  <c r="P73" i="1050"/>
  <c r="O73" i="1050"/>
  <c r="N73" i="1050"/>
  <c r="M73" i="1050"/>
  <c r="L73" i="1050"/>
  <c r="K73" i="1050"/>
  <c r="J73" i="1050"/>
  <c r="I73" i="1050"/>
  <c r="H73" i="1050"/>
  <c r="G73" i="1050"/>
  <c r="AC72" i="1050"/>
  <c r="AB72" i="1050"/>
  <c r="T72" i="1050"/>
  <c r="R72" i="1050"/>
  <c r="Q72" i="1050"/>
  <c r="P72" i="1050"/>
  <c r="P220" i="1050" s="1"/>
  <c r="O72" i="1050"/>
  <c r="N72" i="1050"/>
  <c r="M72" i="1050"/>
  <c r="L72" i="1050"/>
  <c r="L220" i="1050" s="1"/>
  <c r="K72" i="1050"/>
  <c r="J72" i="1050"/>
  <c r="I72" i="1050"/>
  <c r="H72" i="1050"/>
  <c r="G72" i="1050"/>
  <c r="G69" i="1050"/>
  <c r="AG68" i="1050"/>
  <c r="E68" i="1050"/>
  <c r="D68" i="1050"/>
  <c r="G68" i="1050" s="1"/>
  <c r="C68" i="1050"/>
  <c r="AG67" i="1050"/>
  <c r="G67" i="1050"/>
  <c r="AG66" i="1050"/>
  <c r="G66" i="1050"/>
  <c r="AG65" i="1050"/>
  <c r="G65" i="1050"/>
  <c r="AG64" i="1050"/>
  <c r="G64" i="1050"/>
  <c r="AG63" i="1050"/>
  <c r="G63" i="1050"/>
  <c r="AG62" i="1050"/>
  <c r="E62" i="1050"/>
  <c r="D62" i="1050"/>
  <c r="C62" i="1050"/>
  <c r="AG61" i="1050"/>
  <c r="G61" i="1050"/>
  <c r="E61" i="1050"/>
  <c r="D61" i="1050"/>
  <c r="C61" i="1050"/>
  <c r="AG60" i="1050"/>
  <c r="E60" i="1050"/>
  <c r="D60" i="1050"/>
  <c r="C60" i="1050"/>
  <c r="AG59" i="1050"/>
  <c r="T59" i="1050"/>
  <c r="E59" i="1050"/>
  <c r="D59" i="1050"/>
  <c r="C59" i="1050"/>
  <c r="AG58" i="1050"/>
  <c r="E58" i="1050"/>
  <c r="D58" i="1050"/>
  <c r="C58" i="1050"/>
  <c r="AG57" i="1050"/>
  <c r="G57" i="1050"/>
  <c r="E57" i="1050"/>
  <c r="D57" i="1050"/>
  <c r="C57" i="1050"/>
  <c r="AG56" i="1050"/>
  <c r="G56" i="1050"/>
  <c r="AG55" i="1050"/>
  <c r="G55" i="1050"/>
  <c r="G203" i="1050" s="1"/>
  <c r="AG54" i="1050"/>
  <c r="G54" i="1050"/>
  <c r="AG53" i="1050"/>
  <c r="G53" i="1050"/>
  <c r="Y52" i="1050"/>
  <c r="X52" i="1050"/>
  <c r="P52" i="1050"/>
  <c r="O52" i="1050"/>
  <c r="A52" i="1050"/>
  <c r="U51" i="1050"/>
  <c r="T51" i="1050"/>
  <c r="J51" i="1050"/>
  <c r="I51" i="1050"/>
  <c r="V51" i="1050" s="1"/>
  <c r="H51" i="1050"/>
  <c r="U50" i="1050"/>
  <c r="T50" i="1050"/>
  <c r="I50" i="1050"/>
  <c r="V50" i="1050" s="1"/>
  <c r="H50" i="1050"/>
  <c r="U49" i="1050"/>
  <c r="T49" i="1050"/>
  <c r="I49" i="1050"/>
  <c r="V49" i="1050" s="1"/>
  <c r="H49" i="1050"/>
  <c r="AE48" i="1050"/>
  <c r="AD48" i="1050"/>
  <c r="AC48" i="1050"/>
  <c r="AB48" i="1050"/>
  <c r="AA48" i="1050"/>
  <c r="Z48" i="1050"/>
  <c r="Y48" i="1050"/>
  <c r="X48" i="1050"/>
  <c r="W48" i="1050"/>
  <c r="V48" i="1050"/>
  <c r="U48" i="1050"/>
  <c r="T48" i="1050"/>
  <c r="AE47" i="1050"/>
  <c r="AD47" i="1050"/>
  <c r="AC47" i="1050"/>
  <c r="AB47" i="1050"/>
  <c r="AA47" i="1050"/>
  <c r="Z47" i="1050"/>
  <c r="Y47" i="1050"/>
  <c r="X47" i="1050"/>
  <c r="W47" i="1050"/>
  <c r="V47" i="1050"/>
  <c r="U47" i="1050"/>
  <c r="T47" i="1050"/>
  <c r="AE46" i="1050"/>
  <c r="AD46" i="1050"/>
  <c r="AC46" i="1050"/>
  <c r="AB46" i="1050"/>
  <c r="AA46" i="1050"/>
  <c r="Z46" i="1050"/>
  <c r="Y46" i="1050"/>
  <c r="X46" i="1050"/>
  <c r="W46" i="1050"/>
  <c r="V46" i="1050"/>
  <c r="U46" i="1050"/>
  <c r="T46" i="1050"/>
  <c r="AE45" i="1050"/>
  <c r="AD45" i="1050"/>
  <c r="AC45" i="1050"/>
  <c r="AB45" i="1050"/>
  <c r="AA45" i="1050"/>
  <c r="Z45" i="1050"/>
  <c r="Y45" i="1050"/>
  <c r="X45" i="1050"/>
  <c r="W45" i="1050"/>
  <c r="V45" i="1050"/>
  <c r="U45" i="1050"/>
  <c r="T45" i="1050"/>
  <c r="AE44" i="1050"/>
  <c r="AE86" i="1050" s="1"/>
  <c r="AD44" i="1050"/>
  <c r="AD86" i="1050" s="1"/>
  <c r="AB44" i="1050"/>
  <c r="AB86" i="1050" s="1"/>
  <c r="AA44" i="1050"/>
  <c r="Z44" i="1050"/>
  <c r="Y44" i="1050"/>
  <c r="Y86" i="1050" s="1"/>
  <c r="X44" i="1050"/>
  <c r="X86" i="1050" s="1"/>
  <c r="W44" i="1050"/>
  <c r="W86" i="1050" s="1"/>
  <c r="V44" i="1050"/>
  <c r="V86" i="1050" s="1"/>
  <c r="U44" i="1050"/>
  <c r="U86" i="1050" s="1"/>
  <c r="AF43" i="1050"/>
  <c r="AE43" i="1050"/>
  <c r="AD43" i="1050"/>
  <c r="AC43" i="1050"/>
  <c r="AB43" i="1050"/>
  <c r="AA43" i="1050"/>
  <c r="Z43" i="1050"/>
  <c r="Y43" i="1050"/>
  <c r="X43" i="1050"/>
  <c r="W43" i="1050"/>
  <c r="V43" i="1050"/>
  <c r="U43" i="1050"/>
  <c r="T43" i="1050"/>
  <c r="AE42" i="1050"/>
  <c r="AD42" i="1050"/>
  <c r="AC42" i="1050"/>
  <c r="AB42" i="1050"/>
  <c r="AA42" i="1050"/>
  <c r="Z42" i="1050"/>
  <c r="Z87" i="1050" s="1"/>
  <c r="Z199" i="1050" s="1"/>
  <c r="Y42" i="1050"/>
  <c r="Y87" i="1050" s="1"/>
  <c r="Y199" i="1050" s="1"/>
  <c r="X42" i="1050"/>
  <c r="W42" i="1050"/>
  <c r="W87" i="1050" s="1"/>
  <c r="W199" i="1050" s="1"/>
  <c r="V42" i="1050"/>
  <c r="U42" i="1050"/>
  <c r="T42" i="1050"/>
  <c r="AE41" i="1050"/>
  <c r="AE84" i="1050" s="1"/>
  <c r="AD41" i="1050"/>
  <c r="AC41" i="1050"/>
  <c r="AB41" i="1050"/>
  <c r="AB84" i="1050" s="1"/>
  <c r="AA41" i="1050"/>
  <c r="AA84" i="1050" s="1"/>
  <c r="Z41" i="1050"/>
  <c r="Z84" i="1050" s="1"/>
  <c r="Y41" i="1050"/>
  <c r="Y84" i="1050" s="1"/>
  <c r="X41" i="1050"/>
  <c r="X84" i="1050" s="1"/>
  <c r="W41" i="1050"/>
  <c r="W84" i="1050" s="1"/>
  <c r="V41" i="1050"/>
  <c r="V84" i="1050" s="1"/>
  <c r="U41" i="1050"/>
  <c r="T41" i="1050"/>
  <c r="AE40" i="1050"/>
  <c r="AD40" i="1050"/>
  <c r="AC40" i="1050"/>
  <c r="AB40" i="1050"/>
  <c r="AA40" i="1050"/>
  <c r="Z40" i="1050"/>
  <c r="Y40" i="1050"/>
  <c r="X40" i="1050"/>
  <c r="W40" i="1050"/>
  <c r="V40" i="1050"/>
  <c r="U40" i="1050"/>
  <c r="T40" i="1050"/>
  <c r="AE39" i="1050"/>
  <c r="AD39" i="1050"/>
  <c r="AC39" i="1050"/>
  <c r="AB39" i="1050"/>
  <c r="AA39" i="1050"/>
  <c r="Z39" i="1050"/>
  <c r="Y39" i="1050"/>
  <c r="Y82" i="1050" s="1"/>
  <c r="X39" i="1050"/>
  <c r="X82" i="1050" s="1"/>
  <c r="W39" i="1050"/>
  <c r="V39" i="1050"/>
  <c r="V82" i="1050" s="1"/>
  <c r="U39" i="1050"/>
  <c r="T39" i="1050"/>
  <c r="AE38" i="1050"/>
  <c r="AD38" i="1050"/>
  <c r="AC38" i="1050"/>
  <c r="AB38" i="1050"/>
  <c r="AA38" i="1050"/>
  <c r="Z38" i="1050"/>
  <c r="Y38" i="1050"/>
  <c r="X38" i="1050"/>
  <c r="W38" i="1050"/>
  <c r="V38" i="1050"/>
  <c r="V81" i="1050" s="1"/>
  <c r="U38" i="1050"/>
  <c r="T38" i="1050"/>
  <c r="AE37" i="1050"/>
  <c r="AD37" i="1050"/>
  <c r="AC37" i="1050"/>
  <c r="AC79" i="1050" s="1"/>
  <c r="AB37" i="1050"/>
  <c r="AB79" i="1050" s="1"/>
  <c r="AA37" i="1050"/>
  <c r="AA79" i="1050" s="1"/>
  <c r="Z37" i="1050"/>
  <c r="Z79" i="1050" s="1"/>
  <c r="Y37" i="1050"/>
  <c r="Y79" i="1050" s="1"/>
  <c r="X37" i="1050"/>
  <c r="X79" i="1050" s="1"/>
  <c r="W37" i="1050"/>
  <c r="W79" i="1050" s="1"/>
  <c r="V37" i="1050"/>
  <c r="U37" i="1050"/>
  <c r="U79" i="1050" s="1"/>
  <c r="T37" i="1050"/>
  <c r="T79" i="1050" s="1"/>
  <c r="AE36" i="1050"/>
  <c r="AE78" i="1050" s="1"/>
  <c r="AD36" i="1050"/>
  <c r="AC36" i="1050"/>
  <c r="AB36" i="1050"/>
  <c r="AA36" i="1050"/>
  <c r="Z36" i="1050"/>
  <c r="Y36" i="1050"/>
  <c r="X36" i="1050"/>
  <c r="X78" i="1050" s="1"/>
  <c r="W36" i="1050"/>
  <c r="W78" i="1050" s="1"/>
  <c r="V36" i="1050"/>
  <c r="V78" i="1050" s="1"/>
  <c r="U36" i="1050"/>
  <c r="T36" i="1050"/>
  <c r="AE35" i="1050"/>
  <c r="AD35" i="1050"/>
  <c r="AC35" i="1050"/>
  <c r="AB35" i="1050"/>
  <c r="AA35" i="1050"/>
  <c r="Z35" i="1050"/>
  <c r="Y35" i="1050"/>
  <c r="X35" i="1050"/>
  <c r="W35" i="1050"/>
  <c r="V35" i="1050"/>
  <c r="U35" i="1050"/>
  <c r="T35" i="1050"/>
  <c r="AE34" i="1050"/>
  <c r="AD34" i="1050"/>
  <c r="AD191" i="1050" s="1"/>
  <c r="AC34" i="1050"/>
  <c r="AC191" i="1050" s="1"/>
  <c r="AB34" i="1050"/>
  <c r="AA34" i="1050"/>
  <c r="Z34" i="1050"/>
  <c r="Y34" i="1050"/>
  <c r="Y191" i="1050" s="1"/>
  <c r="X34" i="1050"/>
  <c r="X77" i="1050" s="1"/>
  <c r="W34" i="1050"/>
  <c r="W85" i="1050" s="1"/>
  <c r="V34" i="1050"/>
  <c r="V191" i="1050" s="1"/>
  <c r="U34" i="1050"/>
  <c r="U191" i="1050" s="1"/>
  <c r="T34" i="1050"/>
  <c r="T191" i="1050" s="1"/>
  <c r="AE33" i="1050"/>
  <c r="AE76" i="1050" s="1"/>
  <c r="AD33" i="1050"/>
  <c r="AD76" i="1050" s="1"/>
  <c r="AC33" i="1050"/>
  <c r="AC76" i="1050" s="1"/>
  <c r="AB33" i="1050"/>
  <c r="AA33" i="1050"/>
  <c r="Z33" i="1050"/>
  <c r="Z76" i="1050" s="1"/>
  <c r="Y33" i="1050"/>
  <c r="Y76" i="1050" s="1"/>
  <c r="X33" i="1050"/>
  <c r="X76" i="1050" s="1"/>
  <c r="W33" i="1050"/>
  <c r="W76" i="1050" s="1"/>
  <c r="V33" i="1050"/>
  <c r="V76" i="1050" s="1"/>
  <c r="U33" i="1050"/>
  <c r="U76" i="1050" s="1"/>
  <c r="T33" i="1050"/>
  <c r="T76" i="1050" s="1"/>
  <c r="AE32" i="1050"/>
  <c r="AD32" i="1050"/>
  <c r="AC32" i="1050"/>
  <c r="AC189" i="1050" s="1"/>
  <c r="AB32" i="1050"/>
  <c r="AB189" i="1050" s="1"/>
  <c r="AA32" i="1050"/>
  <c r="Z32" i="1050"/>
  <c r="Z189" i="1050" s="1"/>
  <c r="Y32" i="1050"/>
  <c r="Y189" i="1050" s="1"/>
  <c r="X32" i="1050"/>
  <c r="X189" i="1050" s="1"/>
  <c r="W32" i="1050"/>
  <c r="V32" i="1050"/>
  <c r="U32" i="1050"/>
  <c r="T32" i="1050"/>
  <c r="T189" i="1050" s="1"/>
  <c r="AE31" i="1050"/>
  <c r="AE188" i="1050" s="1"/>
  <c r="AD31" i="1050"/>
  <c r="AD188" i="1050" s="1"/>
  <c r="AC31" i="1050"/>
  <c r="AB31" i="1050"/>
  <c r="AB188" i="1050" s="1"/>
  <c r="AA31" i="1050"/>
  <c r="Z31" i="1050"/>
  <c r="Y31" i="1050"/>
  <c r="Y188" i="1050" s="1"/>
  <c r="X31" i="1050"/>
  <c r="X188" i="1050" s="1"/>
  <c r="W31" i="1050"/>
  <c r="W188" i="1050" s="1"/>
  <c r="V31" i="1050"/>
  <c r="V188" i="1050" s="1"/>
  <c r="U31" i="1050"/>
  <c r="T31" i="1050"/>
  <c r="T188" i="1050" s="1"/>
  <c r="Z30" i="1050"/>
  <c r="Y30" i="1050"/>
  <c r="T30" i="1050"/>
  <c r="O30" i="1050"/>
  <c r="AB30" i="1050" s="1"/>
  <c r="N30" i="1050"/>
  <c r="AA30" i="1050" s="1"/>
  <c r="M30" i="1050"/>
  <c r="I30" i="1050"/>
  <c r="V30" i="1050" s="1"/>
  <c r="H30" i="1050"/>
  <c r="U30" i="1050" s="1"/>
  <c r="E30" i="1050"/>
  <c r="D30" i="1050"/>
  <c r="AA29" i="1050"/>
  <c r="AA228" i="1050" s="1"/>
  <c r="Z29" i="1050"/>
  <c r="Z228" i="1050" s="1"/>
  <c r="Y29" i="1050"/>
  <c r="Y228" i="1050" s="1"/>
  <c r="T29" i="1050"/>
  <c r="T228" i="1050" s="1"/>
  <c r="P29" i="1050"/>
  <c r="O29" i="1050"/>
  <c r="N29" i="1050"/>
  <c r="N228" i="1050" s="1"/>
  <c r="M29" i="1050"/>
  <c r="M228" i="1050" s="1"/>
  <c r="H29" i="1050"/>
  <c r="B29" i="1050"/>
  <c r="B30" i="1050" s="1"/>
  <c r="B31" i="1050" s="1"/>
  <c r="B32" i="1050" s="1"/>
  <c r="B33" i="1050" s="1"/>
  <c r="B34" i="1050" s="1"/>
  <c r="B35" i="1050" s="1"/>
  <c r="B36" i="1050" s="1"/>
  <c r="B37" i="1050" s="1"/>
  <c r="B38" i="1050" s="1"/>
  <c r="B39" i="1050" s="1"/>
  <c r="B40" i="1050" s="1"/>
  <c r="B41" i="1050" s="1"/>
  <c r="B42" i="1050" s="1"/>
  <c r="B43" i="1050" s="1"/>
  <c r="B44" i="1050" s="1"/>
  <c r="B45" i="1050" s="1"/>
  <c r="B46" i="1050" s="1"/>
  <c r="B47" i="1050" s="1"/>
  <c r="B48" i="1050" s="1"/>
  <c r="B49" i="1050" s="1"/>
  <c r="B50" i="1050" s="1"/>
  <c r="B51" i="1050" s="1"/>
  <c r="B52" i="1050" s="1"/>
  <c r="B53" i="1050" s="1"/>
  <c r="B54" i="1050" s="1"/>
  <c r="AE28" i="1050"/>
  <c r="AD28" i="1050"/>
  <c r="AC28" i="1050"/>
  <c r="AB28" i="1050"/>
  <c r="AA28" i="1050"/>
  <c r="Z28" i="1050"/>
  <c r="Y28" i="1050"/>
  <c r="X28" i="1050"/>
  <c r="W28" i="1050"/>
  <c r="V28" i="1050"/>
  <c r="U28" i="1050"/>
  <c r="T28" i="1050"/>
  <c r="AE27" i="1050"/>
  <c r="AE73" i="1050" s="1"/>
  <c r="AD27" i="1050"/>
  <c r="AD73" i="1050" s="1"/>
  <c r="AC27" i="1050"/>
  <c r="AC73" i="1050" s="1"/>
  <c r="AB27" i="1050"/>
  <c r="AB73" i="1050" s="1"/>
  <c r="AA27" i="1050"/>
  <c r="AA73" i="1050" s="1"/>
  <c r="Z27" i="1050"/>
  <c r="Z73" i="1050" s="1"/>
  <c r="Y27" i="1050"/>
  <c r="Y73" i="1050" s="1"/>
  <c r="X27" i="1050"/>
  <c r="X73" i="1050" s="1"/>
  <c r="W27" i="1050"/>
  <c r="W73" i="1050" s="1"/>
  <c r="V27" i="1050"/>
  <c r="V73" i="1050" s="1"/>
  <c r="U27" i="1050"/>
  <c r="U73" i="1050" s="1"/>
  <c r="T27" i="1050"/>
  <c r="AE26" i="1050"/>
  <c r="AE72" i="1050" s="1"/>
  <c r="AD26" i="1050"/>
  <c r="AD72" i="1050" s="1"/>
  <c r="AC26" i="1050"/>
  <c r="AB26" i="1050"/>
  <c r="AA26" i="1050"/>
  <c r="AA72" i="1050" s="1"/>
  <c r="Z26" i="1050"/>
  <c r="Z72" i="1050" s="1"/>
  <c r="Y26" i="1050"/>
  <c r="Y72" i="1050" s="1"/>
  <c r="X26" i="1050"/>
  <c r="X72" i="1050" s="1"/>
  <c r="W26" i="1050"/>
  <c r="W72" i="1050" s="1"/>
  <c r="V26" i="1050"/>
  <c r="V72" i="1050" s="1"/>
  <c r="U26" i="1050"/>
  <c r="U72" i="1050" s="1"/>
  <c r="T26" i="1050"/>
  <c r="AF25" i="1050"/>
  <c r="AE25" i="1050"/>
  <c r="AD25" i="1050"/>
  <c r="AC25" i="1050"/>
  <c r="AB25" i="1050"/>
  <c r="AA25" i="1050"/>
  <c r="Z25" i="1050"/>
  <c r="Y25" i="1050"/>
  <c r="X25" i="1050"/>
  <c r="W25" i="1050"/>
  <c r="V25" i="1050"/>
  <c r="U25" i="1050"/>
  <c r="T25" i="1050"/>
  <c r="AE24" i="1050"/>
  <c r="AD24" i="1050"/>
  <c r="AC24" i="1050"/>
  <c r="Z24" i="1050"/>
  <c r="Y24" i="1050"/>
  <c r="X24" i="1050"/>
  <c r="W24" i="1050"/>
  <c r="V24" i="1050"/>
  <c r="U24" i="1050"/>
  <c r="T24" i="1050"/>
  <c r="N24" i="1050"/>
  <c r="AA24" i="1050" s="1"/>
  <c r="M24" i="1050"/>
  <c r="L24" i="1050"/>
  <c r="V23" i="1050"/>
  <c r="V182" i="1050" s="1"/>
  <c r="U23" i="1050"/>
  <c r="U182" i="1050" s="1"/>
  <c r="T23" i="1050"/>
  <c r="J23" i="1050"/>
  <c r="J182" i="1050" s="1"/>
  <c r="I23" i="1050"/>
  <c r="I182" i="1050" s="1"/>
  <c r="H23" i="1050"/>
  <c r="H182" i="1050" s="1"/>
  <c r="U22" i="1050"/>
  <c r="T22" i="1050"/>
  <c r="I22" i="1050"/>
  <c r="V22" i="1050" s="1"/>
  <c r="H22" i="1050"/>
  <c r="U21" i="1050"/>
  <c r="T21" i="1050"/>
  <c r="T64" i="1050" s="1"/>
  <c r="I21" i="1050"/>
  <c r="J21" i="1050" s="1"/>
  <c r="H21" i="1050"/>
  <c r="U20" i="1050"/>
  <c r="T20" i="1050"/>
  <c r="I20" i="1050"/>
  <c r="J20" i="1050" s="1"/>
  <c r="H20" i="1050"/>
  <c r="U19" i="1050"/>
  <c r="T19" i="1050"/>
  <c r="I19" i="1050"/>
  <c r="H19" i="1050"/>
  <c r="V18" i="1050"/>
  <c r="U18" i="1050"/>
  <c r="T18" i="1050"/>
  <c r="I18" i="1050"/>
  <c r="H18" i="1050"/>
  <c r="U17" i="1050"/>
  <c r="T17" i="1050"/>
  <c r="I17" i="1050"/>
  <c r="V17" i="1050" s="1"/>
  <c r="H17" i="1050"/>
  <c r="T16" i="1050"/>
  <c r="T173" i="1050" s="1"/>
  <c r="H16" i="1050"/>
  <c r="H173" i="1050" s="1"/>
  <c r="T15" i="1050"/>
  <c r="H15" i="1050"/>
  <c r="H172" i="1050" s="1"/>
  <c r="T14" i="1050"/>
  <c r="H14" i="1050"/>
  <c r="H171" i="1050" s="1"/>
  <c r="T13" i="1050"/>
  <c r="T56" i="1050" s="1"/>
  <c r="H13" i="1050"/>
  <c r="U13" i="1050" s="1"/>
  <c r="T12" i="1050"/>
  <c r="H12" i="1050"/>
  <c r="U12" i="1050" s="1"/>
  <c r="T11" i="1050"/>
  <c r="T10" i="1050" s="1"/>
  <c r="H11" i="1050"/>
  <c r="I11" i="1050" s="1"/>
  <c r="H10" i="1050"/>
  <c r="H130" i="1050" s="1" a="1"/>
  <c r="H130" i="1050" s="1"/>
  <c r="H164" i="1050" s="1"/>
  <c r="T9" i="1050"/>
  <c r="T88" i="1050" s="1"/>
  <c r="H9" i="1050"/>
  <c r="H88" i="1050" s="1" a="1"/>
  <c r="H88" i="1050" s="1"/>
  <c r="T8" i="1050"/>
  <c r="H8" i="1050"/>
  <c r="AE7" i="1050"/>
  <c r="AD7" i="1050"/>
  <c r="AC7" i="1050"/>
  <c r="X7" i="1050"/>
  <c r="W7" i="1050"/>
  <c r="V7" i="1050"/>
  <c r="U7" i="1050"/>
  <c r="T7" i="1050"/>
  <c r="R7" i="1050"/>
  <c r="Q7" i="1050"/>
  <c r="P7" i="1050"/>
  <c r="O7" i="1050"/>
  <c r="AB7" i="1050" s="1"/>
  <c r="N7" i="1050"/>
  <c r="AA7" i="1050" s="1"/>
  <c r="M7" i="1050"/>
  <c r="Z7" i="1050" s="1"/>
  <c r="L7" i="1050"/>
  <c r="Y7" i="1050" s="1"/>
  <c r="K7" i="1050"/>
  <c r="J7" i="1050"/>
  <c r="I7" i="1050"/>
  <c r="H7" i="1050"/>
  <c r="AF6" i="1050"/>
  <c r="AB6" i="1050"/>
  <c r="X6" i="1050"/>
  <c r="W6" i="1050"/>
  <c r="T6" i="1050"/>
  <c r="P6" i="1050"/>
  <c r="Q6" i="1050" s="1"/>
  <c r="L6" i="1050"/>
  <c r="Y6" i="1050" s="1"/>
  <c r="K6" i="1050"/>
  <c r="H6" i="1050"/>
  <c r="AE5" i="1050"/>
  <c r="AD5" i="1050"/>
  <c r="AC5" i="1050"/>
  <c r="AB5" i="1050"/>
  <c r="W5" i="1050"/>
  <c r="V5" i="1050"/>
  <c r="U5" i="1050"/>
  <c r="T5" i="1050"/>
  <c r="R5" i="1050"/>
  <c r="Q5" i="1050"/>
  <c r="P5" i="1050"/>
  <c r="O5" i="1050"/>
  <c r="N5" i="1050"/>
  <c r="N105" i="1050" s="1"/>
  <c r="N218" i="1050" s="1"/>
  <c r="M5" i="1050"/>
  <c r="L5" i="1050"/>
  <c r="Y5" i="1050" s="1"/>
  <c r="K5" i="1050"/>
  <c r="X5" i="1050" s="1"/>
  <c r="J5" i="1050"/>
  <c r="I5" i="1050"/>
  <c r="H5" i="1050"/>
  <c r="U4" i="1050"/>
  <c r="T4" i="1050"/>
  <c r="H4" i="1050"/>
  <c r="AE2" i="1050"/>
  <c r="AE52" i="1050" s="1"/>
  <c r="AD2" i="1050"/>
  <c r="AD52" i="1050" s="1"/>
  <c r="AC2" i="1050"/>
  <c r="AC52" i="1050" s="1"/>
  <c r="AB2" i="1050"/>
  <c r="AB52" i="1050" s="1"/>
  <c r="AA2" i="1050"/>
  <c r="AA52" i="1050" s="1"/>
  <c r="Z2" i="1050"/>
  <c r="Z52" i="1050" s="1"/>
  <c r="Y2" i="1050"/>
  <c r="X2" i="1050"/>
  <c r="W2" i="1050"/>
  <c r="W52" i="1050" s="1"/>
  <c r="V2" i="1050"/>
  <c r="V52" i="1050" s="1"/>
  <c r="U2" i="1050"/>
  <c r="U52" i="1050" s="1"/>
  <c r="T2" i="1050"/>
  <c r="T52" i="1050" s="1"/>
  <c r="R2" i="1050"/>
  <c r="R52" i="1050" s="1"/>
  <c r="Q2" i="1050"/>
  <c r="Q52" i="1050" s="1"/>
  <c r="P2" i="1050"/>
  <c r="O2" i="1050"/>
  <c r="N2" i="1050"/>
  <c r="N52" i="1050" s="1"/>
  <c r="M2" i="1050"/>
  <c r="M52" i="1050" s="1"/>
  <c r="L2" i="1050"/>
  <c r="L52" i="1050" s="1"/>
  <c r="K2" i="1050"/>
  <c r="K52" i="1050" s="1"/>
  <c r="J2" i="1050"/>
  <c r="J52" i="1050" s="1"/>
  <c r="I2" i="1050"/>
  <c r="I52" i="1050" s="1"/>
  <c r="H2" i="1050"/>
  <c r="H52" i="1050" s="1"/>
  <c r="G2" i="1050"/>
  <c r="G52" i="1050" s="1"/>
  <c r="B2" i="1050"/>
  <c r="B3" i="1050" s="1"/>
  <c r="B4" i="1050" s="1"/>
  <c r="B5" i="1050" s="1"/>
  <c r="B6" i="1050" s="1"/>
  <c r="B7" i="1050" s="1"/>
  <c r="B10" i="1050" s="1"/>
  <c r="B12" i="1050" s="1"/>
  <c r="B13" i="1050" s="1"/>
  <c r="B14" i="1050" s="1"/>
  <c r="B15" i="1050" s="1"/>
  <c r="B16" i="1050" s="1"/>
  <c r="B17" i="1050" s="1"/>
  <c r="B18" i="1050" s="1"/>
  <c r="B19" i="1050" s="1"/>
  <c r="B20" i="1050" s="1"/>
  <c r="B21" i="1050" s="1"/>
  <c r="B22" i="1050" s="1"/>
  <c r="B23" i="1050" s="1"/>
  <c r="B24" i="1050" s="1"/>
  <c r="B25" i="1050" s="1"/>
  <c r="B26" i="1050" s="1"/>
  <c r="V1" i="1050"/>
  <c r="W1" i="1050" s="1"/>
  <c r="X1" i="1050" s="1"/>
  <c r="Y1" i="1050" s="1"/>
  <c r="Z1" i="1050" s="1"/>
  <c r="AA1" i="1050" s="1"/>
  <c r="AB1" i="1050" s="1"/>
  <c r="AC1" i="1050" s="1"/>
  <c r="AD1" i="1050" s="1"/>
  <c r="AE1" i="1050" s="1"/>
  <c r="U1" i="1050"/>
  <c r="H1" i="1050"/>
  <c r="I1" i="1050" s="1"/>
  <c r="J1" i="1050" s="1"/>
  <c r="K1" i="1050" s="1"/>
  <c r="L1" i="1050" s="1"/>
  <c r="M1" i="1050" s="1"/>
  <c r="N1" i="1050" s="1"/>
  <c r="O1" i="1050" s="1"/>
  <c r="P1" i="1050" s="1"/>
  <c r="Q1" i="1050" s="1"/>
  <c r="R1" i="1050" s="1"/>
  <c r="G69" i="546"/>
  <c r="H10" i="546"/>
  <c r="H12" i="546"/>
  <c r="T9" i="546"/>
  <c r="S106" i="546"/>
  <c r="G87" i="546"/>
  <c r="W62" i="1057" l="1"/>
  <c r="AC220" i="1057"/>
  <c r="J88" i="1057" a="1"/>
  <c r="J88" i="1057" s="1"/>
  <c r="W9" i="1057"/>
  <c r="W88" i="1057" s="1"/>
  <c r="W109" i="1057" s="1"/>
  <c r="K9" i="1057"/>
  <c r="T94" i="1057"/>
  <c r="T206" i="1057"/>
  <c r="X22" i="1057"/>
  <c r="L22" i="1057"/>
  <c r="V220" i="1057"/>
  <c r="AD107" i="1057"/>
  <c r="AD220" i="1057"/>
  <c r="H221" i="1057"/>
  <c r="H109" i="1057"/>
  <c r="U220" i="1057"/>
  <c r="X13" i="1057"/>
  <c r="L13" i="1057"/>
  <c r="W60" i="1057"/>
  <c r="W49" i="1057"/>
  <c r="K49" i="1057"/>
  <c r="T208" i="1057"/>
  <c r="T96" i="1057"/>
  <c r="T220" i="1057"/>
  <c r="T107" i="1057"/>
  <c r="W50" i="1057"/>
  <c r="K50" i="1057"/>
  <c r="T204" i="1057"/>
  <c r="T92" i="1057"/>
  <c r="T212" i="1057"/>
  <c r="T100" i="1057"/>
  <c r="X220" i="1057"/>
  <c r="X107" i="1057"/>
  <c r="K173" i="1057"/>
  <c r="X16" i="1057"/>
  <c r="L16" i="1057"/>
  <c r="T207" i="1057"/>
  <c r="T95" i="1057"/>
  <c r="X11" i="1057"/>
  <c r="X10" i="1057" s="1"/>
  <c r="L11" i="1057"/>
  <c r="U204" i="1057"/>
  <c r="T211" i="1057"/>
  <c r="T99" i="1057"/>
  <c r="Y107" i="1057"/>
  <c r="Y220" i="1057"/>
  <c r="W51" i="1057"/>
  <c r="K51" i="1057"/>
  <c r="D168" i="1057"/>
  <c r="B55" i="1057"/>
  <c r="W129" i="1057"/>
  <c r="W163" i="1057" s="1"/>
  <c r="W123" i="1057"/>
  <c r="W125" i="1057"/>
  <c r="W53" i="1057"/>
  <c r="W130" i="1057"/>
  <c r="W164" i="1057" s="1"/>
  <c r="W67" i="1057"/>
  <c r="W69" i="1057"/>
  <c r="W54" i="1057"/>
  <c r="H209" i="1057"/>
  <c r="H97" i="1057"/>
  <c r="T210" i="1057"/>
  <c r="T98" i="1057"/>
  <c r="V64" i="1057"/>
  <c r="Z220" i="1057"/>
  <c r="Z107" i="1057"/>
  <c r="AB30" i="1057"/>
  <c r="P30" i="1057"/>
  <c r="G221" i="1057"/>
  <c r="G109" i="1057"/>
  <c r="W204" i="1057"/>
  <c r="W92" i="1057"/>
  <c r="AA220" i="1057"/>
  <c r="AA107" i="1057"/>
  <c r="H204" i="1058"/>
  <c r="H92" i="1058"/>
  <c r="H217" i="1057"/>
  <c r="H133" i="1057"/>
  <c r="H131" i="1057"/>
  <c r="H167" i="1057"/>
  <c r="H169" i="1057"/>
  <c r="H139" i="1057"/>
  <c r="H134" i="1057"/>
  <c r="H236" i="1057"/>
  <c r="H105" i="1057"/>
  <c r="H218" i="1057" s="1"/>
  <c r="H124" i="1057"/>
  <c r="P105" i="1057"/>
  <c r="P218" i="1057" s="1"/>
  <c r="P124" i="1057"/>
  <c r="Y105" i="1057"/>
  <c r="Y124" i="1057"/>
  <c r="H194" i="1057"/>
  <c r="H192" i="1057"/>
  <c r="H181" i="1057"/>
  <c r="H166" i="1057"/>
  <c r="H165" i="1057"/>
  <c r="H195" i="1057"/>
  <c r="H193" i="1057"/>
  <c r="H180" i="1057"/>
  <c r="U171" i="1057"/>
  <c r="U173" i="1057"/>
  <c r="U174" i="1057"/>
  <c r="U175" i="1057"/>
  <c r="U176" i="1057"/>
  <c r="U177" i="1057"/>
  <c r="U178" i="1057"/>
  <c r="U77" i="1057"/>
  <c r="U191" i="1057"/>
  <c r="AC77" i="1057"/>
  <c r="AC191" i="1057"/>
  <c r="AA78" i="1057"/>
  <c r="T197" i="1057"/>
  <c r="U216" i="1057"/>
  <c r="H53" i="1057"/>
  <c r="S173" i="1057"/>
  <c r="G173" i="1057"/>
  <c r="H63" i="1057"/>
  <c r="U67" i="1057"/>
  <c r="W68" i="1057"/>
  <c r="T69" i="1057"/>
  <c r="H107" i="1057"/>
  <c r="H220" i="1057"/>
  <c r="P107" i="1057"/>
  <c r="P220" i="1057"/>
  <c r="Y74" i="1057"/>
  <c r="X75" i="1057"/>
  <c r="G96" i="1057"/>
  <c r="N107" i="1057"/>
  <c r="H132" i="1057"/>
  <c r="T168" i="1057"/>
  <c r="J173" i="1057"/>
  <c r="H179" i="1057"/>
  <c r="AE189" i="1057"/>
  <c r="H228" i="1057"/>
  <c r="J236" i="1057"/>
  <c r="J124" i="1057"/>
  <c r="R124" i="1057"/>
  <c r="AA124" i="1057"/>
  <c r="K192" i="1057"/>
  <c r="K195" i="1057"/>
  <c r="K193" i="1057"/>
  <c r="K194" i="1057"/>
  <c r="U166" i="1057"/>
  <c r="U165" i="1057"/>
  <c r="U181" i="1057"/>
  <c r="V129" i="1057"/>
  <c r="V163" i="1057" s="1"/>
  <c r="V123" i="1057"/>
  <c r="V130" i="1057"/>
  <c r="V164" i="1057" s="1"/>
  <c r="V125" i="1057"/>
  <c r="W178" i="1057"/>
  <c r="I179" i="1057"/>
  <c r="I168" i="1057"/>
  <c r="I132" i="1057"/>
  <c r="I167" i="1057"/>
  <c r="I134" i="1057"/>
  <c r="I217" i="1057"/>
  <c r="I133" i="1057"/>
  <c r="I236" i="1057"/>
  <c r="I105" i="1057"/>
  <c r="I218" i="1057" s="1"/>
  <c r="Q105" i="1057"/>
  <c r="Q218" i="1057" s="1"/>
  <c r="Z105" i="1057"/>
  <c r="I192" i="1057"/>
  <c r="I181" i="1057"/>
  <c r="I166" i="1057"/>
  <c r="I165" i="1057"/>
  <c r="I195" i="1057"/>
  <c r="I193" i="1057"/>
  <c r="I180" i="1057"/>
  <c r="I194" i="1057"/>
  <c r="T180" i="1057"/>
  <c r="T181" i="1057"/>
  <c r="U125" i="1057"/>
  <c r="U129" i="1057"/>
  <c r="U163" i="1057" s="1"/>
  <c r="U123" i="1057"/>
  <c r="U130" i="1057"/>
  <c r="U164" i="1057" s="1"/>
  <c r="V171" i="1057"/>
  <c r="V172" i="1057"/>
  <c r="V173" i="1057"/>
  <c r="T195" i="1057"/>
  <c r="AB195" i="1057"/>
  <c r="U82" i="1057"/>
  <c r="U197" i="1057"/>
  <c r="AC82" i="1057"/>
  <c r="V87" i="1057"/>
  <c r="V199" i="1057" s="1"/>
  <c r="V216" i="1057"/>
  <c r="AD87" i="1057"/>
  <c r="AD199" i="1057" s="1"/>
  <c r="T218" i="1057"/>
  <c r="H56" i="1057"/>
  <c r="U58" i="1057"/>
  <c r="W59" i="1057"/>
  <c r="H60" i="1057"/>
  <c r="U62" i="1057"/>
  <c r="W64" i="1057"/>
  <c r="T65" i="1057"/>
  <c r="H66" i="1057"/>
  <c r="U69" i="1057"/>
  <c r="G71" i="1057"/>
  <c r="I107" i="1057"/>
  <c r="Q107" i="1057"/>
  <c r="Z74" i="1057"/>
  <c r="H77" i="1057"/>
  <c r="AA81" i="1057"/>
  <c r="H216" i="1057" a="1"/>
  <c r="H216" i="1057" s="1"/>
  <c r="Z85" i="1057"/>
  <c r="I88" i="1057" a="1"/>
  <c r="I88" i="1057" s="1"/>
  <c r="G100" i="1057"/>
  <c r="I104" i="1057"/>
  <c r="O107" i="1057"/>
  <c r="I131" i="1057"/>
  <c r="V177" i="1057"/>
  <c r="W198" i="1057"/>
  <c r="AA124" i="1058"/>
  <c r="AA105" i="1058"/>
  <c r="H214" i="1058"/>
  <c r="H102" i="1058"/>
  <c r="U21" i="1058"/>
  <c r="I21" i="1058"/>
  <c r="H178" i="1058"/>
  <c r="J131" i="1057"/>
  <c r="J169" i="1057"/>
  <c r="J133" i="1057"/>
  <c r="J132" i="1057"/>
  <c r="W175" i="1057"/>
  <c r="AF81" i="1053"/>
  <c r="AF82" i="1055"/>
  <c r="AF82" i="1056"/>
  <c r="K4" i="1057"/>
  <c r="T167" i="1057"/>
  <c r="T169" i="1057"/>
  <c r="T139" i="1057"/>
  <c r="T217" i="1057"/>
  <c r="T134" i="1057"/>
  <c r="T179" i="1057"/>
  <c r="T132" i="1057"/>
  <c r="T131" i="1057"/>
  <c r="K124" i="1057"/>
  <c r="AF124" i="1057" s="1"/>
  <c r="T236" i="1057"/>
  <c r="T124" i="1057"/>
  <c r="G149" i="1057" s="1"/>
  <c r="AB5" i="1057"/>
  <c r="L6" i="1057"/>
  <c r="V6" i="1057"/>
  <c r="V63" i="1057" s="1"/>
  <c r="K29" i="1057"/>
  <c r="J30" i="1057"/>
  <c r="X85" i="1057"/>
  <c r="X191" i="1057"/>
  <c r="V195" i="1057"/>
  <c r="T196" i="1057"/>
  <c r="W197" i="1057"/>
  <c r="T53" i="1057"/>
  <c r="H54" i="1057"/>
  <c r="U57" i="1057"/>
  <c r="W58" i="1057"/>
  <c r="H59" i="1057"/>
  <c r="U61" i="1057"/>
  <c r="H64" i="1057"/>
  <c r="G102" i="1057"/>
  <c r="G214" i="1057"/>
  <c r="T74" i="1057"/>
  <c r="AC74" i="1057"/>
  <c r="AB75" i="1057"/>
  <c r="T77" i="1057"/>
  <c r="T78" i="1057"/>
  <c r="AC78" i="1057"/>
  <c r="T80" i="1057"/>
  <c r="T81" i="1057"/>
  <c r="T82" i="1057"/>
  <c r="J104" i="1057"/>
  <c r="AB85" i="1057"/>
  <c r="U87" i="1057"/>
  <c r="U199" i="1057" s="1"/>
  <c r="G91" i="1057"/>
  <c r="G103" i="1057"/>
  <c r="K105" i="1057"/>
  <c r="K218" i="1057" s="1"/>
  <c r="AA105" i="1057"/>
  <c r="AA218" i="1057" s="1"/>
  <c r="H108" i="1057"/>
  <c r="I124" i="1057"/>
  <c r="G197" i="1057"/>
  <c r="G196" i="1057"/>
  <c r="G174" i="1057"/>
  <c r="W177" i="1057"/>
  <c r="Y75" i="1057"/>
  <c r="Y189" i="1057"/>
  <c r="S172" i="1057"/>
  <c r="G172" i="1057"/>
  <c r="G176" i="1057"/>
  <c r="S176" i="1057"/>
  <c r="R107" i="1057"/>
  <c r="D224" i="1057"/>
  <c r="B113" i="1057"/>
  <c r="B114" i="1057" s="1"/>
  <c r="AB162" i="1057"/>
  <c r="U4" i="1057"/>
  <c r="L236" i="1057"/>
  <c r="L124" i="1057"/>
  <c r="U5" i="1057"/>
  <c r="U92" i="1057" s="1"/>
  <c r="AC5" i="1057"/>
  <c r="W181" i="1057"/>
  <c r="W166" i="1057"/>
  <c r="W165" i="1057"/>
  <c r="W180" i="1057"/>
  <c r="H172" i="1057"/>
  <c r="H173" i="1057"/>
  <c r="H174" i="1057"/>
  <c r="H175" i="1057"/>
  <c r="H176" i="1057"/>
  <c r="H177" i="1057"/>
  <c r="H178" i="1057"/>
  <c r="V29" i="1057"/>
  <c r="V228" i="1057" s="1"/>
  <c r="T194" i="1057"/>
  <c r="AB194" i="1057"/>
  <c r="W195" i="1057"/>
  <c r="U196" i="1057"/>
  <c r="AA83" i="1057"/>
  <c r="U53" i="1057"/>
  <c r="AC162" i="1057"/>
  <c r="U162" i="1057"/>
  <c r="L162" i="1057"/>
  <c r="G171" i="1057"/>
  <c r="AA162" i="1057"/>
  <c r="R162" i="1057"/>
  <c r="J162" i="1057"/>
  <c r="Z162" i="1057"/>
  <c r="Q162" i="1057"/>
  <c r="I162" i="1057"/>
  <c r="Y162" i="1057"/>
  <c r="P162" i="1057"/>
  <c r="H162" i="1057"/>
  <c r="S171" i="1057"/>
  <c r="AE162" i="1057"/>
  <c r="W162" i="1057"/>
  <c r="N162" i="1057"/>
  <c r="AD162" i="1057"/>
  <c r="V162" i="1057"/>
  <c r="M162" i="1057"/>
  <c r="V57" i="1057"/>
  <c r="G58" i="1057"/>
  <c r="G140" i="1057" s="1"/>
  <c r="S175" i="1057"/>
  <c r="G175" i="1057"/>
  <c r="V61" i="1057"/>
  <c r="G62" i="1057"/>
  <c r="U63" i="1057"/>
  <c r="T66" i="1057"/>
  <c r="H67" i="1057"/>
  <c r="L107" i="1057"/>
  <c r="L220" i="1057"/>
  <c r="U74" i="1057"/>
  <c r="AD74" i="1057"/>
  <c r="T75" i="1057"/>
  <c r="AC75" i="1057"/>
  <c r="K77" i="1057"/>
  <c r="V77" i="1057"/>
  <c r="U78" i="1057"/>
  <c r="AD78" i="1057"/>
  <c r="U81" i="1057"/>
  <c r="AE82" i="1057"/>
  <c r="K104" i="1057"/>
  <c r="T85" i="1057"/>
  <c r="AC85" i="1057"/>
  <c r="AF87" i="1057"/>
  <c r="H103" i="1057"/>
  <c r="L105" i="1057"/>
  <c r="L218" i="1057" s="1"/>
  <c r="B108" i="1057"/>
  <c r="D220" i="1057"/>
  <c r="W107" i="1057"/>
  <c r="T125" i="1057"/>
  <c r="H168" i="1057"/>
  <c r="I169" i="1057"/>
  <c r="I90" i="1058"/>
  <c r="I202" i="1058"/>
  <c r="V69" i="1057"/>
  <c r="J105" i="1057"/>
  <c r="J218" i="1057" s="1"/>
  <c r="K236" i="1057"/>
  <c r="O105" i="1058"/>
  <c r="O218" i="1058" s="1"/>
  <c r="O124" i="1058"/>
  <c r="AB5" i="1058"/>
  <c r="G71" i="1053"/>
  <c r="V4" i="1057"/>
  <c r="M105" i="1057"/>
  <c r="M218" i="1057" s="1"/>
  <c r="V5" i="1057"/>
  <c r="AD5" i="1057"/>
  <c r="X6" i="1057"/>
  <c r="X195" i="1057" s="1"/>
  <c r="H129" i="1057"/>
  <c r="H163" i="1057" s="1"/>
  <c r="H123" i="1057"/>
  <c r="H125" i="1057"/>
  <c r="H130" i="1057" a="1"/>
  <c r="H130" i="1057" s="1"/>
  <c r="H164" i="1057" s="1"/>
  <c r="I171" i="1057"/>
  <c r="I172" i="1057"/>
  <c r="I173" i="1057"/>
  <c r="I174" i="1057"/>
  <c r="I175" i="1057"/>
  <c r="I177" i="1057"/>
  <c r="I178" i="1057"/>
  <c r="W29" i="1057"/>
  <c r="W228" i="1057" s="1"/>
  <c r="U194" i="1057"/>
  <c r="AC194" i="1057"/>
  <c r="V196" i="1057"/>
  <c r="T198" i="1057"/>
  <c r="X218" i="1057"/>
  <c r="V53" i="1057"/>
  <c r="W57" i="1057"/>
  <c r="H58" i="1057"/>
  <c r="U60" i="1057"/>
  <c r="W61" i="1057"/>
  <c r="H62" i="1057"/>
  <c r="U66" i="1057"/>
  <c r="T68" i="1057"/>
  <c r="H69" i="1057"/>
  <c r="M107" i="1057"/>
  <c r="M220" i="1057"/>
  <c r="AF72" i="1057"/>
  <c r="V74" i="1057"/>
  <c r="AE74" i="1057"/>
  <c r="U75" i="1057"/>
  <c r="AD75" i="1057"/>
  <c r="W77" i="1057"/>
  <c r="V78" i="1057"/>
  <c r="V81" i="1057"/>
  <c r="W82" i="1057"/>
  <c r="U85" i="1057"/>
  <c r="AD85" i="1057"/>
  <c r="X87" i="1057"/>
  <c r="X199" i="1057" s="1"/>
  <c r="T93" i="1057"/>
  <c r="G97" i="1057"/>
  <c r="T97" i="1057"/>
  <c r="G99" i="1057"/>
  <c r="G101" i="1057"/>
  <c r="G107" i="1057"/>
  <c r="AF107" i="1057" s="1"/>
  <c r="Q124" i="1057"/>
  <c r="I139" i="1057"/>
  <c r="W174" i="1057"/>
  <c r="X220" i="1058"/>
  <c r="D168" i="1058"/>
  <c r="B55" i="1058"/>
  <c r="W176" i="1057"/>
  <c r="W216" i="1057"/>
  <c r="G207" i="1057"/>
  <c r="G95" i="1057"/>
  <c r="AF81" i="1055"/>
  <c r="AF81" i="1056"/>
  <c r="W4" i="1057"/>
  <c r="N124" i="1057"/>
  <c r="W5" i="1057"/>
  <c r="W104" i="1057" s="1"/>
  <c r="AE5" i="1057"/>
  <c r="P194" i="1057"/>
  <c r="P192" i="1057"/>
  <c r="P195" i="1057"/>
  <c r="P193" i="1057"/>
  <c r="I130" i="1057" a="1"/>
  <c r="I130" i="1057" s="1"/>
  <c r="I164" i="1057" s="1"/>
  <c r="I129" i="1057"/>
  <c r="I163" i="1057" s="1"/>
  <c r="I123" i="1057"/>
  <c r="I121" i="1057" s="1"/>
  <c r="J166" i="1057"/>
  <c r="J165" i="1057"/>
  <c r="J172" i="1057"/>
  <c r="J178" i="1057"/>
  <c r="U185" i="1057"/>
  <c r="U184" i="1057"/>
  <c r="V194" i="1057"/>
  <c r="W81" i="1057"/>
  <c r="W196" i="1057"/>
  <c r="AE81" i="1057"/>
  <c r="U198" i="1057"/>
  <c r="Y218" i="1057"/>
  <c r="T54" i="1057"/>
  <c r="H55" i="1057"/>
  <c r="V60" i="1057"/>
  <c r="W63" i="1057"/>
  <c r="W140" i="1057" s="1"/>
  <c r="H65" i="1057"/>
  <c r="G185" i="1057"/>
  <c r="H184" i="1057"/>
  <c r="G184" i="1057"/>
  <c r="S185" i="1057"/>
  <c r="H185" i="1057"/>
  <c r="S184" i="1057"/>
  <c r="U68" i="1057"/>
  <c r="W74" i="1057"/>
  <c r="V75" i="1057"/>
  <c r="W80" i="1057"/>
  <c r="V85" i="1057"/>
  <c r="AE85" i="1057"/>
  <c r="AF105" i="1057"/>
  <c r="J107" i="1057"/>
  <c r="T123" i="1057"/>
  <c r="J134" i="1057"/>
  <c r="K162" i="1057"/>
  <c r="K166" i="1057"/>
  <c r="G198" i="1057"/>
  <c r="U13" i="1058"/>
  <c r="U56" i="1058" s="1"/>
  <c r="I13" i="1058"/>
  <c r="V197" i="1057"/>
  <c r="AF83" i="1056"/>
  <c r="O124" i="1057"/>
  <c r="X236" i="1057"/>
  <c r="X124" i="1057"/>
  <c r="Q6" i="1057"/>
  <c r="I8" i="1057"/>
  <c r="J10" i="1057"/>
  <c r="J168" i="1057" s="1"/>
  <c r="K12" i="1057"/>
  <c r="K165" i="1057" s="1"/>
  <c r="K14" i="1057"/>
  <c r="T171" i="1057"/>
  <c r="K15" i="1057"/>
  <c r="T172" i="1057"/>
  <c r="T173" i="1057"/>
  <c r="K17" i="1057"/>
  <c r="T174" i="1057"/>
  <c r="K18" i="1057"/>
  <c r="K19" i="1057"/>
  <c r="T176" i="1057"/>
  <c r="K20" i="1057"/>
  <c r="T177" i="1057"/>
  <c r="K21" i="1057"/>
  <c r="T178" i="1057"/>
  <c r="K23" i="1057"/>
  <c r="O24" i="1057"/>
  <c r="AB24" i="1057" s="1"/>
  <c r="V184" i="1057"/>
  <c r="P29" i="1057"/>
  <c r="AA74" i="1057"/>
  <c r="AA188" i="1057"/>
  <c r="V198" i="1057"/>
  <c r="T216" i="1057"/>
  <c r="Z218" i="1057"/>
  <c r="G202" i="1057"/>
  <c r="G142" i="1057"/>
  <c r="G143" i="1057" s="1"/>
  <c r="U54" i="1057"/>
  <c r="H57" i="1057"/>
  <c r="U59" i="1057"/>
  <c r="U64" i="1057"/>
  <c r="W66" i="1057"/>
  <c r="T67" i="1057"/>
  <c r="V68" i="1057"/>
  <c r="X74" i="1057"/>
  <c r="W75" i="1057"/>
  <c r="X78" i="1057"/>
  <c r="Y81" i="1057"/>
  <c r="X83" i="1057"/>
  <c r="W85" i="1057"/>
  <c r="Z87" i="1057"/>
  <c r="Z199" i="1057" s="1"/>
  <c r="G104" i="1057"/>
  <c r="R105" i="1057"/>
  <c r="R218" i="1057" s="1"/>
  <c r="K107" i="1057"/>
  <c r="AB107" i="1057"/>
  <c r="Z124" i="1057"/>
  <c r="O162" i="1057"/>
  <c r="I220" i="1057"/>
  <c r="M192" i="1058"/>
  <c r="M195" i="1058"/>
  <c r="M193" i="1058"/>
  <c r="M77" i="1058"/>
  <c r="M194" i="1058"/>
  <c r="N6" i="1058"/>
  <c r="Z6" i="1058"/>
  <c r="V85" i="1058"/>
  <c r="V191" i="1058"/>
  <c r="AD85" i="1058"/>
  <c r="AD191" i="1058"/>
  <c r="AD77" i="1058"/>
  <c r="I139" i="1058"/>
  <c r="I217" i="1058"/>
  <c r="I167" i="1058"/>
  <c r="I168" i="1058"/>
  <c r="I132" i="1058"/>
  <c r="I179" i="1058"/>
  <c r="V4" i="1058"/>
  <c r="U179" i="1058"/>
  <c r="U133" i="1058"/>
  <c r="I124" i="1058"/>
  <c r="AF124" i="1058" s="1"/>
  <c r="I236" i="1058"/>
  <c r="I105" i="1058"/>
  <c r="I218" i="1058" s="1"/>
  <c r="V5" i="1058"/>
  <c r="I107" i="1058"/>
  <c r="Q124" i="1058"/>
  <c r="Q107" i="1058"/>
  <c r="AD5" i="1058"/>
  <c r="AC124" i="1058"/>
  <c r="AC105" i="1058"/>
  <c r="Q195" i="1058"/>
  <c r="Q193" i="1058"/>
  <c r="Q194" i="1058"/>
  <c r="Q192" i="1058"/>
  <c r="R6" i="1058"/>
  <c r="Q77" i="1058"/>
  <c r="AD6" i="1058"/>
  <c r="H172" i="1058"/>
  <c r="U15" i="1058"/>
  <c r="I15" i="1058"/>
  <c r="Z220" i="1058"/>
  <c r="Z107" i="1058"/>
  <c r="I228" i="1058"/>
  <c r="J29" i="1058"/>
  <c r="V29" i="1058"/>
  <c r="V228" i="1058" s="1"/>
  <c r="U188" i="1058"/>
  <c r="U74" i="1058"/>
  <c r="AC188" i="1058"/>
  <c r="AC74" i="1058"/>
  <c r="X191" i="1058"/>
  <c r="X85" i="1058"/>
  <c r="X77" i="1058"/>
  <c r="V87" i="1058"/>
  <c r="V199" i="1058" s="1"/>
  <c r="G210" i="1058"/>
  <c r="G98" i="1058"/>
  <c r="D168" i="1059"/>
  <c r="B55" i="1059"/>
  <c r="J4" i="1058"/>
  <c r="J124" i="1058"/>
  <c r="J105" i="1058"/>
  <c r="J218" i="1058" s="1"/>
  <c r="W5" i="1058"/>
  <c r="R105" i="1058"/>
  <c r="R218" i="1058" s="1"/>
  <c r="AE5" i="1058"/>
  <c r="AE107" i="1058" s="1"/>
  <c r="R124" i="1058"/>
  <c r="T181" i="1058"/>
  <c r="T166" i="1058"/>
  <c r="T165" i="1058"/>
  <c r="T180" i="1058"/>
  <c r="T66" i="1058"/>
  <c r="T67" i="1058"/>
  <c r="T129" i="1058"/>
  <c r="T163" i="1058" s="1"/>
  <c r="T198" i="1058" s="1"/>
  <c r="T123" i="1058"/>
  <c r="T125" i="1058"/>
  <c r="T69" i="1058"/>
  <c r="T130" i="1058"/>
  <c r="T164" i="1058" s="1"/>
  <c r="T54" i="1058"/>
  <c r="T53" i="1058"/>
  <c r="U12" i="1058"/>
  <c r="U165" i="1058" s="1"/>
  <c r="U169" i="1058" s="1"/>
  <c r="I12" i="1058"/>
  <c r="I165" i="1058" s="1"/>
  <c r="I169" i="1058" s="1"/>
  <c r="H177" i="1058"/>
  <c r="U20" i="1058"/>
  <c r="I20" i="1058"/>
  <c r="I63" i="1058" s="1"/>
  <c r="AA107" i="1058"/>
  <c r="AA220" i="1058"/>
  <c r="Q30" i="1058"/>
  <c r="Z189" i="1058"/>
  <c r="Z75" i="1058"/>
  <c r="T80" i="1058"/>
  <c r="X83" i="1058"/>
  <c r="G103" i="1058"/>
  <c r="G215" i="1058"/>
  <c r="G203" i="1058"/>
  <c r="G91" i="1058"/>
  <c r="K105" i="1058"/>
  <c r="K218" i="1058" s="1"/>
  <c r="K124" i="1058"/>
  <c r="T236" i="1058"/>
  <c r="T105" i="1058"/>
  <c r="T124" i="1058"/>
  <c r="G149" i="1058" s="1"/>
  <c r="U181" i="1058"/>
  <c r="U180" i="1058"/>
  <c r="T207" i="1058"/>
  <c r="T95" i="1058"/>
  <c r="U17" i="1058"/>
  <c r="I17" i="1058"/>
  <c r="H174" i="1058"/>
  <c r="T107" i="1058"/>
  <c r="T220" i="1058"/>
  <c r="AB107" i="1058"/>
  <c r="AB220" i="1058"/>
  <c r="N228" i="1058"/>
  <c r="O29" i="1058"/>
  <c r="W188" i="1058"/>
  <c r="W74" i="1058"/>
  <c r="U80" i="1058"/>
  <c r="U82" i="1058"/>
  <c r="AC82" i="1058"/>
  <c r="T104" i="1058"/>
  <c r="T218" i="1058"/>
  <c r="V49" i="1058"/>
  <c r="J49" i="1058"/>
  <c r="G206" i="1058"/>
  <c r="G94" i="1058"/>
  <c r="D223" i="1057"/>
  <c r="L107" i="1058"/>
  <c r="L105" i="1058"/>
  <c r="L218" i="1058" s="1"/>
  <c r="Y5" i="1058"/>
  <c r="L124" i="1058"/>
  <c r="U236" i="1058"/>
  <c r="U105" i="1058"/>
  <c r="U218" i="1058" s="1"/>
  <c r="U124" i="1058"/>
  <c r="I195" i="1058"/>
  <c r="I193" i="1058"/>
  <c r="I180" i="1058"/>
  <c r="I194" i="1058"/>
  <c r="I181" i="1058"/>
  <c r="I192" i="1058"/>
  <c r="I77" i="1058"/>
  <c r="V6" i="1058"/>
  <c r="T56" i="1058"/>
  <c r="H171" i="1058"/>
  <c r="U14" i="1058"/>
  <c r="I14" i="1058"/>
  <c r="T64" i="1058"/>
  <c r="U22" i="1058"/>
  <c r="I22" i="1058"/>
  <c r="Z81" i="1058"/>
  <c r="U104" i="1058"/>
  <c r="G71" i="1058"/>
  <c r="Q105" i="1058"/>
  <c r="Q218" i="1058" s="1"/>
  <c r="X5" i="1058"/>
  <c r="K194" i="1058"/>
  <c r="K192" i="1058"/>
  <c r="K195" i="1058"/>
  <c r="K193" i="1058"/>
  <c r="K77" i="1058"/>
  <c r="X6" i="1058"/>
  <c r="U11" i="1058"/>
  <c r="U10" i="1058" s="1"/>
  <c r="I11" i="1058"/>
  <c r="H176" i="1058"/>
  <c r="U19" i="1058"/>
  <c r="I19" i="1058"/>
  <c r="AD220" i="1058"/>
  <c r="AD107" i="1058"/>
  <c r="I30" i="1058"/>
  <c r="U30" i="1058"/>
  <c r="V51" i="1058"/>
  <c r="J51" i="1058"/>
  <c r="H60" i="1058"/>
  <c r="V220" i="1058"/>
  <c r="V107" i="1058"/>
  <c r="AD87" i="1058"/>
  <c r="AD199" i="1058" s="1"/>
  <c r="T205" i="1059"/>
  <c r="T93" i="1059"/>
  <c r="Z124" i="1058"/>
  <c r="Z105" i="1058"/>
  <c r="L192" i="1058"/>
  <c r="L195" i="1058"/>
  <c r="L193" i="1058"/>
  <c r="L194" i="1058"/>
  <c r="L77" i="1058"/>
  <c r="Y6" i="1058"/>
  <c r="Y194" i="1058" s="1"/>
  <c r="T109" i="1058"/>
  <c r="H173" i="1058"/>
  <c r="U16" i="1058"/>
  <c r="I16" i="1058"/>
  <c r="I59" i="1058" s="1"/>
  <c r="AE220" i="1058"/>
  <c r="U77" i="1058"/>
  <c r="T195" i="1058"/>
  <c r="T78" i="1058"/>
  <c r="AB195" i="1058"/>
  <c r="AB78" i="1058"/>
  <c r="V12" i="1059"/>
  <c r="V132" i="1059" s="1"/>
  <c r="J12" i="1059"/>
  <c r="I166" i="1059"/>
  <c r="I132" i="1059"/>
  <c r="T179" i="1058"/>
  <c r="T168" i="1058"/>
  <c r="T133" i="1058"/>
  <c r="T132" i="1058"/>
  <c r="T131" i="1058"/>
  <c r="T167" i="1058"/>
  <c r="T217" i="1058"/>
  <c r="T169" i="1058"/>
  <c r="T139" i="1058"/>
  <c r="T65" i="1058"/>
  <c r="I108" i="1058"/>
  <c r="I67" i="1058"/>
  <c r="I125" i="1058"/>
  <c r="I56" i="1058"/>
  <c r="I61" i="1058"/>
  <c r="I57" i="1058"/>
  <c r="J8" i="1058"/>
  <c r="I69" i="1058"/>
  <c r="I66" i="1058"/>
  <c r="I65" i="1058"/>
  <c r="I62" i="1058"/>
  <c r="I58" i="1058"/>
  <c r="I64" i="1058"/>
  <c r="I54" i="1058"/>
  <c r="V8" i="1058"/>
  <c r="I221" i="1058"/>
  <c r="I109" i="1058"/>
  <c r="V109" i="1058"/>
  <c r="T60" i="1058"/>
  <c r="H175" i="1058"/>
  <c r="U18" i="1058"/>
  <c r="I18" i="1058"/>
  <c r="X189" i="1058"/>
  <c r="X75" i="1058"/>
  <c r="V195" i="1058"/>
  <c r="V78" i="1058"/>
  <c r="V50" i="1058"/>
  <c r="J50" i="1058"/>
  <c r="T81" i="1058"/>
  <c r="T196" i="1058"/>
  <c r="AB81" i="1058"/>
  <c r="W82" i="1058"/>
  <c r="AE82" i="1058"/>
  <c r="Z83" i="1058"/>
  <c r="H59" i="1058"/>
  <c r="T63" i="1058"/>
  <c r="H64" i="1058"/>
  <c r="H185" i="1058"/>
  <c r="S184" i="1058"/>
  <c r="S185" i="1058"/>
  <c r="G184" i="1058"/>
  <c r="G185" i="1058"/>
  <c r="I104" i="1058"/>
  <c r="I216" i="1058" a="1"/>
  <c r="I216" i="1058" s="1"/>
  <c r="AC107" i="1058"/>
  <c r="J109" i="1058"/>
  <c r="T178" i="1058"/>
  <c r="V20" i="1059"/>
  <c r="J20" i="1059"/>
  <c r="V81" i="1059"/>
  <c r="AD81" i="1059"/>
  <c r="U220" i="1058"/>
  <c r="U107" i="1058"/>
  <c r="AA189" i="1058"/>
  <c r="AA75" i="1058"/>
  <c r="Y191" i="1058"/>
  <c r="Y77" i="1058"/>
  <c r="Y85" i="1058"/>
  <c r="T194" i="1058"/>
  <c r="AB194" i="1058"/>
  <c r="W195" i="1058"/>
  <c r="U81" i="1058"/>
  <c r="AC81" i="1058"/>
  <c r="X162" i="1058"/>
  <c r="O162" i="1058"/>
  <c r="S171" i="1058"/>
  <c r="AE162" i="1058"/>
  <c r="W162" i="1058"/>
  <c r="N162" i="1058"/>
  <c r="AD162" i="1058"/>
  <c r="V162" i="1058"/>
  <c r="M162" i="1058"/>
  <c r="AB162" i="1058"/>
  <c r="K162" i="1058"/>
  <c r="AA162" i="1058"/>
  <c r="L162" i="1058"/>
  <c r="Z162" i="1058"/>
  <c r="J162" i="1058"/>
  <c r="Y162" i="1058"/>
  <c r="I162" i="1058"/>
  <c r="U162" i="1058"/>
  <c r="H162" i="1058"/>
  <c r="G171" i="1058"/>
  <c r="Q162" i="1058"/>
  <c r="G175" i="1058"/>
  <c r="S175" i="1058"/>
  <c r="G101" i="1058"/>
  <c r="G213" i="1058"/>
  <c r="G107" i="1058"/>
  <c r="G220" i="1058"/>
  <c r="O107" i="1058"/>
  <c r="X74" i="1058"/>
  <c r="AC75" i="1058"/>
  <c r="AD78" i="1058"/>
  <c r="G102" i="1058"/>
  <c r="AD188" i="1058"/>
  <c r="L192" i="1059"/>
  <c r="L194" i="1059"/>
  <c r="L195" i="1059"/>
  <c r="L193" i="1059"/>
  <c r="L77" i="1059"/>
  <c r="Y6" i="1059"/>
  <c r="M6" i="1059"/>
  <c r="X191" i="1059"/>
  <c r="X85" i="1059"/>
  <c r="X77" i="1059"/>
  <c r="W195" i="1059"/>
  <c r="W78" i="1059"/>
  <c r="AE78" i="1059"/>
  <c r="U49" i="1059"/>
  <c r="I49" i="1059"/>
  <c r="M124" i="1058"/>
  <c r="H130" i="1058" a="1"/>
  <c r="H130" i="1058" s="1"/>
  <c r="H164" i="1058" s="1"/>
  <c r="H123" i="1058"/>
  <c r="I23" i="1058"/>
  <c r="M24" i="1058"/>
  <c r="T184" i="1058"/>
  <c r="Y74" i="1058"/>
  <c r="Y188" i="1058"/>
  <c r="Z85" i="1058"/>
  <c r="Z191" i="1058"/>
  <c r="U194" i="1058"/>
  <c r="AC80" i="1058"/>
  <c r="AC194" i="1058"/>
  <c r="X195" i="1058"/>
  <c r="X78" i="1058"/>
  <c r="AD81" i="1058"/>
  <c r="Z87" i="1058"/>
  <c r="Z199" i="1058" s="1"/>
  <c r="H58" i="1058"/>
  <c r="H62" i="1058"/>
  <c r="H65" i="1058"/>
  <c r="H71" i="1058" s="1"/>
  <c r="H66" i="1058"/>
  <c r="Z74" i="1058"/>
  <c r="AD75" i="1058"/>
  <c r="H77" i="1058"/>
  <c r="AE78" i="1058"/>
  <c r="M107" i="1058"/>
  <c r="G221" i="1058"/>
  <c r="I108" i="1059"/>
  <c r="G203" i="1059"/>
  <c r="G91" i="1059"/>
  <c r="N105" i="1058"/>
  <c r="N218" i="1058" s="1"/>
  <c r="N124" i="1058"/>
  <c r="P195" i="1058"/>
  <c r="P193" i="1058"/>
  <c r="P194" i="1058"/>
  <c r="P192" i="1058"/>
  <c r="H108" i="1058"/>
  <c r="H69" i="1058"/>
  <c r="I129" i="1058"/>
  <c r="I163" i="1058" s="1"/>
  <c r="I123" i="1058"/>
  <c r="I121" i="1058" s="1"/>
  <c r="I130" i="1058" a="1"/>
  <c r="I130" i="1058" s="1"/>
  <c r="I164" i="1058" s="1"/>
  <c r="AA191" i="1058"/>
  <c r="V80" i="1058"/>
  <c r="Y195" i="1058"/>
  <c r="Y78" i="1058"/>
  <c r="W81" i="1058"/>
  <c r="Z82" i="1058"/>
  <c r="U83" i="1058"/>
  <c r="AC83" i="1058"/>
  <c r="AA87" i="1058"/>
  <c r="AA199" i="1058" s="1"/>
  <c r="G57" i="1058"/>
  <c r="S174" i="1058"/>
  <c r="G174" i="1058"/>
  <c r="G61" i="1058"/>
  <c r="AF74" i="1058"/>
  <c r="AA74" i="1058"/>
  <c r="T75" i="1058"/>
  <c r="V81" i="1058"/>
  <c r="AA83" i="1058"/>
  <c r="N107" i="1058"/>
  <c r="V194" i="1058"/>
  <c r="V16" i="1059"/>
  <c r="J16" i="1059"/>
  <c r="I173" i="1059"/>
  <c r="M228" i="1059"/>
  <c r="Z29" i="1059"/>
  <c r="Z228" i="1059" s="1"/>
  <c r="N29" i="1059"/>
  <c r="W30" i="1059"/>
  <c r="K30" i="1059"/>
  <c r="X30" i="1059" s="1"/>
  <c r="J129" i="1058"/>
  <c r="J163" i="1058" s="1"/>
  <c r="J123" i="1058"/>
  <c r="J181" i="1058"/>
  <c r="J180" i="1058"/>
  <c r="J130" i="1058" a="1"/>
  <c r="J130" i="1058" s="1"/>
  <c r="J164" i="1058" s="1"/>
  <c r="J216" i="1058" a="1"/>
  <c r="J216" i="1058" s="1"/>
  <c r="J125" i="1058"/>
  <c r="T171" i="1058"/>
  <c r="T172" i="1058"/>
  <c r="T173" i="1058"/>
  <c r="T174" i="1058"/>
  <c r="T175" i="1058"/>
  <c r="T176" i="1058"/>
  <c r="T182" i="1058"/>
  <c r="T68" i="1058"/>
  <c r="T191" i="1058"/>
  <c r="T85" i="1058"/>
  <c r="T77" i="1058"/>
  <c r="W80" i="1058"/>
  <c r="W194" i="1058"/>
  <c r="Z195" i="1058"/>
  <c r="AA82" i="1058"/>
  <c r="T87" i="1058"/>
  <c r="T199" i="1058" s="1"/>
  <c r="T216" i="1058"/>
  <c r="AB87" i="1058"/>
  <c r="AB199" i="1058" s="1"/>
  <c r="Z218" i="1058"/>
  <c r="G142" i="1058"/>
  <c r="G143" i="1058" s="1"/>
  <c r="G90" i="1058"/>
  <c r="G202" i="1058"/>
  <c r="H57" i="1058"/>
  <c r="H61" i="1058"/>
  <c r="H68" i="1058"/>
  <c r="J107" i="1058"/>
  <c r="J220" i="1058"/>
  <c r="R107" i="1058"/>
  <c r="R220" i="1058"/>
  <c r="AB74" i="1058"/>
  <c r="U75" i="1058"/>
  <c r="AB80" i="1058"/>
  <c r="X81" i="1058"/>
  <c r="AF83" i="1058"/>
  <c r="AB83" i="1058"/>
  <c r="Y87" i="1058"/>
  <c r="Y199" i="1058" s="1"/>
  <c r="M105" i="1058"/>
  <c r="M218" i="1058" s="1"/>
  <c r="P162" i="1058"/>
  <c r="T220" i="1059"/>
  <c r="T107" i="1059"/>
  <c r="G204" i="1059"/>
  <c r="G92" i="1059"/>
  <c r="W220" i="1059"/>
  <c r="W107" i="1059"/>
  <c r="H169" i="1058"/>
  <c r="H139" i="1058"/>
  <c r="H134" i="1058"/>
  <c r="H217" i="1058"/>
  <c r="H179" i="1058"/>
  <c r="H168" i="1058"/>
  <c r="H132" i="1058"/>
  <c r="H131" i="1058"/>
  <c r="H55" i="1058" s="1"/>
  <c r="H167" i="1058"/>
  <c r="H133" i="1058"/>
  <c r="H124" i="1058"/>
  <c r="H236" i="1058"/>
  <c r="H105" i="1058"/>
  <c r="H218" i="1058" s="1"/>
  <c r="P124" i="1058"/>
  <c r="H195" i="1058"/>
  <c r="H193" i="1058"/>
  <c r="H180" i="1058"/>
  <c r="H194" i="1058"/>
  <c r="H166" i="1058"/>
  <c r="H181" i="1058"/>
  <c r="K9" i="1058"/>
  <c r="K10" i="1058"/>
  <c r="K216" i="1058" s="1" a="1"/>
  <c r="K216" i="1058" s="1"/>
  <c r="U23" i="1058"/>
  <c r="Y220" i="1058"/>
  <c r="Y107" i="1058"/>
  <c r="W75" i="1058"/>
  <c r="W189" i="1058"/>
  <c r="AE75" i="1058"/>
  <c r="AE189" i="1058"/>
  <c r="U85" i="1058"/>
  <c r="U191" i="1058"/>
  <c r="AC85" i="1058"/>
  <c r="AC191" i="1058"/>
  <c r="X194" i="1058"/>
  <c r="X80" i="1058"/>
  <c r="Y81" i="1058"/>
  <c r="T197" i="1058"/>
  <c r="AB82" i="1058"/>
  <c r="AE83" i="1058"/>
  <c r="U216" i="1058"/>
  <c r="U87" i="1058"/>
  <c r="U199" i="1058" s="1"/>
  <c r="AA218" i="1058"/>
  <c r="H53" i="1058"/>
  <c r="G92" i="1058"/>
  <c r="G204" i="1058"/>
  <c r="T58" i="1058"/>
  <c r="G208" i="1058"/>
  <c r="G96" i="1058"/>
  <c r="T62" i="1058"/>
  <c r="H63" i="1058"/>
  <c r="H140" i="1058" s="1"/>
  <c r="K107" i="1058"/>
  <c r="K220" i="1058"/>
  <c r="AF72" i="1058"/>
  <c r="V75" i="1058"/>
  <c r="AB77" i="1058"/>
  <c r="T82" i="1058"/>
  <c r="AD83" i="1058"/>
  <c r="AA85" i="1058"/>
  <c r="AC87" i="1058"/>
  <c r="G100" i="1058"/>
  <c r="P105" i="1058"/>
  <c r="P218" i="1058" s="1"/>
  <c r="R162" i="1058"/>
  <c r="Z24" i="1059"/>
  <c r="N24" i="1059"/>
  <c r="V188" i="1058"/>
  <c r="V74" i="1058"/>
  <c r="W191" i="1058"/>
  <c r="W77" i="1058"/>
  <c r="AE191" i="1058"/>
  <c r="U195" i="1058"/>
  <c r="U78" i="1058"/>
  <c r="AC195" i="1058"/>
  <c r="AC78" i="1058"/>
  <c r="Y83" i="1058"/>
  <c r="AC218" i="1058"/>
  <c r="T57" i="1058"/>
  <c r="G172" i="1058"/>
  <c r="S172" i="1058"/>
  <c r="T61" i="1058"/>
  <c r="S176" i="1058"/>
  <c r="G176" i="1058"/>
  <c r="T71" i="1058"/>
  <c r="T74" i="1058"/>
  <c r="P77" i="1058"/>
  <c r="Z78" i="1058"/>
  <c r="AE81" i="1058"/>
  <c r="X82" i="1058"/>
  <c r="H216" i="1058" a="1"/>
  <c r="H216" i="1058" s="1"/>
  <c r="H104" i="1058"/>
  <c r="AE85" i="1058"/>
  <c r="AE87" i="1058"/>
  <c r="AE199" i="1058" s="1"/>
  <c r="G95" i="1058"/>
  <c r="H109" i="1058"/>
  <c r="H129" i="1058"/>
  <c r="H163" i="1058" s="1"/>
  <c r="AC162" i="1058"/>
  <c r="H192" i="1058"/>
  <c r="G211" i="1058"/>
  <c r="O220" i="1058"/>
  <c r="H94" i="1059"/>
  <c r="H206" i="1059"/>
  <c r="H218" i="1059"/>
  <c r="AB124" i="1059"/>
  <c r="I56" i="1059"/>
  <c r="H60" i="1059"/>
  <c r="U17" i="1059"/>
  <c r="H178" i="1059"/>
  <c r="U21" i="1059"/>
  <c r="U220" i="1059"/>
  <c r="U107" i="1059"/>
  <c r="AC220" i="1059"/>
  <c r="AC107" i="1059"/>
  <c r="T194" i="1059"/>
  <c r="T80" i="1059"/>
  <c r="AB194" i="1059"/>
  <c r="AB80" i="1059"/>
  <c r="X195" i="1059"/>
  <c r="X78" i="1059"/>
  <c r="V87" i="1059"/>
  <c r="V199" i="1059" s="1"/>
  <c r="AD87" i="1059"/>
  <c r="AD199" i="1059" s="1"/>
  <c r="H56" i="1059"/>
  <c r="AF81" i="1059"/>
  <c r="AF82" i="1059"/>
  <c r="H175" i="1059"/>
  <c r="T129" i="1059"/>
  <c r="T163" i="1059" s="1"/>
  <c r="T196" i="1059" s="1"/>
  <c r="T69" i="1059"/>
  <c r="T125" i="1059"/>
  <c r="T123" i="1059"/>
  <c r="T54" i="1059"/>
  <c r="T53" i="1059"/>
  <c r="T130" i="1059"/>
  <c r="T164" i="1059" s="1"/>
  <c r="V13" i="1059"/>
  <c r="V56" i="1059" s="1"/>
  <c r="J13" i="1059"/>
  <c r="I174" i="1059"/>
  <c r="V17" i="1059"/>
  <c r="J17" i="1059"/>
  <c r="V21" i="1059"/>
  <c r="J21" i="1059"/>
  <c r="V107" i="1059"/>
  <c r="V220" i="1059"/>
  <c r="AD220" i="1059"/>
  <c r="AD107" i="1059"/>
  <c r="V30" i="1059"/>
  <c r="Z189" i="1059"/>
  <c r="Z75" i="1059"/>
  <c r="Z191" i="1059"/>
  <c r="AC194" i="1059"/>
  <c r="J50" i="1059"/>
  <c r="V50" i="1059"/>
  <c r="G140" i="1059"/>
  <c r="S176" i="1059"/>
  <c r="G176" i="1059"/>
  <c r="G62" i="1059"/>
  <c r="G213" i="1059"/>
  <c r="G101" i="1059"/>
  <c r="T215" i="1059"/>
  <c r="T103" i="1059"/>
  <c r="AF80" i="1059"/>
  <c r="Y85" i="1059"/>
  <c r="B113" i="1059"/>
  <c r="B114" i="1059" s="1"/>
  <c r="D224" i="1059"/>
  <c r="H132" i="1059"/>
  <c r="H55" i="1059" s="1"/>
  <c r="V179" i="1059"/>
  <c r="AD124" i="1059"/>
  <c r="AD105" i="1059"/>
  <c r="AD218" i="1059" s="1"/>
  <c r="H88" i="1059" a="1"/>
  <c r="H88" i="1059" s="1"/>
  <c r="U9" i="1059"/>
  <c r="U88" i="1059" s="1"/>
  <c r="U109" i="1059" s="1"/>
  <c r="I9" i="1059"/>
  <c r="U171" i="1059"/>
  <c r="T184" i="1059"/>
  <c r="AE220" i="1059"/>
  <c r="AE107" i="1059"/>
  <c r="X74" i="1059"/>
  <c r="X188" i="1059"/>
  <c r="AA189" i="1059"/>
  <c r="AA75" i="1059"/>
  <c r="X87" i="1059"/>
  <c r="X199" i="1059" s="1"/>
  <c r="S171" i="1059"/>
  <c r="AE162" i="1059"/>
  <c r="W162" i="1059"/>
  <c r="N162" i="1059"/>
  <c r="AD162" i="1059"/>
  <c r="V162" i="1059"/>
  <c r="M162" i="1059"/>
  <c r="Y162" i="1059"/>
  <c r="L162" i="1059"/>
  <c r="G171" i="1059"/>
  <c r="AC162" i="1059"/>
  <c r="R162" i="1059"/>
  <c r="H162" i="1059"/>
  <c r="Z162" i="1059"/>
  <c r="J162" i="1059"/>
  <c r="X162" i="1059"/>
  <c r="I162" i="1059"/>
  <c r="U162" i="1059"/>
  <c r="G57" i="1059"/>
  <c r="Q162" i="1059"/>
  <c r="G214" i="1059"/>
  <c r="G102" i="1059"/>
  <c r="Z85" i="1059"/>
  <c r="M107" i="1059"/>
  <c r="AB162" i="1059"/>
  <c r="Y24" i="1060"/>
  <c r="M24" i="1060"/>
  <c r="D220" i="1058"/>
  <c r="T132" i="1059"/>
  <c r="T131" i="1059"/>
  <c r="T217" i="1059"/>
  <c r="T179" i="1059"/>
  <c r="T167" i="1059"/>
  <c r="T168" i="1059"/>
  <c r="T133" i="1059"/>
  <c r="T65" i="1059"/>
  <c r="T71" i="1059" s="1"/>
  <c r="T134" i="1059"/>
  <c r="T139" i="1059"/>
  <c r="I14" i="1059"/>
  <c r="I18" i="1059"/>
  <c r="I22" i="1059"/>
  <c r="Y188" i="1059"/>
  <c r="Y74" i="1059"/>
  <c r="T189" i="1059"/>
  <c r="T75" i="1059"/>
  <c r="AB189" i="1059"/>
  <c r="AB75" i="1059"/>
  <c r="Y87" i="1059"/>
  <c r="Y199" i="1059" s="1"/>
  <c r="M51" i="1059"/>
  <c r="G173" i="1059"/>
  <c r="S173" i="1059"/>
  <c r="T61" i="1059"/>
  <c r="S184" i="1059"/>
  <c r="S185" i="1059"/>
  <c r="G185" i="1059"/>
  <c r="G184" i="1059"/>
  <c r="G220" i="1059"/>
  <c r="G107" i="1059"/>
  <c r="AF72" i="1059"/>
  <c r="G221" i="1059"/>
  <c r="G109" i="1059"/>
  <c r="G70" i="1059"/>
  <c r="N107" i="1059"/>
  <c r="G197" i="1059"/>
  <c r="G198" i="1059"/>
  <c r="G196" i="1059"/>
  <c r="H173" i="1059"/>
  <c r="H176" i="1059"/>
  <c r="U131" i="1059"/>
  <c r="U217" i="1059"/>
  <c r="U134" i="1059"/>
  <c r="U168" i="1059"/>
  <c r="U132" i="1059"/>
  <c r="U133" i="1059"/>
  <c r="U65" i="1059"/>
  <c r="K124" i="1059"/>
  <c r="K107" i="1059"/>
  <c r="X5" i="1059"/>
  <c r="K105" i="1059"/>
  <c r="K218" i="1059" s="1"/>
  <c r="T236" i="1059"/>
  <c r="T124" i="1059"/>
  <c r="G149" i="1059" s="1"/>
  <c r="T66" i="1059"/>
  <c r="H130" i="1059" a="1"/>
  <c r="H130" i="1059" s="1"/>
  <c r="H164" i="1059" s="1"/>
  <c r="H123" i="1059"/>
  <c r="H125" i="1059"/>
  <c r="I10" i="1059"/>
  <c r="U130" i="1059"/>
  <c r="U164" i="1059" s="1"/>
  <c r="U54" i="1059"/>
  <c r="U129" i="1059"/>
  <c r="U163" i="1059" s="1"/>
  <c r="U198" i="1059" s="1"/>
  <c r="U125" i="1059"/>
  <c r="U123" i="1059"/>
  <c r="U53" i="1059"/>
  <c r="H172" i="1059"/>
  <c r="U15" i="1059"/>
  <c r="U62" i="1059"/>
  <c r="H182" i="1059"/>
  <c r="U23" i="1059"/>
  <c r="W82" i="1059"/>
  <c r="AE82" i="1059"/>
  <c r="V104" i="1059"/>
  <c r="T206" i="1059"/>
  <c r="T94" i="1059"/>
  <c r="T60" i="1059"/>
  <c r="U69" i="1059"/>
  <c r="H216" i="1059" a="1"/>
  <c r="H216" i="1059" s="1"/>
  <c r="H104" i="1059"/>
  <c r="T105" i="1059"/>
  <c r="O107" i="1059"/>
  <c r="B112" i="1058"/>
  <c r="V131" i="1059"/>
  <c r="V133" i="1059"/>
  <c r="V65" i="1059"/>
  <c r="V169" i="1059"/>
  <c r="V168" i="1059"/>
  <c r="V134" i="1059"/>
  <c r="Y5" i="1059"/>
  <c r="L105" i="1059"/>
  <c r="L218" i="1059" s="1"/>
  <c r="U236" i="1059"/>
  <c r="U124" i="1059"/>
  <c r="H149" i="1059" s="1"/>
  <c r="U105" i="1059"/>
  <c r="I181" i="1059"/>
  <c r="V166" i="1059"/>
  <c r="V165" i="1059"/>
  <c r="V181" i="1059"/>
  <c r="V66" i="1059"/>
  <c r="V67" i="1059"/>
  <c r="V11" i="1059"/>
  <c r="V10" i="1059" s="1"/>
  <c r="J11" i="1059"/>
  <c r="T204" i="1059"/>
  <c r="T92" i="1059"/>
  <c r="I15" i="1059"/>
  <c r="T174" i="1059"/>
  <c r="I19" i="1059"/>
  <c r="I23" i="1059"/>
  <c r="Z220" i="1059"/>
  <c r="T81" i="1059"/>
  <c r="AB81" i="1059"/>
  <c r="G59" i="1059"/>
  <c r="W74" i="1059"/>
  <c r="X82" i="1059"/>
  <c r="Q199" i="1059"/>
  <c r="X107" i="1059"/>
  <c r="H129" i="1059"/>
  <c r="H163" i="1059" s="1"/>
  <c r="K162" i="1059"/>
  <c r="H168" i="1059"/>
  <c r="G196" i="1058"/>
  <c r="G198" i="1058"/>
  <c r="Z5" i="1059"/>
  <c r="M105" i="1059"/>
  <c r="M218" i="1059" s="1"/>
  <c r="V124" i="1059"/>
  <c r="V105" i="1059"/>
  <c r="V218" i="1059" s="1"/>
  <c r="T109" i="1059"/>
  <c r="U173" i="1059"/>
  <c r="U59" i="1059"/>
  <c r="H177" i="1059"/>
  <c r="U20" i="1059"/>
  <c r="Z30" i="1059"/>
  <c r="N30" i="1059"/>
  <c r="V195" i="1059"/>
  <c r="AD78" i="1059"/>
  <c r="AD195" i="1059"/>
  <c r="U196" i="1059"/>
  <c r="U81" i="1059"/>
  <c r="AC81" i="1059"/>
  <c r="T83" i="1059"/>
  <c r="AB83" i="1059"/>
  <c r="W87" i="1059"/>
  <c r="W199" i="1059" s="1"/>
  <c r="AE87" i="1059"/>
  <c r="AE199" i="1059" s="1"/>
  <c r="G71" i="1059"/>
  <c r="G209" i="1059"/>
  <c r="G97" i="1059"/>
  <c r="Y77" i="1059"/>
  <c r="Y82" i="1059"/>
  <c r="J104" i="1059"/>
  <c r="G103" i="1059"/>
  <c r="G104" i="1059"/>
  <c r="AB105" i="1059"/>
  <c r="Y107" i="1059"/>
  <c r="AC124" i="1059"/>
  <c r="O162" i="1059"/>
  <c r="H171" i="1059"/>
  <c r="H174" i="1059"/>
  <c r="AF87" i="1058"/>
  <c r="N105" i="1059"/>
  <c r="N218" i="1059" s="1"/>
  <c r="W105" i="1059"/>
  <c r="W218" i="1059" s="1"/>
  <c r="AE105" i="1059"/>
  <c r="AE218" i="1059" s="1"/>
  <c r="P195" i="1059"/>
  <c r="P193" i="1059"/>
  <c r="H108" i="1059"/>
  <c r="H61" i="1059"/>
  <c r="H57" i="1059"/>
  <c r="V80" i="1059"/>
  <c r="V194" i="1059"/>
  <c r="AD80" i="1059"/>
  <c r="AD194" i="1059"/>
  <c r="Y195" i="1059"/>
  <c r="Z82" i="1059"/>
  <c r="AA87" i="1059"/>
  <c r="AA199" i="1059" s="1"/>
  <c r="H53" i="1059"/>
  <c r="H54" i="1059"/>
  <c r="H71" i="1059" s="1"/>
  <c r="H59" i="1059"/>
  <c r="S174" i="1059"/>
  <c r="G174" i="1059"/>
  <c r="H66" i="1059"/>
  <c r="H67" i="1059"/>
  <c r="AF74" i="1059"/>
  <c r="P77" i="1059"/>
  <c r="I216" i="1059" a="1"/>
  <c r="I216" i="1059" s="1"/>
  <c r="AB85" i="1059"/>
  <c r="P107" i="1059"/>
  <c r="G121" i="1059"/>
  <c r="N124" i="1059"/>
  <c r="P192" i="1059"/>
  <c r="O124" i="1059"/>
  <c r="Q194" i="1059"/>
  <c r="Q195" i="1059"/>
  <c r="Q77" i="1059"/>
  <c r="Q193" i="1059"/>
  <c r="Q192" i="1059"/>
  <c r="I65" i="1059"/>
  <c r="T173" i="1059"/>
  <c r="T175" i="1059"/>
  <c r="T176" i="1059"/>
  <c r="T177" i="1059"/>
  <c r="T178" i="1059"/>
  <c r="V75" i="1059"/>
  <c r="V189" i="1059"/>
  <c r="W194" i="1059"/>
  <c r="T216" i="1059"/>
  <c r="I53" i="1059"/>
  <c r="I54" i="1059"/>
  <c r="I59" i="1059"/>
  <c r="H62" i="1059"/>
  <c r="H63" i="1059"/>
  <c r="H140" i="1059" s="1"/>
  <c r="H64" i="1059"/>
  <c r="H65" i="1059"/>
  <c r="I66" i="1059"/>
  <c r="I67" i="1059"/>
  <c r="AA220" i="1059"/>
  <c r="Z74" i="1059"/>
  <c r="AB77" i="1059"/>
  <c r="T85" i="1059"/>
  <c r="AD85" i="1059"/>
  <c r="Q107" i="1059"/>
  <c r="AE124" i="1059"/>
  <c r="T165" i="1059"/>
  <c r="T169" i="1059" s="1"/>
  <c r="S175" i="1059"/>
  <c r="U197" i="1059"/>
  <c r="H77" i="1060"/>
  <c r="H194" i="1060"/>
  <c r="H192" i="1060"/>
  <c r="H181" i="1060"/>
  <c r="U6" i="1060"/>
  <c r="H165" i="1060"/>
  <c r="H195" i="1060"/>
  <c r="H166" i="1060"/>
  <c r="H63" i="1060"/>
  <c r="H67" i="1060"/>
  <c r="H56" i="1060"/>
  <c r="I6" i="1060"/>
  <c r="H66" i="1060"/>
  <c r="H193" i="1060"/>
  <c r="H180" i="1060"/>
  <c r="H172" i="1060"/>
  <c r="T60" i="1060"/>
  <c r="T174" i="1060"/>
  <c r="G218" i="1058"/>
  <c r="H139" i="1059"/>
  <c r="H134" i="1059"/>
  <c r="H217" i="1059"/>
  <c r="H179" i="1059"/>
  <c r="H124" i="1059"/>
  <c r="H236" i="1059"/>
  <c r="P124" i="1059"/>
  <c r="H195" i="1059"/>
  <c r="H193" i="1059"/>
  <c r="H180" i="1059"/>
  <c r="H181" i="1059"/>
  <c r="H192" i="1059"/>
  <c r="H194" i="1059"/>
  <c r="H166" i="1059"/>
  <c r="R6" i="1059"/>
  <c r="J8" i="1059"/>
  <c r="U191" i="1059"/>
  <c r="U85" i="1059"/>
  <c r="AC191" i="1059"/>
  <c r="AC85" i="1059"/>
  <c r="X194" i="1059"/>
  <c r="U216" i="1059"/>
  <c r="I57" i="1059"/>
  <c r="G172" i="1059"/>
  <c r="S172" i="1059"/>
  <c r="T59" i="1059"/>
  <c r="G60" i="1059"/>
  <c r="T62" i="1059"/>
  <c r="I63" i="1059"/>
  <c r="I64" i="1059"/>
  <c r="J107" i="1059"/>
  <c r="J220" i="1059"/>
  <c r="R220" i="1059"/>
  <c r="R107" i="1059"/>
  <c r="AA74" i="1059"/>
  <c r="T77" i="1059"/>
  <c r="AE81" i="1059"/>
  <c r="AC83" i="1059"/>
  <c r="V85" i="1059"/>
  <c r="AF87" i="1059"/>
  <c r="H107" i="1059"/>
  <c r="H167" i="1059"/>
  <c r="T171" i="1059"/>
  <c r="P194" i="1059"/>
  <c r="T195" i="1059"/>
  <c r="I134" i="1059"/>
  <c r="I133" i="1059"/>
  <c r="I217" i="1059"/>
  <c r="I179" i="1059"/>
  <c r="I169" i="1059"/>
  <c r="I131" i="1059"/>
  <c r="I55" i="1059" s="1"/>
  <c r="I168" i="1059"/>
  <c r="I236" i="1059"/>
  <c r="Q124" i="1059"/>
  <c r="I194" i="1059"/>
  <c r="I195" i="1059"/>
  <c r="I193" i="1059"/>
  <c r="I77" i="1059"/>
  <c r="I192" i="1059"/>
  <c r="T181" i="1059"/>
  <c r="T67" i="1059"/>
  <c r="T180" i="1059"/>
  <c r="Y194" i="1059"/>
  <c r="AB195" i="1059"/>
  <c r="X83" i="1059"/>
  <c r="V216" i="1059"/>
  <c r="T218" i="1059"/>
  <c r="AB218" i="1059"/>
  <c r="T63" i="1059"/>
  <c r="T64" i="1059"/>
  <c r="H68" i="1059"/>
  <c r="H69" i="1059"/>
  <c r="AB74" i="1059"/>
  <c r="AD77" i="1059"/>
  <c r="W80" i="1059"/>
  <c r="AD83" i="1059"/>
  <c r="O105" i="1059"/>
  <c r="O218" i="1059" s="1"/>
  <c r="I107" i="1059"/>
  <c r="AF124" i="1059"/>
  <c r="H165" i="1059"/>
  <c r="H169" i="1059" s="1"/>
  <c r="I167" i="1059"/>
  <c r="I180" i="1059"/>
  <c r="U195" i="1060"/>
  <c r="U81" i="1060"/>
  <c r="AC81" i="1060"/>
  <c r="J4" i="1059"/>
  <c r="J236" i="1059"/>
  <c r="AA5" i="1059"/>
  <c r="K193" i="1059"/>
  <c r="K192" i="1059"/>
  <c r="K194" i="1059"/>
  <c r="U6" i="1059"/>
  <c r="U194" i="1059" s="1"/>
  <c r="AC6" i="1059"/>
  <c r="AC77" i="1059" s="1"/>
  <c r="U8" i="1059"/>
  <c r="J29" i="1059"/>
  <c r="AC195" i="1059"/>
  <c r="U218" i="1059"/>
  <c r="AC218" i="1059"/>
  <c r="G58" i="1059"/>
  <c r="I60" i="1059"/>
  <c r="I69" i="1059"/>
  <c r="L220" i="1059"/>
  <c r="L107" i="1059"/>
  <c r="T74" i="1059"/>
  <c r="AC74" i="1059"/>
  <c r="AC75" i="1059"/>
  <c r="V77" i="1059"/>
  <c r="U78" i="1059"/>
  <c r="X80" i="1059"/>
  <c r="X81" i="1059"/>
  <c r="V83" i="1059"/>
  <c r="AE83" i="1059"/>
  <c r="P105" i="1059"/>
  <c r="P218" i="1059" s="1"/>
  <c r="I124" i="1059"/>
  <c r="W124" i="1059"/>
  <c r="I125" i="1059"/>
  <c r="I165" i="1059"/>
  <c r="T166" i="1059"/>
  <c r="K124" i="1060"/>
  <c r="K107" i="1060"/>
  <c r="K105" i="1060"/>
  <c r="K218" i="1060" s="1"/>
  <c r="X5" i="1060"/>
  <c r="T124" i="1060"/>
  <c r="G149" i="1060" s="1"/>
  <c r="T105" i="1060"/>
  <c r="T236" i="1060"/>
  <c r="AA188" i="1060"/>
  <c r="AA74" i="1060"/>
  <c r="L105" i="1060"/>
  <c r="L218" i="1060" s="1"/>
  <c r="L107" i="1060"/>
  <c r="Y5" i="1060"/>
  <c r="L124" i="1060"/>
  <c r="U236" i="1060"/>
  <c r="U105" i="1060"/>
  <c r="U218" i="1060" s="1"/>
  <c r="U124" i="1060"/>
  <c r="H175" i="1060"/>
  <c r="X189" i="1060"/>
  <c r="X75" i="1060"/>
  <c r="I16" i="1060"/>
  <c r="H173" i="1060"/>
  <c r="H59" i="1060"/>
  <c r="U16" i="1060"/>
  <c r="K49" i="1060"/>
  <c r="W49" i="1060"/>
  <c r="U175" i="1060"/>
  <c r="U61" i="1060"/>
  <c r="V218" i="1060"/>
  <c r="L51" i="1060"/>
  <c r="X51" i="1060"/>
  <c r="B55" i="1060"/>
  <c r="G215" i="1060"/>
  <c r="G71" i="1060"/>
  <c r="G103" i="1060"/>
  <c r="T107" i="1060"/>
  <c r="G142" i="1059"/>
  <c r="G143" i="1059" s="1"/>
  <c r="T131" i="1060"/>
  <c r="T55" i="1060" s="1"/>
  <c r="T167" i="1060"/>
  <c r="T139" i="1060"/>
  <c r="T134" i="1060"/>
  <c r="T133" i="1060"/>
  <c r="T132" i="1060"/>
  <c r="T179" i="1060"/>
  <c r="T168" i="1060"/>
  <c r="T217" i="1060"/>
  <c r="T65" i="1060"/>
  <c r="T102" i="1060"/>
  <c r="T214" i="1060"/>
  <c r="AB220" i="1060"/>
  <c r="AD105" i="1060"/>
  <c r="AD218" i="1060" s="1"/>
  <c r="AD124" i="1060"/>
  <c r="U220" i="1060"/>
  <c r="U107" i="1060"/>
  <c r="W50" i="1060"/>
  <c r="K50" i="1060"/>
  <c r="B55" i="1061"/>
  <c r="D168" i="1061"/>
  <c r="H134" i="1060"/>
  <c r="H217" i="1060"/>
  <c r="H133" i="1060"/>
  <c r="H179" i="1060"/>
  <c r="H132" i="1060"/>
  <c r="H131" i="1060"/>
  <c r="H168" i="1060"/>
  <c r="H167" i="1060"/>
  <c r="U4" i="1060"/>
  <c r="I4" i="1060"/>
  <c r="H169" i="1060"/>
  <c r="AC105" i="1060"/>
  <c r="AC218" i="1060" s="1"/>
  <c r="AC124" i="1060"/>
  <c r="R192" i="1060"/>
  <c r="R194" i="1060"/>
  <c r="R77" i="1060"/>
  <c r="AE6" i="1060"/>
  <c r="AE80" i="1060" s="1"/>
  <c r="R195" i="1060"/>
  <c r="T109" i="1060"/>
  <c r="U68" i="1060"/>
  <c r="U182" i="1060"/>
  <c r="Z107" i="1060"/>
  <c r="Z220" i="1060"/>
  <c r="I228" i="1060"/>
  <c r="J29" i="1060"/>
  <c r="T85" i="1060"/>
  <c r="T191" i="1060"/>
  <c r="T77" i="1060"/>
  <c r="AB85" i="1060"/>
  <c r="AB191" i="1060"/>
  <c r="AB77" i="1060"/>
  <c r="X194" i="1060"/>
  <c r="X80" i="1060"/>
  <c r="AA78" i="1060"/>
  <c r="U188" i="1060"/>
  <c r="T67" i="1061"/>
  <c r="T64" i="1061"/>
  <c r="T166" i="1061"/>
  <c r="T165" i="1061"/>
  <c r="T169" i="1061" s="1"/>
  <c r="T66" i="1061"/>
  <c r="T181" i="1061"/>
  <c r="T63" i="1061"/>
  <c r="T57" i="1061"/>
  <c r="T61" i="1061"/>
  <c r="T77" i="1061"/>
  <c r="T180" i="1061"/>
  <c r="T59" i="1061"/>
  <c r="U87" i="1061"/>
  <c r="U199" i="1061" s="1"/>
  <c r="AC87" i="1061"/>
  <c r="AD220" i="1062"/>
  <c r="AD107" i="1062"/>
  <c r="V30" i="1060"/>
  <c r="J30" i="1060"/>
  <c r="V189" i="1060"/>
  <c r="V75" i="1060"/>
  <c r="AD189" i="1060"/>
  <c r="AD75" i="1060"/>
  <c r="U191" i="1060"/>
  <c r="U77" i="1060"/>
  <c r="U85" i="1060"/>
  <c r="AC191" i="1060"/>
  <c r="AC77" i="1060"/>
  <c r="X82" i="1060"/>
  <c r="AA83" i="1060"/>
  <c r="T218" i="1060"/>
  <c r="AC74" i="1060"/>
  <c r="G218" i="1060"/>
  <c r="B113" i="1060"/>
  <c r="B114" i="1060" s="1"/>
  <c r="G198" i="1060"/>
  <c r="G197" i="1060"/>
  <c r="G196" i="1060"/>
  <c r="U188" i="1061"/>
  <c r="U74" i="1061"/>
  <c r="AC188" i="1061"/>
  <c r="AC74" i="1061"/>
  <c r="Y189" i="1061"/>
  <c r="Y75" i="1061"/>
  <c r="V220" i="1061"/>
  <c r="G197" i="1061"/>
  <c r="G198" i="1061"/>
  <c r="G196" i="1061"/>
  <c r="D168" i="1062"/>
  <c r="B55" i="1062"/>
  <c r="J134" i="1061"/>
  <c r="J133" i="1061"/>
  <c r="J132" i="1061"/>
  <c r="J131" i="1061"/>
  <c r="K4" i="1061"/>
  <c r="W4" i="1061"/>
  <c r="AA105" i="1061"/>
  <c r="AA124" i="1061"/>
  <c r="V74" i="1061"/>
  <c r="V188" i="1061"/>
  <c r="AD188" i="1061"/>
  <c r="AD74" i="1061"/>
  <c r="Z189" i="1061"/>
  <c r="Z75" i="1061"/>
  <c r="G205" i="1061"/>
  <c r="G93" i="1061"/>
  <c r="W220" i="1061"/>
  <c r="T69" i="1060"/>
  <c r="AC85" i="1060"/>
  <c r="T217" i="1061"/>
  <c r="T133" i="1061"/>
  <c r="T179" i="1061"/>
  <c r="T132" i="1061"/>
  <c r="T131" i="1061"/>
  <c r="T168" i="1061"/>
  <c r="T167" i="1061"/>
  <c r="T65" i="1061"/>
  <c r="T134" i="1061"/>
  <c r="W57" i="1061"/>
  <c r="W171" i="1061"/>
  <c r="U11" i="1060"/>
  <c r="U10" i="1060" s="1"/>
  <c r="U60" i="1060" s="1"/>
  <c r="I11" i="1060"/>
  <c r="H108" i="1060"/>
  <c r="T173" i="1060"/>
  <c r="T59" i="1060"/>
  <c r="H62" i="1060"/>
  <c r="I19" i="1060"/>
  <c r="H176" i="1060"/>
  <c r="U19" i="1060"/>
  <c r="V29" i="1060"/>
  <c r="V228" i="1060" s="1"/>
  <c r="G117" i="1060"/>
  <c r="T216" i="1060"/>
  <c r="V220" i="1060"/>
  <c r="AA24" i="1061"/>
  <c r="O24" i="1061"/>
  <c r="AB24" i="1061" s="1"/>
  <c r="AA107" i="1061"/>
  <c r="AA220" i="1061"/>
  <c r="J228" i="1061"/>
  <c r="W29" i="1061"/>
  <c r="W228" i="1061" s="1"/>
  <c r="I9" i="1060"/>
  <c r="H88" i="1060" a="1"/>
  <c r="H88" i="1060" s="1"/>
  <c r="T71" i="1060"/>
  <c r="T197" i="1060"/>
  <c r="M107" i="1060"/>
  <c r="M220" i="1060"/>
  <c r="G199" i="1060"/>
  <c r="AF87" i="1060"/>
  <c r="H104" i="1060"/>
  <c r="H139" i="1060"/>
  <c r="R193" i="1060"/>
  <c r="K19" i="1061"/>
  <c r="W19" i="1061"/>
  <c r="T220" i="1061"/>
  <c r="T107" i="1061"/>
  <c r="AB220" i="1061"/>
  <c r="AB107" i="1061"/>
  <c r="K29" i="1061"/>
  <c r="J50" i="1061"/>
  <c r="V50" i="1061"/>
  <c r="H204" i="1061"/>
  <c r="H92" i="1061"/>
  <c r="Q162" i="1061"/>
  <c r="H162" i="1061"/>
  <c r="I18" i="1060"/>
  <c r="H61" i="1060"/>
  <c r="X220" i="1060"/>
  <c r="U30" i="1060"/>
  <c r="U82" i="1060"/>
  <c r="AC82" i="1060"/>
  <c r="X83" i="1060"/>
  <c r="B108" i="1060"/>
  <c r="D220" i="1060"/>
  <c r="AD105" i="1061"/>
  <c r="AD124" i="1061"/>
  <c r="K11" i="1061"/>
  <c r="W11" i="1061"/>
  <c r="W10" i="1061" s="1"/>
  <c r="J104" i="1061"/>
  <c r="K16" i="1061"/>
  <c r="J173" i="1061"/>
  <c r="W16" i="1061"/>
  <c r="H236" i="1060"/>
  <c r="T54" i="1060"/>
  <c r="T130" i="1060"/>
  <c r="T164" i="1060" s="1"/>
  <c r="T53" i="1060"/>
  <c r="T129" i="1060"/>
  <c r="T163" i="1060" s="1"/>
  <c r="T198" i="1060" s="1"/>
  <c r="T123" i="1060"/>
  <c r="T205" i="1060"/>
  <c r="T93" i="1060"/>
  <c r="U172" i="1060"/>
  <c r="U58" i="1060"/>
  <c r="T176" i="1060"/>
  <c r="T63" i="1060"/>
  <c r="Y107" i="1060"/>
  <c r="Y220" i="1060"/>
  <c r="W194" i="1060"/>
  <c r="W80" i="1060"/>
  <c r="AE194" i="1060"/>
  <c r="Z81" i="1060"/>
  <c r="T104" i="1060"/>
  <c r="T171" i="1060"/>
  <c r="D223" i="1060"/>
  <c r="P194" i="1061"/>
  <c r="P192" i="1061"/>
  <c r="P193" i="1061"/>
  <c r="P195" i="1061"/>
  <c r="Q6" i="1061"/>
  <c r="P77" i="1061"/>
  <c r="AC6" i="1061"/>
  <c r="O13" i="1061"/>
  <c r="AA13" i="1061"/>
  <c r="G60" i="1061"/>
  <c r="S174" i="1061"/>
  <c r="G174" i="1061"/>
  <c r="P162" i="1061"/>
  <c r="H60" i="1061"/>
  <c r="T139" i="1061"/>
  <c r="M105" i="1060"/>
  <c r="M218" i="1060" s="1"/>
  <c r="V105" i="1060"/>
  <c r="Q194" i="1060"/>
  <c r="Q192" i="1060"/>
  <c r="I10" i="1060"/>
  <c r="H129" i="1060"/>
  <c r="H163" i="1060" s="1"/>
  <c r="H123" i="1060"/>
  <c r="H69" i="1060"/>
  <c r="T172" i="1060"/>
  <c r="H174" i="1060"/>
  <c r="I17" i="1060"/>
  <c r="T68" i="1060"/>
  <c r="T70" i="1060" s="1"/>
  <c r="U29" i="1060"/>
  <c r="U228" i="1060" s="1"/>
  <c r="T195" i="1060"/>
  <c r="AB195" i="1060"/>
  <c r="T196" i="1060"/>
  <c r="Y87" i="1060"/>
  <c r="Y199" i="1060" s="1"/>
  <c r="T58" i="1060"/>
  <c r="T62" i="1060"/>
  <c r="T66" i="1060"/>
  <c r="AF73" i="1060"/>
  <c r="Z75" i="1060"/>
  <c r="T78" i="1060"/>
  <c r="AF82" i="1060"/>
  <c r="AD85" i="1060"/>
  <c r="AB87" i="1060"/>
  <c r="AB199" i="1060" s="1"/>
  <c r="G107" i="1060"/>
  <c r="H162" i="1060"/>
  <c r="W162" i="1060"/>
  <c r="V217" i="1061"/>
  <c r="V179" i="1061"/>
  <c r="V131" i="1061"/>
  <c r="V168" i="1061"/>
  <c r="V167" i="1061"/>
  <c r="V139" i="1061"/>
  <c r="V134" i="1061"/>
  <c r="V65" i="1061"/>
  <c r="V133" i="1061"/>
  <c r="V132" i="1061"/>
  <c r="AB105" i="1061"/>
  <c r="AB218" i="1061" s="1"/>
  <c r="AB124" i="1061"/>
  <c r="J10" i="1061"/>
  <c r="J175" i="1061" s="1"/>
  <c r="I129" i="1061"/>
  <c r="I163" i="1061" s="1"/>
  <c r="I123" i="1061"/>
  <c r="I121" i="1061" s="1"/>
  <c r="J171" i="1061"/>
  <c r="K14" i="1061"/>
  <c r="W177" i="1061"/>
  <c r="W63" i="1061"/>
  <c r="U220" i="1061"/>
  <c r="U107" i="1061"/>
  <c r="AC220" i="1061"/>
  <c r="W188" i="1061"/>
  <c r="W74" i="1061"/>
  <c r="AE188" i="1061"/>
  <c r="AE74" i="1061"/>
  <c r="AD218" i="1061"/>
  <c r="X49" i="1061"/>
  <c r="L49" i="1061"/>
  <c r="J20" i="1062"/>
  <c r="V20" i="1062"/>
  <c r="G214" i="1060"/>
  <c r="G102" i="1060"/>
  <c r="H107" i="1060"/>
  <c r="H220" i="1060"/>
  <c r="P107" i="1060"/>
  <c r="G104" i="1060"/>
  <c r="G216" i="1060" a="1"/>
  <c r="G216" i="1060" s="1"/>
  <c r="M124" i="1060"/>
  <c r="J162" i="1060"/>
  <c r="X162" i="1060"/>
  <c r="H171" i="1060"/>
  <c r="AB188" i="1060"/>
  <c r="Q195" i="1060"/>
  <c r="V206" i="1061"/>
  <c r="V94" i="1061"/>
  <c r="W172" i="1061"/>
  <c r="W58" i="1061"/>
  <c r="K17" i="1061"/>
  <c r="M22" i="1061"/>
  <c r="W68" i="1061"/>
  <c r="W185" i="1061" s="1"/>
  <c r="W182" i="1061"/>
  <c r="G91" i="1061"/>
  <c r="G203" i="1061"/>
  <c r="O124" i="1060"/>
  <c r="T181" i="1060"/>
  <c r="T180" i="1060"/>
  <c r="U14" i="1060"/>
  <c r="H58" i="1060"/>
  <c r="I15" i="1060"/>
  <c r="T64" i="1060"/>
  <c r="T178" i="1060"/>
  <c r="U22" i="1060"/>
  <c r="H182" i="1060"/>
  <c r="I23" i="1060"/>
  <c r="H68" i="1060"/>
  <c r="X77" i="1060"/>
  <c r="X85" i="1060"/>
  <c r="V78" i="1060"/>
  <c r="AD195" i="1060"/>
  <c r="AD78" i="1060"/>
  <c r="G140" i="1060"/>
  <c r="H60" i="1060"/>
  <c r="Q77" i="1060"/>
  <c r="AB81" i="1060"/>
  <c r="H216" i="1060" a="1"/>
  <c r="H216" i="1060" s="1"/>
  <c r="V85" i="1060"/>
  <c r="G96" i="1060"/>
  <c r="K162" i="1060"/>
  <c r="H178" i="1060"/>
  <c r="AB194" i="1060"/>
  <c r="V54" i="1061"/>
  <c r="V71" i="1061" s="1"/>
  <c r="V130" i="1061"/>
  <c r="V164" i="1061" s="1"/>
  <c r="V125" i="1061"/>
  <c r="V53" i="1061"/>
  <c r="V123" i="1061"/>
  <c r="V129" i="1061"/>
  <c r="V163" i="1061" s="1"/>
  <c r="V69" i="1061"/>
  <c r="K12" i="1061"/>
  <c r="J166" i="1061"/>
  <c r="J165" i="1061"/>
  <c r="J169" i="1061" s="1"/>
  <c r="V204" i="1061"/>
  <c r="W175" i="1061"/>
  <c r="W61" i="1061"/>
  <c r="K20" i="1061"/>
  <c r="AE220" i="1061"/>
  <c r="AA87" i="1061"/>
  <c r="AA199" i="1061" s="1"/>
  <c r="U206" i="1061"/>
  <c r="U94" i="1061"/>
  <c r="Z105" i="1060"/>
  <c r="Z218" i="1060" s="1"/>
  <c r="H65" i="1060"/>
  <c r="H71" i="1060" s="1"/>
  <c r="U56" i="1060"/>
  <c r="J14" i="1060"/>
  <c r="I171" i="1060"/>
  <c r="V14" i="1060"/>
  <c r="T177" i="1060"/>
  <c r="U178" i="1060"/>
  <c r="V22" i="1060"/>
  <c r="N228" i="1060"/>
  <c r="O29" i="1060"/>
  <c r="Z29" i="1060"/>
  <c r="Z228" i="1060" s="1"/>
  <c r="W74" i="1060"/>
  <c r="W188" i="1060"/>
  <c r="AE74" i="1060"/>
  <c r="AE188" i="1060"/>
  <c r="Y77" i="1060"/>
  <c r="Y191" i="1060"/>
  <c r="W195" i="1060"/>
  <c r="W78" i="1060"/>
  <c r="AE195" i="1060"/>
  <c r="AE78" i="1060"/>
  <c r="AD162" i="1060"/>
  <c r="V162" i="1060"/>
  <c r="M162" i="1060"/>
  <c r="G57" i="1060"/>
  <c r="AC162" i="1060"/>
  <c r="U162" i="1060"/>
  <c r="L162" i="1060"/>
  <c r="G171" i="1060"/>
  <c r="Z162" i="1060"/>
  <c r="Q162" i="1060"/>
  <c r="I162" i="1060"/>
  <c r="S173" i="1060"/>
  <c r="G59" i="1060"/>
  <c r="G61" i="1060"/>
  <c r="S175" i="1060"/>
  <c r="AE75" i="1060"/>
  <c r="AE82" i="1060"/>
  <c r="O105" i="1060"/>
  <c r="O218" i="1060" s="1"/>
  <c r="AA107" i="1060"/>
  <c r="P124" i="1060"/>
  <c r="N162" i="1060"/>
  <c r="AA162" i="1060"/>
  <c r="T166" i="1060"/>
  <c r="I236" i="1061"/>
  <c r="I124" i="1061"/>
  <c r="V5" i="1061"/>
  <c r="V104" i="1061" s="1"/>
  <c r="Q124" i="1061"/>
  <c r="AF124" i="1061" s="1"/>
  <c r="Q105" i="1061"/>
  <c r="Q218" i="1061" s="1"/>
  <c r="AB77" i="1061"/>
  <c r="W204" i="1061"/>
  <c r="K15" i="1061"/>
  <c r="J172" i="1061"/>
  <c r="W178" i="1061"/>
  <c r="W64" i="1061"/>
  <c r="J182" i="1061"/>
  <c r="K23" i="1061"/>
  <c r="U198" i="1061"/>
  <c r="U83" i="1061"/>
  <c r="AC83" i="1061"/>
  <c r="V49" i="1061"/>
  <c r="H215" i="1061"/>
  <c r="H103" i="1061"/>
  <c r="I236" i="1060"/>
  <c r="I105" i="1060"/>
  <c r="I218" i="1060" s="1"/>
  <c r="Q105" i="1060"/>
  <c r="Q218" i="1060" s="1"/>
  <c r="L192" i="1060"/>
  <c r="Y6" i="1060"/>
  <c r="L195" i="1060"/>
  <c r="L193" i="1060"/>
  <c r="L77" i="1060"/>
  <c r="I58" i="1060"/>
  <c r="I67" i="1060"/>
  <c r="I125" i="1060"/>
  <c r="I66" i="1060"/>
  <c r="I60" i="1060"/>
  <c r="I56" i="1060"/>
  <c r="I12" i="1060"/>
  <c r="V13" i="1060"/>
  <c r="U177" i="1060"/>
  <c r="J21" i="1060"/>
  <c r="I178" i="1060"/>
  <c r="V21" i="1060"/>
  <c r="K22" i="1060"/>
  <c r="AA29" i="1060"/>
  <c r="AA228" i="1060" s="1"/>
  <c r="U80" i="1060"/>
  <c r="V83" i="1060"/>
  <c r="AD83" i="1060"/>
  <c r="U216" i="1060"/>
  <c r="G142" i="1060"/>
  <c r="G143" i="1060" s="1"/>
  <c r="I63" i="1060"/>
  <c r="U64" i="1060"/>
  <c r="AD220" i="1060"/>
  <c r="AD107" i="1060"/>
  <c r="T81" i="1060"/>
  <c r="Z83" i="1060"/>
  <c r="Y85" i="1060"/>
  <c r="U87" i="1060"/>
  <c r="U199" i="1060" s="1"/>
  <c r="G221" i="1060"/>
  <c r="G70" i="1060"/>
  <c r="G109" i="1060"/>
  <c r="G90" i="1060"/>
  <c r="G92" i="1060"/>
  <c r="T92" i="1060"/>
  <c r="P105" i="1060"/>
  <c r="P218" i="1060" s="1"/>
  <c r="AE105" i="1060"/>
  <c r="AE218" i="1060" s="1"/>
  <c r="Q124" i="1060"/>
  <c r="G91" i="1060"/>
  <c r="G203" i="1060"/>
  <c r="O162" i="1060"/>
  <c r="AB162" i="1060"/>
  <c r="T165" i="1060"/>
  <c r="T169" i="1060" s="1"/>
  <c r="G173" i="1060"/>
  <c r="V191" i="1060"/>
  <c r="G202" i="1060"/>
  <c r="J236" i="1061"/>
  <c r="J105" i="1061"/>
  <c r="J218" i="1061" s="1"/>
  <c r="W5" i="1061"/>
  <c r="W104" i="1061" s="1"/>
  <c r="R105" i="1061"/>
  <c r="R218" i="1061" s="1"/>
  <c r="R124" i="1061"/>
  <c r="AE5" i="1061"/>
  <c r="AE107" i="1061" s="1"/>
  <c r="K18" i="1061"/>
  <c r="W191" i="1061"/>
  <c r="W77" i="1061"/>
  <c r="W85" i="1061"/>
  <c r="AE191" i="1061"/>
  <c r="AE85" i="1061"/>
  <c r="V195" i="1061"/>
  <c r="V78" i="1061"/>
  <c r="AD78" i="1061"/>
  <c r="Z82" i="1061"/>
  <c r="W49" i="1061"/>
  <c r="G216" i="1061" a="1"/>
  <c r="G216" i="1061" s="1"/>
  <c r="G104" i="1061"/>
  <c r="I221" i="1061"/>
  <c r="I109" i="1061"/>
  <c r="W124" i="1060"/>
  <c r="AB5" i="1060"/>
  <c r="M6" i="1060"/>
  <c r="J8" i="1060"/>
  <c r="K13" i="1060"/>
  <c r="T61" i="1060"/>
  <c r="H177" i="1060"/>
  <c r="I20" i="1060"/>
  <c r="O30" i="1060"/>
  <c r="AD194" i="1060"/>
  <c r="W83" i="1060"/>
  <c r="AE83" i="1060"/>
  <c r="V87" i="1060"/>
  <c r="V199" i="1060" s="1"/>
  <c r="AD87" i="1060"/>
  <c r="AD199" i="1060" s="1"/>
  <c r="H53" i="1060"/>
  <c r="H57" i="1060"/>
  <c r="H64" i="1060"/>
  <c r="AB78" i="1060"/>
  <c r="AD80" i="1060"/>
  <c r="W92" i="1060"/>
  <c r="G99" i="1060"/>
  <c r="G101" i="1060"/>
  <c r="O107" i="1060"/>
  <c r="AC107" i="1060"/>
  <c r="H124" i="1060"/>
  <c r="AF124" i="1060" s="1"/>
  <c r="H130" i="1060" a="1"/>
  <c r="H130" i="1060" s="1"/>
  <c r="H164" i="1060" s="1"/>
  <c r="P162" i="1060"/>
  <c r="AE162" i="1060"/>
  <c r="T175" i="1060"/>
  <c r="T182" i="1060"/>
  <c r="Q193" i="1060"/>
  <c r="G206" i="1060"/>
  <c r="P220" i="1060"/>
  <c r="I179" i="1061"/>
  <c r="I217" i="1061"/>
  <c r="I139" i="1061"/>
  <c r="I134" i="1061"/>
  <c r="I133" i="1061"/>
  <c r="I132" i="1061"/>
  <c r="I168" i="1061"/>
  <c r="I131" i="1061"/>
  <c r="I167" i="1061"/>
  <c r="K21" i="1061"/>
  <c r="I30" i="1061"/>
  <c r="X191" i="1061"/>
  <c r="X77" i="1061"/>
  <c r="X85" i="1061"/>
  <c r="AE81" i="1061"/>
  <c r="S176" i="1061"/>
  <c r="G62" i="1061"/>
  <c r="H176" i="1061"/>
  <c r="G176" i="1061"/>
  <c r="AF83" i="1061"/>
  <c r="H216" i="1061" a="1"/>
  <c r="H216" i="1061" s="1"/>
  <c r="H104" i="1061"/>
  <c r="I130" i="1061" a="1"/>
  <c r="I130" i="1061" s="1"/>
  <c r="I164" i="1061" s="1"/>
  <c r="Y75" i="1060"/>
  <c r="S172" i="1060"/>
  <c r="G176" i="1060"/>
  <c r="G184" i="1060"/>
  <c r="U189" i="1060"/>
  <c r="AC189" i="1060"/>
  <c r="P192" i="1060"/>
  <c r="K193" i="1060"/>
  <c r="U194" i="1060"/>
  <c r="AC194" i="1060"/>
  <c r="K195" i="1060"/>
  <c r="Q220" i="1060"/>
  <c r="X5" i="1061"/>
  <c r="X107" i="1061" s="1"/>
  <c r="K105" i="1061"/>
  <c r="K218" i="1061" s="1"/>
  <c r="T236" i="1061"/>
  <c r="T105" i="1061"/>
  <c r="T218" i="1061" s="1"/>
  <c r="U67" i="1061"/>
  <c r="U166" i="1061"/>
  <c r="U165" i="1061"/>
  <c r="U66" i="1061"/>
  <c r="U60" i="1061"/>
  <c r="U56" i="1061"/>
  <c r="U181" i="1061"/>
  <c r="U180" i="1061"/>
  <c r="U61" i="1061"/>
  <c r="U57" i="1061"/>
  <c r="H221" i="1061"/>
  <c r="H109" i="1061"/>
  <c r="V9" i="1061"/>
  <c r="V88" i="1061" s="1"/>
  <c r="V109" i="1061" s="1"/>
  <c r="Y78" i="1061"/>
  <c r="X83" i="1061"/>
  <c r="V216" i="1061"/>
  <c r="G212" i="1061"/>
  <c r="G100" i="1061"/>
  <c r="Z74" i="1061"/>
  <c r="K124" i="1061"/>
  <c r="AA13" i="1062"/>
  <c r="O13" i="1062"/>
  <c r="J22" i="1062"/>
  <c r="V22" i="1062"/>
  <c r="I220" i="1060"/>
  <c r="V180" i="1061"/>
  <c r="V181" i="1061"/>
  <c r="V166" i="1061"/>
  <c r="V165" i="1061"/>
  <c r="V169" i="1061" s="1"/>
  <c r="V66" i="1061"/>
  <c r="K9" i="1061"/>
  <c r="J88" i="1061" a="1"/>
  <c r="J88" i="1061" s="1"/>
  <c r="W9" i="1061"/>
  <c r="W88" i="1061" s="1"/>
  <c r="W109" i="1061" s="1"/>
  <c r="U184" i="1061"/>
  <c r="U185" i="1061"/>
  <c r="O228" i="1061"/>
  <c r="P29" i="1061"/>
  <c r="AB29" i="1061"/>
  <c r="AB228" i="1061" s="1"/>
  <c r="U189" i="1061"/>
  <c r="U75" i="1061"/>
  <c r="AC189" i="1061"/>
  <c r="AC75" i="1061"/>
  <c r="AA191" i="1061"/>
  <c r="AA85" i="1061"/>
  <c r="V194" i="1061"/>
  <c r="V80" i="1061"/>
  <c r="Y83" i="1061"/>
  <c r="W216" i="1061"/>
  <c r="W87" i="1061"/>
  <c r="W199" i="1061" s="1"/>
  <c r="AE87" i="1061"/>
  <c r="AE199" i="1061" s="1"/>
  <c r="G172" i="1061"/>
  <c r="S172" i="1061"/>
  <c r="G58" i="1061"/>
  <c r="G70" i="1061" s="1"/>
  <c r="N220" i="1061"/>
  <c r="N107" i="1061"/>
  <c r="U77" i="1061"/>
  <c r="G95" i="1061"/>
  <c r="M105" i="1061"/>
  <c r="M218" i="1061" s="1"/>
  <c r="M124" i="1061"/>
  <c r="I193" i="1061"/>
  <c r="I192" i="1061"/>
  <c r="I180" i="1061"/>
  <c r="I77" i="1061"/>
  <c r="I194" i="1061"/>
  <c r="I181" i="1061"/>
  <c r="W166" i="1061"/>
  <c r="T129" i="1061"/>
  <c r="T163" i="1061" s="1"/>
  <c r="T197" i="1061" s="1"/>
  <c r="T123" i="1061"/>
  <c r="T69" i="1061"/>
  <c r="T130" i="1061"/>
  <c r="T164" i="1061" s="1"/>
  <c r="T125" i="1061"/>
  <c r="T53" i="1061"/>
  <c r="T56" i="1061"/>
  <c r="T171" i="1061"/>
  <c r="T58" i="1061"/>
  <c r="T174" i="1061"/>
  <c r="T175" i="1061"/>
  <c r="T62" i="1061"/>
  <c r="T177" i="1061"/>
  <c r="V185" i="1061"/>
  <c r="X220" i="1061"/>
  <c r="AB30" i="1061"/>
  <c r="Z81" i="1061"/>
  <c r="V197" i="1061"/>
  <c r="V82" i="1061"/>
  <c r="AD82" i="1061"/>
  <c r="U104" i="1061"/>
  <c r="X87" i="1061"/>
  <c r="X199" i="1061" s="1"/>
  <c r="Y218" i="1061"/>
  <c r="U62" i="1061"/>
  <c r="G71" i="1061"/>
  <c r="AF73" i="1061"/>
  <c r="U82" i="1061"/>
  <c r="Z83" i="1061"/>
  <c r="V87" i="1061"/>
  <c r="V199" i="1061" s="1"/>
  <c r="T124" i="1061"/>
  <c r="G149" i="1061" s="1"/>
  <c r="Y162" i="1061"/>
  <c r="I165" i="1061"/>
  <c r="I169" i="1061" s="1"/>
  <c r="I177" i="1061"/>
  <c r="G185" i="1060"/>
  <c r="P194" i="1060"/>
  <c r="G212" i="1060"/>
  <c r="N105" i="1061"/>
  <c r="N218" i="1061" s="1"/>
  <c r="N124" i="1061"/>
  <c r="K192" i="1061"/>
  <c r="K195" i="1061"/>
  <c r="K193" i="1061"/>
  <c r="K194" i="1061"/>
  <c r="K166" i="1061"/>
  <c r="K165" i="1061"/>
  <c r="X6" i="1061"/>
  <c r="U171" i="1061"/>
  <c r="H172" i="1061"/>
  <c r="U172" i="1061"/>
  <c r="U59" i="1061"/>
  <c r="H174" i="1061"/>
  <c r="U174" i="1061"/>
  <c r="U175" i="1061"/>
  <c r="U176" i="1061"/>
  <c r="U177" i="1061"/>
  <c r="U64" i="1061"/>
  <c r="Y220" i="1061"/>
  <c r="Y107" i="1061"/>
  <c r="Q30" i="1061"/>
  <c r="T195" i="1061"/>
  <c r="T78" i="1061"/>
  <c r="AA81" i="1061"/>
  <c r="W82" i="1061"/>
  <c r="AE82" i="1061"/>
  <c r="Y87" i="1061"/>
  <c r="Y199" i="1061" s="1"/>
  <c r="W51" i="1061"/>
  <c r="X162" i="1061"/>
  <c r="V62" i="1061"/>
  <c r="AF74" i="1061"/>
  <c r="AF76" i="1061"/>
  <c r="H101" i="1061"/>
  <c r="AD107" i="1061"/>
  <c r="Z162" i="1061"/>
  <c r="AB195" i="1061"/>
  <c r="H55" i="1060"/>
  <c r="Z87" i="1060"/>
  <c r="Z199" i="1060" s="1"/>
  <c r="S184" i="1060"/>
  <c r="H185" i="1060"/>
  <c r="Z5" i="1061"/>
  <c r="L6" i="1061"/>
  <c r="H63" i="1061"/>
  <c r="H140" i="1061" s="1"/>
  <c r="H53" i="1061"/>
  <c r="H108" i="1061"/>
  <c r="H61" i="1061"/>
  <c r="H57" i="1061"/>
  <c r="I8" i="1061"/>
  <c r="H65" i="1061"/>
  <c r="H69" i="1061"/>
  <c r="H62" i="1061"/>
  <c r="H58" i="1061"/>
  <c r="H67" i="1061"/>
  <c r="H64" i="1061"/>
  <c r="H59" i="1061"/>
  <c r="H54" i="1061"/>
  <c r="U54" i="1061"/>
  <c r="U130" i="1061"/>
  <c r="U164" i="1061" s="1"/>
  <c r="U125" i="1061"/>
  <c r="U53" i="1061"/>
  <c r="I171" i="1061"/>
  <c r="V171" i="1061"/>
  <c r="V57" i="1061"/>
  <c r="I172" i="1061"/>
  <c r="V172" i="1061"/>
  <c r="I173" i="1061"/>
  <c r="V59" i="1061"/>
  <c r="V173" i="1061"/>
  <c r="V174" i="1061"/>
  <c r="I175" i="1061"/>
  <c r="V175" i="1061"/>
  <c r="V61" i="1061"/>
  <c r="I176" i="1061"/>
  <c r="V176" i="1061"/>
  <c r="V177" i="1061"/>
  <c r="V63" i="1061"/>
  <c r="V64" i="1061"/>
  <c r="V178" i="1061"/>
  <c r="V68" i="1061"/>
  <c r="V182" i="1061"/>
  <c r="Z220" i="1061"/>
  <c r="Z107" i="1061"/>
  <c r="I228" i="1061"/>
  <c r="V29" i="1061"/>
  <c r="V228" i="1061" s="1"/>
  <c r="V191" i="1061"/>
  <c r="V85" i="1061"/>
  <c r="V77" i="1061"/>
  <c r="AD85" i="1061"/>
  <c r="U195" i="1061"/>
  <c r="U78" i="1061"/>
  <c r="T81" i="1061"/>
  <c r="AB81" i="1061"/>
  <c r="T198" i="1061"/>
  <c r="L51" i="1061"/>
  <c r="V60" i="1061"/>
  <c r="V67" i="1061"/>
  <c r="G215" i="1061"/>
  <c r="G103" i="1061"/>
  <c r="AF81" i="1061"/>
  <c r="AC82" i="1061"/>
  <c r="AD87" i="1061"/>
  <c r="AD199" i="1061" s="1"/>
  <c r="AC195" i="1061"/>
  <c r="AF72" i="1061"/>
  <c r="T83" i="1061"/>
  <c r="I216" i="1061" a="1"/>
  <c r="I216" i="1061" s="1"/>
  <c r="H131" i="1061"/>
  <c r="H55" i="1061" s="1"/>
  <c r="J162" i="1061"/>
  <c r="R162" i="1061"/>
  <c r="AA162" i="1061"/>
  <c r="H168" i="1061"/>
  <c r="G171" i="1061"/>
  <c r="H185" i="1061"/>
  <c r="T189" i="1061"/>
  <c r="H193" i="1061"/>
  <c r="W194" i="1061"/>
  <c r="G202" i="1061"/>
  <c r="AE105" i="1062"/>
  <c r="AE218" i="1062" s="1"/>
  <c r="AE124" i="1062"/>
  <c r="U4" i="1061"/>
  <c r="U5" i="1061"/>
  <c r="AC5" i="1061"/>
  <c r="H177" i="1061"/>
  <c r="T194" i="1061"/>
  <c r="U196" i="1061"/>
  <c r="T60" i="1061"/>
  <c r="U63" i="1061"/>
  <c r="AA75" i="1061"/>
  <c r="Z85" i="1061"/>
  <c r="AF87" i="1061"/>
  <c r="G90" i="1061"/>
  <c r="G99" i="1061"/>
  <c r="G107" i="1061"/>
  <c r="O107" i="1061"/>
  <c r="H132" i="1061"/>
  <c r="K162" i="1061"/>
  <c r="AB162" i="1061"/>
  <c r="T176" i="1061"/>
  <c r="W180" i="1061"/>
  <c r="H214" i="1062"/>
  <c r="H102" i="1062"/>
  <c r="H212" i="1062"/>
  <c r="H100" i="1062"/>
  <c r="I174" i="1061"/>
  <c r="I178" i="1061"/>
  <c r="U194" i="1061"/>
  <c r="AC194" i="1061"/>
  <c r="V196" i="1061"/>
  <c r="T68" i="1061"/>
  <c r="T71" i="1061"/>
  <c r="AB75" i="1061"/>
  <c r="T80" i="1061"/>
  <c r="AB80" i="1061"/>
  <c r="AD83" i="1061"/>
  <c r="L105" i="1061"/>
  <c r="L218" i="1061" s="1"/>
  <c r="H107" i="1061"/>
  <c r="P107" i="1061"/>
  <c r="B108" i="1061"/>
  <c r="B112" i="1061"/>
  <c r="H123" i="1061"/>
  <c r="H129" i="1061"/>
  <c r="H163" i="1061" s="1"/>
  <c r="H133" i="1061"/>
  <c r="G135" i="1061"/>
  <c r="L162" i="1061"/>
  <c r="U162" i="1061"/>
  <c r="AC162" i="1061"/>
  <c r="S171" i="1061"/>
  <c r="W181" i="1061"/>
  <c r="V124" i="1062"/>
  <c r="V105" i="1062"/>
  <c r="J10" i="1062"/>
  <c r="I130" i="1062" a="1"/>
  <c r="I130" i="1062" s="1"/>
  <c r="I164" i="1062" s="1"/>
  <c r="I123" i="1062"/>
  <c r="I121" i="1062" s="1"/>
  <c r="I129" i="1062"/>
  <c r="I163" i="1062" s="1"/>
  <c r="G185" i="1061"/>
  <c r="G184" i="1061"/>
  <c r="S184" i="1061"/>
  <c r="H184" i="1061"/>
  <c r="U80" i="1061"/>
  <c r="AC80" i="1061"/>
  <c r="T85" i="1061"/>
  <c r="AB85" i="1061"/>
  <c r="Z87" i="1061"/>
  <c r="Z199" i="1061" s="1"/>
  <c r="I107" i="1061"/>
  <c r="Q107" i="1061"/>
  <c r="H134" i="1061"/>
  <c r="G142" i="1061"/>
  <c r="G143" i="1061" s="1"/>
  <c r="M162" i="1061"/>
  <c r="V162" i="1061"/>
  <c r="AD162" i="1061"/>
  <c r="T172" i="1061"/>
  <c r="U173" i="1061"/>
  <c r="AC30" i="1062"/>
  <c r="Q30" i="1062"/>
  <c r="T173" i="1061"/>
  <c r="T178" i="1061"/>
  <c r="V184" i="1061"/>
  <c r="V198" i="1061"/>
  <c r="T216" i="1061"/>
  <c r="W66" i="1061"/>
  <c r="V75" i="1061"/>
  <c r="AD75" i="1061"/>
  <c r="X78" i="1061"/>
  <c r="U85" i="1061"/>
  <c r="AC85" i="1061"/>
  <c r="G97" i="1061"/>
  <c r="J107" i="1061"/>
  <c r="R107" i="1061"/>
  <c r="H124" i="1061"/>
  <c r="H139" i="1061"/>
  <c r="N162" i="1061"/>
  <c r="W162" i="1061"/>
  <c r="AE162" i="1061"/>
  <c r="W165" i="1061"/>
  <c r="K220" i="1061"/>
  <c r="U130" i="1062"/>
  <c r="U164" i="1062" s="1"/>
  <c r="U54" i="1062"/>
  <c r="U123" i="1062"/>
  <c r="U129" i="1062"/>
  <c r="U163" i="1062" s="1"/>
  <c r="U197" i="1062" s="1"/>
  <c r="U69" i="1062"/>
  <c r="U125" i="1062"/>
  <c r="U53" i="1062"/>
  <c r="T220" i="1062"/>
  <c r="T107" i="1062"/>
  <c r="AB220" i="1062"/>
  <c r="AB107" i="1062"/>
  <c r="H217" i="1061"/>
  <c r="H194" i="1061"/>
  <c r="H192" i="1061"/>
  <c r="H181" i="1061"/>
  <c r="U178" i="1061"/>
  <c r="W184" i="1061"/>
  <c r="X194" i="1061"/>
  <c r="U216" i="1061"/>
  <c r="AA218" i="1061"/>
  <c r="Y74" i="1061"/>
  <c r="W75" i="1061"/>
  <c r="AE75" i="1061"/>
  <c r="U81" i="1061"/>
  <c r="AA82" i="1061"/>
  <c r="T87" i="1061"/>
  <c r="T199" i="1061" s="1"/>
  <c r="AB87" i="1061"/>
  <c r="AB199" i="1061" s="1"/>
  <c r="G92" i="1061"/>
  <c r="G101" i="1061"/>
  <c r="I104" i="1061"/>
  <c r="O105" i="1061"/>
  <c r="O218" i="1061" s="1"/>
  <c r="O162" i="1061"/>
  <c r="H195" i="1061"/>
  <c r="T217" i="1062"/>
  <c r="T179" i="1062"/>
  <c r="T132" i="1062"/>
  <c r="T168" i="1062"/>
  <c r="T139" i="1062"/>
  <c r="T134" i="1062"/>
  <c r="T133" i="1062"/>
  <c r="T131" i="1062"/>
  <c r="T167" i="1062"/>
  <c r="T65" i="1062"/>
  <c r="T71" i="1062" s="1"/>
  <c r="W51" i="1062"/>
  <c r="K51" i="1062"/>
  <c r="G210" i="1062"/>
  <c r="G98" i="1062"/>
  <c r="AB195" i="1062"/>
  <c r="M124" i="1062"/>
  <c r="M105" i="1062"/>
  <c r="M218" i="1062" s="1"/>
  <c r="Z5" i="1062"/>
  <c r="AB105" i="1062"/>
  <c r="AB124" i="1062"/>
  <c r="Z24" i="1062"/>
  <c r="N24" i="1062"/>
  <c r="N228" i="1062"/>
  <c r="O29" i="1062"/>
  <c r="AA29" i="1062"/>
  <c r="AA228" i="1062" s="1"/>
  <c r="T208" i="1062"/>
  <c r="T96" i="1062"/>
  <c r="AC124" i="1062"/>
  <c r="AC105" i="1062"/>
  <c r="AC218" i="1062" s="1"/>
  <c r="W204" i="1062"/>
  <c r="H68" i="1062"/>
  <c r="H185" i="1062" s="1"/>
  <c r="H182" i="1062"/>
  <c r="U23" i="1062"/>
  <c r="I23" i="1062"/>
  <c r="T184" i="1062"/>
  <c r="V220" i="1062"/>
  <c r="V107" i="1062"/>
  <c r="W83" i="1062"/>
  <c r="AE83" i="1062"/>
  <c r="V87" i="1062"/>
  <c r="V199" i="1062" s="1"/>
  <c r="AD87" i="1062"/>
  <c r="AD199" i="1062" s="1"/>
  <c r="H53" i="1062"/>
  <c r="H178" i="1062"/>
  <c r="H139" i="1062"/>
  <c r="H217" i="1062"/>
  <c r="H168" i="1062"/>
  <c r="H132" i="1062"/>
  <c r="H179" i="1062"/>
  <c r="H131" i="1062"/>
  <c r="H134" i="1062"/>
  <c r="U4" i="1062"/>
  <c r="H167" i="1062"/>
  <c r="H133" i="1062"/>
  <c r="T211" i="1062"/>
  <c r="T99" i="1062"/>
  <c r="T125" i="1062"/>
  <c r="T129" i="1062"/>
  <c r="T163" i="1062" s="1"/>
  <c r="T197" i="1062" s="1"/>
  <c r="T130" i="1062"/>
  <c r="T164" i="1062" s="1"/>
  <c r="T54" i="1062"/>
  <c r="T123" i="1062"/>
  <c r="T69" i="1062"/>
  <c r="T61" i="1062"/>
  <c r="J12" i="1062"/>
  <c r="V12" i="1062"/>
  <c r="X56" i="1062"/>
  <c r="T82" i="1062"/>
  <c r="AB82" i="1062"/>
  <c r="X83" i="1062"/>
  <c r="W87" i="1062"/>
  <c r="W199" i="1062" s="1"/>
  <c r="W50" i="1062"/>
  <c r="K50" i="1062"/>
  <c r="V51" i="1062"/>
  <c r="G103" i="1062"/>
  <c r="G215" i="1062"/>
  <c r="I217" i="1062"/>
  <c r="I134" i="1062"/>
  <c r="I179" i="1062"/>
  <c r="I132" i="1062"/>
  <c r="V4" i="1062"/>
  <c r="I168" i="1062"/>
  <c r="I167" i="1062"/>
  <c r="I133" i="1062"/>
  <c r="J4" i="1062"/>
  <c r="Z13" i="1062"/>
  <c r="U63" i="1062"/>
  <c r="Y81" i="1062"/>
  <c r="U82" i="1062"/>
  <c r="AC82" i="1062"/>
  <c r="T104" i="1062"/>
  <c r="T202" i="1062"/>
  <c r="T90" i="1062"/>
  <c r="T110" i="1062" s="1"/>
  <c r="S171" i="1062"/>
  <c r="AE162" i="1062"/>
  <c r="W162" i="1062"/>
  <c r="N162" i="1062"/>
  <c r="AD162" i="1062"/>
  <c r="V162" i="1062"/>
  <c r="M162" i="1062"/>
  <c r="AB162" i="1062"/>
  <c r="K162" i="1062"/>
  <c r="G171" i="1062"/>
  <c r="AA162" i="1062"/>
  <c r="R162" i="1062"/>
  <c r="J162" i="1062"/>
  <c r="AC162" i="1062"/>
  <c r="O162" i="1062"/>
  <c r="Z162" i="1062"/>
  <c r="L162" i="1062"/>
  <c r="G57" i="1062"/>
  <c r="G70" i="1062" s="1"/>
  <c r="Y162" i="1062"/>
  <c r="I162" i="1062"/>
  <c r="P162" i="1062"/>
  <c r="H162" i="1062"/>
  <c r="X162" i="1062"/>
  <c r="U162" i="1062"/>
  <c r="S173" i="1062"/>
  <c r="H59" i="1062"/>
  <c r="G173" i="1062"/>
  <c r="G59" i="1062"/>
  <c r="G214" i="1062"/>
  <c r="AF82" i="1062"/>
  <c r="H129" i="1062"/>
  <c r="H163" i="1062" s="1"/>
  <c r="Q162" i="1062"/>
  <c r="D168" i="1063"/>
  <c r="B55" i="1063"/>
  <c r="H172" i="1062"/>
  <c r="U15" i="1062"/>
  <c r="I15" i="1062"/>
  <c r="H174" i="1062"/>
  <c r="U17" i="1062"/>
  <c r="I17" i="1062"/>
  <c r="Y220" i="1062"/>
  <c r="AB218" i="1062"/>
  <c r="AC220" i="1062"/>
  <c r="AC107" i="1062"/>
  <c r="T171" i="1062"/>
  <c r="J105" i="1062"/>
  <c r="J218" i="1062" s="1"/>
  <c r="J124" i="1062"/>
  <c r="W5" i="1062"/>
  <c r="W92" i="1062" s="1"/>
  <c r="R105" i="1062"/>
  <c r="R218" i="1062" s="1"/>
  <c r="J14" i="1062"/>
  <c r="V14" i="1062"/>
  <c r="I176" i="1062"/>
  <c r="J19" i="1062"/>
  <c r="U87" i="1062"/>
  <c r="U199" i="1062" s="1"/>
  <c r="W49" i="1062"/>
  <c r="K49" i="1062"/>
  <c r="G102" i="1062"/>
  <c r="R124" i="1062"/>
  <c r="K105" i="1062"/>
  <c r="K218" i="1062" s="1"/>
  <c r="X5" i="1062"/>
  <c r="K107" i="1062"/>
  <c r="K124" i="1062"/>
  <c r="T236" i="1062"/>
  <c r="T105" i="1062"/>
  <c r="AB77" i="1062"/>
  <c r="H88" i="1062" a="1"/>
  <c r="H88" i="1062" s="1"/>
  <c r="U9" i="1062"/>
  <c r="U88" i="1062" s="1"/>
  <c r="U109" i="1062" s="1"/>
  <c r="I9" i="1062"/>
  <c r="H130" i="1062" a="1"/>
  <c r="H130" i="1062" s="1"/>
  <c r="H164" i="1062" s="1"/>
  <c r="H125" i="1062"/>
  <c r="H54" i="1062"/>
  <c r="H123" i="1062"/>
  <c r="AA220" i="1062"/>
  <c r="AA107" i="1062"/>
  <c r="V218" i="1062"/>
  <c r="AD218" i="1062"/>
  <c r="T92" i="1062"/>
  <c r="T93" i="1062"/>
  <c r="T205" i="1062"/>
  <c r="H60" i="1062"/>
  <c r="H220" i="1062"/>
  <c r="H107" i="1062"/>
  <c r="AF72" i="1062"/>
  <c r="P220" i="1062"/>
  <c r="P107" i="1062"/>
  <c r="D226" i="1062"/>
  <c r="B115" i="1062"/>
  <c r="T124" i="1062"/>
  <c r="G149" i="1062" s="1"/>
  <c r="H88" i="1063" a="1"/>
  <c r="H88" i="1063" s="1"/>
  <c r="U9" i="1063"/>
  <c r="U88" i="1063" s="1"/>
  <c r="U109" i="1063" s="1"/>
  <c r="I9" i="1063"/>
  <c r="I220" i="1063"/>
  <c r="I107" i="1063"/>
  <c r="AF72" i="1063"/>
  <c r="Q220" i="1063"/>
  <c r="Q107" i="1063"/>
  <c r="L124" i="1062"/>
  <c r="U5" i="1062"/>
  <c r="U104" i="1062" s="1"/>
  <c r="AD124" i="1062"/>
  <c r="AD105" i="1062"/>
  <c r="P192" i="1062"/>
  <c r="P194" i="1062"/>
  <c r="Q6" i="1062"/>
  <c r="P195" i="1062"/>
  <c r="P193" i="1062"/>
  <c r="H177" i="1062"/>
  <c r="T177" i="1062"/>
  <c r="U85" i="1062"/>
  <c r="U191" i="1062"/>
  <c r="AC85" i="1062"/>
  <c r="AC191" i="1062"/>
  <c r="X194" i="1062"/>
  <c r="Z81" i="1062"/>
  <c r="Y83" i="1062"/>
  <c r="G175" i="1062"/>
  <c r="S175" i="1062"/>
  <c r="G61" i="1062"/>
  <c r="H63" i="1062"/>
  <c r="AE220" i="1062"/>
  <c r="AE107" i="1062"/>
  <c r="Y75" i="1062"/>
  <c r="G100" i="1062"/>
  <c r="L105" i="1062"/>
  <c r="L218" i="1062" s="1"/>
  <c r="W189" i="1062"/>
  <c r="W75" i="1062"/>
  <c r="AE189" i="1062"/>
  <c r="AE75" i="1062"/>
  <c r="Z83" i="1062"/>
  <c r="AB74" i="1062"/>
  <c r="Z75" i="1062"/>
  <c r="H173" i="1062"/>
  <c r="G221" i="1062"/>
  <c r="H175" i="1063"/>
  <c r="U18" i="1063"/>
  <c r="I18" i="1063"/>
  <c r="T207" i="1063"/>
  <c r="T95" i="1063"/>
  <c r="N105" i="1062"/>
  <c r="N218" i="1062" s="1"/>
  <c r="N124" i="1062"/>
  <c r="H192" i="1062"/>
  <c r="H194" i="1062"/>
  <c r="H181" i="1062"/>
  <c r="H195" i="1062"/>
  <c r="H193" i="1062"/>
  <c r="H180" i="1062"/>
  <c r="H166" i="1062"/>
  <c r="T181" i="1062"/>
  <c r="T166" i="1062"/>
  <c r="T165" i="1062"/>
  <c r="T169" i="1062" s="1"/>
  <c r="T67" i="1062"/>
  <c r="H175" i="1062"/>
  <c r="X189" i="1062"/>
  <c r="X75" i="1062"/>
  <c r="W191" i="1062"/>
  <c r="W77" i="1062"/>
  <c r="T81" i="1062"/>
  <c r="T196" i="1062"/>
  <c r="X82" i="1062"/>
  <c r="T58" i="1062"/>
  <c r="L220" i="1062"/>
  <c r="L107" i="1062"/>
  <c r="AC74" i="1062"/>
  <c r="T80" i="1062"/>
  <c r="AD82" i="1062"/>
  <c r="V85" i="1062"/>
  <c r="G94" i="1062"/>
  <c r="G109" i="1062"/>
  <c r="G196" i="1062"/>
  <c r="G198" i="1062"/>
  <c r="G197" i="1062"/>
  <c r="H165" i="1062"/>
  <c r="H169" i="1062" s="1"/>
  <c r="T180" i="1062"/>
  <c r="Y5" i="1062"/>
  <c r="Y107" i="1062" s="1"/>
  <c r="I6" i="1062"/>
  <c r="U6" i="1062"/>
  <c r="U173" i="1062" s="1"/>
  <c r="I11" i="1062"/>
  <c r="I18" i="1062"/>
  <c r="U18" i="1062"/>
  <c r="T64" i="1062"/>
  <c r="Y24" i="1062"/>
  <c r="I30" i="1062"/>
  <c r="V188" i="1062"/>
  <c r="V74" i="1062"/>
  <c r="AD188" i="1062"/>
  <c r="AD74" i="1062"/>
  <c r="X191" i="1062"/>
  <c r="X77" i="1062"/>
  <c r="V78" i="1062"/>
  <c r="U196" i="1062"/>
  <c r="G92" i="1062"/>
  <c r="G204" i="1062"/>
  <c r="M220" i="1062"/>
  <c r="M107" i="1062"/>
  <c r="W220" i="1062"/>
  <c r="AF73" i="1062"/>
  <c r="AF75" i="1062"/>
  <c r="T78" i="1062"/>
  <c r="AC81" i="1062"/>
  <c r="AE82" i="1062"/>
  <c r="I216" i="1062" a="1"/>
  <c r="I216" i="1062" s="1"/>
  <c r="W85" i="1062"/>
  <c r="X87" i="1062"/>
  <c r="X199" i="1062" s="1"/>
  <c r="I124" i="1062"/>
  <c r="AF124" i="1062"/>
  <c r="G142" i="1062"/>
  <c r="G143" i="1062" s="1"/>
  <c r="G176" i="1062"/>
  <c r="X74" i="1063"/>
  <c r="X188" i="1063"/>
  <c r="AA189" i="1063"/>
  <c r="AA75" i="1063"/>
  <c r="H236" i="1062"/>
  <c r="H124" i="1062"/>
  <c r="P124" i="1062"/>
  <c r="P105" i="1062"/>
  <c r="P218" i="1062" s="1"/>
  <c r="K194" i="1062"/>
  <c r="K195" i="1062"/>
  <c r="K193" i="1062"/>
  <c r="K192" i="1062"/>
  <c r="T59" i="1062"/>
  <c r="J178" i="1062"/>
  <c r="K21" i="1062"/>
  <c r="W188" i="1062"/>
  <c r="W74" i="1062"/>
  <c r="AE188" i="1062"/>
  <c r="AE74" i="1062"/>
  <c r="Y191" i="1062"/>
  <c r="Y85" i="1062"/>
  <c r="AB194" i="1062"/>
  <c r="W195" i="1062"/>
  <c r="W78" i="1062"/>
  <c r="AE78" i="1062"/>
  <c r="AB87" i="1062"/>
  <c r="AB199" i="1062" s="1"/>
  <c r="T62" i="1062"/>
  <c r="G213" i="1062"/>
  <c r="G101" i="1062"/>
  <c r="G71" i="1062"/>
  <c r="N220" i="1062"/>
  <c r="N107" i="1062"/>
  <c r="X220" i="1062"/>
  <c r="X107" i="1062"/>
  <c r="T74" i="1062"/>
  <c r="AC77" i="1062"/>
  <c r="U78" i="1062"/>
  <c r="AA83" i="1062"/>
  <c r="J216" i="1062" a="1"/>
  <c r="J216" i="1062" s="1"/>
  <c r="X85" i="1062"/>
  <c r="Y87" i="1062"/>
  <c r="Y199" i="1062" s="1"/>
  <c r="I104" i="1062"/>
  <c r="H104" i="1063"/>
  <c r="U11" i="1063"/>
  <c r="U10" i="1063" s="1"/>
  <c r="I11" i="1063"/>
  <c r="I236" i="1062"/>
  <c r="Q124" i="1062"/>
  <c r="AA5" i="1062"/>
  <c r="L6" i="1062"/>
  <c r="H108" i="1062"/>
  <c r="H61" i="1062"/>
  <c r="H57" i="1062"/>
  <c r="I8" i="1062"/>
  <c r="H65" i="1062"/>
  <c r="H55" i="1062"/>
  <c r="H69" i="1062"/>
  <c r="H62" i="1062"/>
  <c r="H58" i="1062"/>
  <c r="V13" i="1062"/>
  <c r="I16" i="1062"/>
  <c r="H176" i="1062"/>
  <c r="V21" i="1062"/>
  <c r="Z220" i="1062"/>
  <c r="Z107" i="1062"/>
  <c r="I29" i="1062"/>
  <c r="U29" i="1062"/>
  <c r="U228" i="1062" s="1"/>
  <c r="X74" i="1062"/>
  <c r="X188" i="1062"/>
  <c r="U216" i="1062"/>
  <c r="AC87" i="1062"/>
  <c r="T218" i="1062"/>
  <c r="H66" i="1062"/>
  <c r="T66" i="1062"/>
  <c r="G220" i="1062"/>
  <c r="G107" i="1062"/>
  <c r="O107" i="1062"/>
  <c r="O220" i="1062"/>
  <c r="U74" i="1062"/>
  <c r="AF76" i="1062"/>
  <c r="P77" i="1062"/>
  <c r="X80" i="1062"/>
  <c r="G96" i="1062"/>
  <c r="S172" i="1062"/>
  <c r="D224" i="1062"/>
  <c r="T211" i="1063"/>
  <c r="T99" i="1063"/>
  <c r="H176" i="1063"/>
  <c r="U19" i="1063"/>
  <c r="H62" i="1063"/>
  <c r="V21" i="1063"/>
  <c r="J21" i="1063"/>
  <c r="T185" i="1063"/>
  <c r="T184" i="1063"/>
  <c r="G145" i="1063"/>
  <c r="AD220" i="1063"/>
  <c r="AD107" i="1063"/>
  <c r="I19" i="1063"/>
  <c r="X220" i="1063"/>
  <c r="X107" i="1063"/>
  <c r="AC194" i="1062"/>
  <c r="X195" i="1062"/>
  <c r="X78" i="1062"/>
  <c r="T198" i="1062"/>
  <c r="T68" i="1062"/>
  <c r="T185" i="1062" s="1"/>
  <c r="U75" i="1062"/>
  <c r="Z87" i="1062"/>
  <c r="Z199" i="1062" s="1"/>
  <c r="M124" i="1063"/>
  <c r="Z5" i="1063"/>
  <c r="M105" i="1063"/>
  <c r="M218" i="1063" s="1"/>
  <c r="V124" i="1063"/>
  <c r="V105" i="1063"/>
  <c r="T204" i="1063"/>
  <c r="T92" i="1063"/>
  <c r="Y220" i="1063"/>
  <c r="U51" i="1063"/>
  <c r="I51" i="1063"/>
  <c r="U198" i="1062"/>
  <c r="AA87" i="1062"/>
  <c r="AA199" i="1062" s="1"/>
  <c r="S185" i="1062"/>
  <c r="G184" i="1062"/>
  <c r="G185" i="1062"/>
  <c r="J220" i="1062"/>
  <c r="J107" i="1062"/>
  <c r="R107" i="1062"/>
  <c r="Y82" i="1062"/>
  <c r="AF83" i="1062"/>
  <c r="Z85" i="1062"/>
  <c r="O105" i="1062"/>
  <c r="O218" i="1062" s="1"/>
  <c r="H125" i="1063"/>
  <c r="H123" i="1063"/>
  <c r="H130" i="1063" a="1"/>
  <c r="H130" i="1063" s="1"/>
  <c r="H164" i="1063" s="1"/>
  <c r="H129" i="1063"/>
  <c r="H163" i="1063" s="1"/>
  <c r="I10" i="1063"/>
  <c r="I54" i="1063" s="1"/>
  <c r="H177" i="1063"/>
  <c r="U20" i="1063"/>
  <c r="H63" i="1063"/>
  <c r="H140" i="1063" s="1"/>
  <c r="Y191" i="1063"/>
  <c r="Y85" i="1063"/>
  <c r="AC194" i="1063"/>
  <c r="Y87" i="1063"/>
  <c r="Y199" i="1063" s="1"/>
  <c r="G208" i="1063"/>
  <c r="G96" i="1063"/>
  <c r="T172" i="1062"/>
  <c r="T173" i="1062"/>
  <c r="T175" i="1062"/>
  <c r="T176" i="1062"/>
  <c r="T178" i="1062"/>
  <c r="V75" i="1062"/>
  <c r="V189" i="1062"/>
  <c r="AD75" i="1062"/>
  <c r="AD189" i="1062"/>
  <c r="T216" i="1062"/>
  <c r="AF74" i="1062"/>
  <c r="Y78" i="1062"/>
  <c r="AA82" i="1062"/>
  <c r="H216" i="1062" a="1"/>
  <c r="H216" i="1062" s="1"/>
  <c r="H104" i="1062"/>
  <c r="T87" i="1062"/>
  <c r="T199" i="1062" s="1"/>
  <c r="G99" i="1062"/>
  <c r="O105" i="1063"/>
  <c r="O218" i="1063" s="1"/>
  <c r="AB5" i="1063"/>
  <c r="O124" i="1063"/>
  <c r="X124" i="1063"/>
  <c r="X105" i="1063"/>
  <c r="X218" i="1063" s="1"/>
  <c r="I20" i="1063"/>
  <c r="I63" i="1063" s="1"/>
  <c r="Z85" i="1063"/>
  <c r="Z191" i="1063"/>
  <c r="H60" i="1063"/>
  <c r="AC124" i="1063"/>
  <c r="AC105" i="1063"/>
  <c r="U17" i="1063"/>
  <c r="H174" i="1063"/>
  <c r="Z220" i="1063"/>
  <c r="Z107" i="1063"/>
  <c r="M228" i="1063"/>
  <c r="Z29" i="1063"/>
  <c r="Z228" i="1063" s="1"/>
  <c r="Y188" i="1063"/>
  <c r="Y74" i="1063"/>
  <c r="AB189" i="1063"/>
  <c r="AB75" i="1063"/>
  <c r="U50" i="1063"/>
  <c r="I50" i="1063"/>
  <c r="T53" i="1063"/>
  <c r="T54" i="1063"/>
  <c r="T71" i="1063" s="1"/>
  <c r="S172" i="1063"/>
  <c r="G172" i="1063"/>
  <c r="G58" i="1063"/>
  <c r="I61" i="1063"/>
  <c r="G215" i="1063"/>
  <c r="G103" i="1063"/>
  <c r="AF74" i="1063"/>
  <c r="Z87" i="1063"/>
  <c r="Z199" i="1063" s="1"/>
  <c r="T123" i="1063"/>
  <c r="AD124" i="1063"/>
  <c r="Q193" i="1063"/>
  <c r="Q194" i="1063"/>
  <c r="Q195" i="1063"/>
  <c r="Q192" i="1063"/>
  <c r="Q77" i="1063"/>
  <c r="AD6" i="1063"/>
  <c r="AD194" i="1063" s="1"/>
  <c r="R6" i="1063"/>
  <c r="I12" i="1063"/>
  <c r="H173" i="1063"/>
  <c r="U16" i="1063"/>
  <c r="I17" i="1063"/>
  <c r="N29" i="1063"/>
  <c r="X82" i="1063"/>
  <c r="AA83" i="1063"/>
  <c r="U49" i="1063"/>
  <c r="I49" i="1063"/>
  <c r="AF73" i="1063"/>
  <c r="T98" i="1063"/>
  <c r="T130" i="1063"/>
  <c r="T164" i="1063" s="1"/>
  <c r="U134" i="1063"/>
  <c r="U168" i="1063"/>
  <c r="U133" i="1063"/>
  <c r="U132" i="1063"/>
  <c r="V13" i="1063"/>
  <c r="J13" i="1063"/>
  <c r="H171" i="1063"/>
  <c r="U14" i="1063"/>
  <c r="H172" i="1063"/>
  <c r="U15" i="1063"/>
  <c r="I173" i="1063"/>
  <c r="V16" i="1063"/>
  <c r="J16" i="1063"/>
  <c r="H182" i="1063"/>
  <c r="U23" i="1063"/>
  <c r="Z24" i="1063"/>
  <c r="N24" i="1063"/>
  <c r="U81" i="1063"/>
  <c r="AC81" i="1063"/>
  <c r="Y82" i="1063"/>
  <c r="AB83" i="1063"/>
  <c r="T87" i="1063"/>
  <c r="T199" i="1063" s="1"/>
  <c r="T61" i="1063"/>
  <c r="T75" i="1063"/>
  <c r="I14" i="1063"/>
  <c r="I57" i="1063" s="1"/>
  <c r="I15" i="1063"/>
  <c r="I182" i="1063"/>
  <c r="V23" i="1063"/>
  <c r="J23" i="1063"/>
  <c r="U220" i="1063"/>
  <c r="U107" i="1063"/>
  <c r="AC220" i="1063"/>
  <c r="AC107" i="1063"/>
  <c r="W195" i="1063"/>
  <c r="W78" i="1063"/>
  <c r="AE78" i="1063"/>
  <c r="V81" i="1063"/>
  <c r="AD81" i="1063"/>
  <c r="AC87" i="1063"/>
  <c r="T205" i="1063"/>
  <c r="T93" i="1063"/>
  <c r="G216" i="1063" a="1"/>
  <c r="G216" i="1063" s="1"/>
  <c r="G104" i="1063"/>
  <c r="G218" i="1063"/>
  <c r="AE162" i="1063"/>
  <c r="L124" i="1063"/>
  <c r="L105" i="1063"/>
  <c r="L218" i="1063" s="1"/>
  <c r="Y5" i="1063"/>
  <c r="Y107" i="1063" s="1"/>
  <c r="U124" i="1063"/>
  <c r="H149" i="1063" s="1"/>
  <c r="U105" i="1063"/>
  <c r="U218" i="1063" s="1"/>
  <c r="I125" i="1063"/>
  <c r="I69" i="1063"/>
  <c r="I62" i="1063"/>
  <c r="I59" i="1063"/>
  <c r="I53" i="1063"/>
  <c r="V8" i="1063"/>
  <c r="I68" i="1063"/>
  <c r="I184" i="1063" s="1"/>
  <c r="I64" i="1063"/>
  <c r="J8" i="1063"/>
  <c r="T125" i="1063"/>
  <c r="T129" i="1063"/>
  <c r="T163" i="1063" s="1"/>
  <c r="T198" i="1063" s="1"/>
  <c r="T69" i="1063"/>
  <c r="T60" i="1063"/>
  <c r="H178" i="1063"/>
  <c r="U21" i="1063"/>
  <c r="I22" i="1063"/>
  <c r="V220" i="1063"/>
  <c r="V107" i="1063"/>
  <c r="Z30" i="1063"/>
  <c r="N30" i="1063"/>
  <c r="T194" i="1063"/>
  <c r="T80" i="1063"/>
  <c r="AB194" i="1063"/>
  <c r="AB80" i="1063"/>
  <c r="AD87" i="1063"/>
  <c r="AD199" i="1063" s="1"/>
  <c r="D223" i="1063"/>
  <c r="B112" i="1063"/>
  <c r="G198" i="1063"/>
  <c r="G197" i="1063"/>
  <c r="G196" i="1063"/>
  <c r="N124" i="1063"/>
  <c r="W105" i="1063"/>
  <c r="W218" i="1063" s="1"/>
  <c r="W124" i="1063"/>
  <c r="AE124" i="1063"/>
  <c r="AE105" i="1063"/>
  <c r="AE218" i="1063" s="1"/>
  <c r="P192" i="1063"/>
  <c r="P194" i="1063"/>
  <c r="P77" i="1063"/>
  <c r="H68" i="1063"/>
  <c r="H185" i="1063" s="1"/>
  <c r="H108" i="1063"/>
  <c r="H61" i="1063"/>
  <c r="H57" i="1063"/>
  <c r="H65" i="1063"/>
  <c r="W220" i="1063"/>
  <c r="W107" i="1063"/>
  <c r="U189" i="1063"/>
  <c r="U75" i="1063"/>
  <c r="AC189" i="1063"/>
  <c r="AC75" i="1063"/>
  <c r="W81" i="1063"/>
  <c r="AE81" i="1063"/>
  <c r="Z82" i="1063"/>
  <c r="AA87" i="1063"/>
  <c r="AA199" i="1063" s="1"/>
  <c r="AC74" i="1063"/>
  <c r="W75" i="1063"/>
  <c r="AB77" i="1063"/>
  <c r="N105" i="1063"/>
  <c r="N218" i="1063" s="1"/>
  <c r="T107" i="1063"/>
  <c r="T168" i="1063"/>
  <c r="T172" i="1063"/>
  <c r="T174" i="1063"/>
  <c r="T175" i="1063"/>
  <c r="T177" i="1063"/>
  <c r="T178" i="1063"/>
  <c r="T64" i="1063"/>
  <c r="AA74" i="1063"/>
  <c r="AA188" i="1063"/>
  <c r="V189" i="1063"/>
  <c r="V75" i="1063"/>
  <c r="AD189" i="1063"/>
  <c r="AD75" i="1063"/>
  <c r="W194" i="1063"/>
  <c r="H58" i="1063"/>
  <c r="H64" i="1063"/>
  <c r="T68" i="1063"/>
  <c r="L220" i="1063"/>
  <c r="L107" i="1063"/>
  <c r="AD74" i="1063"/>
  <c r="X75" i="1063"/>
  <c r="W80" i="1063"/>
  <c r="I104" i="1063"/>
  <c r="AA85" i="1063"/>
  <c r="H217" i="1063"/>
  <c r="H179" i="1063"/>
  <c r="H168" i="1063"/>
  <c r="H132" i="1063"/>
  <c r="H131" i="1063"/>
  <c r="H167" i="1063"/>
  <c r="H139" i="1063"/>
  <c r="H236" i="1063"/>
  <c r="H105" i="1063"/>
  <c r="H218" i="1063" s="1"/>
  <c r="H192" i="1063"/>
  <c r="H194" i="1063"/>
  <c r="H195" i="1063"/>
  <c r="H193" i="1063"/>
  <c r="H181" i="1063"/>
  <c r="H180" i="1063"/>
  <c r="H166" i="1063"/>
  <c r="H165" i="1063"/>
  <c r="H169" i="1063" s="1"/>
  <c r="H77" i="1063"/>
  <c r="U191" i="1063"/>
  <c r="U85" i="1063"/>
  <c r="X194" i="1063"/>
  <c r="AA78" i="1063"/>
  <c r="T197" i="1063"/>
  <c r="W83" i="1063"/>
  <c r="AE83" i="1063"/>
  <c r="U216" i="1063"/>
  <c r="T58" i="1063"/>
  <c r="M220" i="1063"/>
  <c r="M107" i="1063"/>
  <c r="T74" i="1063"/>
  <c r="Z75" i="1063"/>
  <c r="X80" i="1063"/>
  <c r="AF83" i="1063"/>
  <c r="AB85" i="1063"/>
  <c r="H124" i="1063"/>
  <c r="AF124" i="1063" s="1"/>
  <c r="H134" i="1063"/>
  <c r="T176" i="1063"/>
  <c r="AC191" i="1063"/>
  <c r="P193" i="1063"/>
  <c r="T216" i="1063"/>
  <c r="I4" i="1063"/>
  <c r="I105" i="1063"/>
  <c r="I218" i="1063" s="1"/>
  <c r="Q105" i="1063"/>
  <c r="Q218" i="1063" s="1"/>
  <c r="Q124" i="1063"/>
  <c r="I6" i="1063"/>
  <c r="I178" i="1063" s="1"/>
  <c r="T181" i="1063"/>
  <c r="T166" i="1063"/>
  <c r="T165" i="1063"/>
  <c r="T169" i="1063" s="1"/>
  <c r="T67" i="1063"/>
  <c r="I29" i="1063"/>
  <c r="V191" i="1063"/>
  <c r="V85" i="1063"/>
  <c r="AD85" i="1063"/>
  <c r="AD191" i="1063"/>
  <c r="T195" i="1063"/>
  <c r="AB195" i="1063"/>
  <c r="U82" i="1063"/>
  <c r="AC82" i="1063"/>
  <c r="X83" i="1063"/>
  <c r="V87" i="1063"/>
  <c r="V199" i="1063" s="1"/>
  <c r="G203" i="1063"/>
  <c r="G91" i="1063"/>
  <c r="H56" i="1063"/>
  <c r="AB162" i="1063"/>
  <c r="K162" i="1063"/>
  <c r="G171" i="1063"/>
  <c r="AA162" i="1063"/>
  <c r="R162" i="1063"/>
  <c r="J162" i="1063"/>
  <c r="Z162" i="1063"/>
  <c r="Q162" i="1063"/>
  <c r="I162" i="1063"/>
  <c r="Y162" i="1063"/>
  <c r="P162" i="1063"/>
  <c r="H162" i="1063"/>
  <c r="AD162" i="1063"/>
  <c r="N162" i="1063"/>
  <c r="X162" i="1063"/>
  <c r="L162" i="1063"/>
  <c r="S171" i="1063"/>
  <c r="W162" i="1063"/>
  <c r="V162" i="1063"/>
  <c r="U162" i="1063"/>
  <c r="G213" i="1063"/>
  <c r="G101" i="1063"/>
  <c r="T66" i="1063"/>
  <c r="U74" i="1063"/>
  <c r="T77" i="1063"/>
  <c r="Y78" i="1063"/>
  <c r="AC85" i="1063"/>
  <c r="G221" i="1063"/>
  <c r="G109" i="1063"/>
  <c r="G70" i="1063"/>
  <c r="H107" i="1063"/>
  <c r="I124" i="1063"/>
  <c r="O162" i="1063"/>
  <c r="J124" i="1063"/>
  <c r="J105" i="1063"/>
  <c r="J218" i="1063" s="1"/>
  <c r="J107" i="1063"/>
  <c r="R124" i="1063"/>
  <c r="AA5" i="1063"/>
  <c r="K195" i="1063"/>
  <c r="K193" i="1063"/>
  <c r="K194" i="1063"/>
  <c r="K192" i="1063"/>
  <c r="U6" i="1063"/>
  <c r="U217" i="1063" s="1"/>
  <c r="AC6" i="1063"/>
  <c r="U8" i="1063"/>
  <c r="Y75" i="1063"/>
  <c r="Y189" i="1063"/>
  <c r="AE191" i="1063"/>
  <c r="AE85" i="1063"/>
  <c r="AA81" i="1063"/>
  <c r="W87" i="1063"/>
  <c r="W199" i="1063" s="1"/>
  <c r="AE87" i="1063"/>
  <c r="AE199" i="1063" s="1"/>
  <c r="AC218" i="1063"/>
  <c r="H53" i="1063"/>
  <c r="H54" i="1063"/>
  <c r="H55" i="1063"/>
  <c r="H59" i="1063"/>
  <c r="S175" i="1063"/>
  <c r="G175" i="1063"/>
  <c r="G61" i="1063"/>
  <c r="H66" i="1063"/>
  <c r="G214" i="1063"/>
  <c r="G102" i="1063"/>
  <c r="H69" i="1063"/>
  <c r="G71" i="1063"/>
  <c r="G220" i="1063"/>
  <c r="G107" i="1063"/>
  <c r="O220" i="1063"/>
  <c r="O107" i="1063"/>
  <c r="V74" i="1063"/>
  <c r="Z78" i="1063"/>
  <c r="AC83" i="1063"/>
  <c r="U87" i="1063"/>
  <c r="U199" i="1063" s="1"/>
  <c r="G95" i="1063"/>
  <c r="AE107" i="1063"/>
  <c r="G140" i="1063"/>
  <c r="G147" i="1063" s="1"/>
  <c r="T217" i="1063"/>
  <c r="T139" i="1063"/>
  <c r="T134" i="1063"/>
  <c r="T167" i="1063"/>
  <c r="T131" i="1063"/>
  <c r="T179" i="1063"/>
  <c r="T132" i="1063"/>
  <c r="K105" i="1063"/>
  <c r="K218" i="1063" s="1"/>
  <c r="K124" i="1063"/>
  <c r="T236" i="1063"/>
  <c r="T105" i="1063"/>
  <c r="T218" i="1063" s="1"/>
  <c r="T124" i="1063"/>
  <c r="G149" i="1063" s="1"/>
  <c r="L6" i="1063"/>
  <c r="AB220" i="1063"/>
  <c r="U29" i="1063"/>
  <c r="U228" i="1063" s="1"/>
  <c r="W74" i="1063"/>
  <c r="W188" i="1063"/>
  <c r="AE188" i="1063"/>
  <c r="AE74" i="1063"/>
  <c r="T196" i="1063"/>
  <c r="T81" i="1063"/>
  <c r="AB81" i="1063"/>
  <c r="U104" i="1063"/>
  <c r="X87" i="1063"/>
  <c r="X199" i="1063" s="1"/>
  <c r="V218" i="1063"/>
  <c r="AD218" i="1063"/>
  <c r="G57" i="1063"/>
  <c r="G210" i="1063"/>
  <c r="G98" i="1063"/>
  <c r="H67" i="1063"/>
  <c r="AE75" i="1063"/>
  <c r="W77" i="1063"/>
  <c r="AB78" i="1063"/>
  <c r="AA82" i="1063"/>
  <c r="AD83" i="1063"/>
  <c r="N107" i="1063"/>
  <c r="P124" i="1063"/>
  <c r="H133" i="1063"/>
  <c r="AC162" i="1063"/>
  <c r="T180" i="1063"/>
  <c r="P195" i="1063"/>
  <c r="I130" i="1064" a="1"/>
  <c r="I130" i="1064" s="1"/>
  <c r="I164" i="1064" s="1"/>
  <c r="I129" i="1064"/>
  <c r="I163" i="1064" s="1"/>
  <c r="I123" i="1064"/>
  <c r="I121" i="1064" s="1"/>
  <c r="J10" i="1064"/>
  <c r="T173" i="1064"/>
  <c r="T59" i="1064"/>
  <c r="D168" i="1064"/>
  <c r="B55" i="1064"/>
  <c r="S184" i="1063"/>
  <c r="N124" i="1064"/>
  <c r="N105" i="1064"/>
  <c r="N218" i="1064" s="1"/>
  <c r="AA5" i="1064"/>
  <c r="W124" i="1064"/>
  <c r="W105" i="1064"/>
  <c r="G184" i="1063"/>
  <c r="G185" i="1063"/>
  <c r="K107" i="1063"/>
  <c r="T174" i="1064"/>
  <c r="T60" i="1064"/>
  <c r="V30" i="1064"/>
  <c r="J30" i="1064"/>
  <c r="G208" i="1064"/>
  <c r="G96" i="1064"/>
  <c r="G202" i="1063"/>
  <c r="G90" i="1063"/>
  <c r="G211" i="1063"/>
  <c r="G99" i="1063"/>
  <c r="G100" i="1063"/>
  <c r="H205" i="1064"/>
  <c r="H93" i="1064"/>
  <c r="S174" i="1063"/>
  <c r="T204" i="1064"/>
  <c r="T92" i="1064"/>
  <c r="H216" i="1063" a="1"/>
  <c r="H216" i="1063" s="1"/>
  <c r="S176" i="1063"/>
  <c r="V218" i="1064"/>
  <c r="AB220" i="1064"/>
  <c r="AB107" i="1064"/>
  <c r="U220" i="1064"/>
  <c r="U107" i="1064"/>
  <c r="Z83" i="1064"/>
  <c r="L220" i="1064"/>
  <c r="L107" i="1064"/>
  <c r="AC220" i="1064"/>
  <c r="AC107" i="1064"/>
  <c r="K195" i="1064"/>
  <c r="K193" i="1064"/>
  <c r="K194" i="1064"/>
  <c r="K192" i="1064"/>
  <c r="X6" i="1064"/>
  <c r="K77" i="1064"/>
  <c r="I88" i="1064" a="1"/>
  <c r="I88" i="1064" s="1"/>
  <c r="V9" i="1064"/>
  <c r="V88" i="1064" s="1"/>
  <c r="V109" i="1064" s="1"/>
  <c r="AA81" i="1064"/>
  <c r="W82" i="1064"/>
  <c r="AE82" i="1064"/>
  <c r="AF87" i="1063"/>
  <c r="L6" i="1064"/>
  <c r="J9" i="1064"/>
  <c r="I216" i="1064" a="1"/>
  <c r="I216" i="1064" s="1"/>
  <c r="I104" i="1064"/>
  <c r="O105" i="1064"/>
  <c r="O218" i="1064" s="1"/>
  <c r="O124" i="1064"/>
  <c r="AB5" i="1064"/>
  <c r="X124" i="1064"/>
  <c r="X105" i="1064"/>
  <c r="X218" i="1064" s="1"/>
  <c r="T172" i="1064"/>
  <c r="T58" i="1064"/>
  <c r="Y24" i="1064"/>
  <c r="M24" i="1064"/>
  <c r="T220" i="1064"/>
  <c r="T107" i="1064"/>
  <c r="V189" i="1064"/>
  <c r="V75" i="1064"/>
  <c r="U195" i="1064"/>
  <c r="U78" i="1064"/>
  <c r="AC78" i="1064"/>
  <c r="AB81" i="1064"/>
  <c r="X82" i="1064"/>
  <c r="AA83" i="1064"/>
  <c r="H60" i="1064"/>
  <c r="T211" i="1064"/>
  <c r="T99" i="1064"/>
  <c r="T215" i="1064"/>
  <c r="T103" i="1064"/>
  <c r="AD220" i="1064"/>
  <c r="AD107" i="1064"/>
  <c r="U8" i="1064"/>
  <c r="H176" i="1064"/>
  <c r="U19" i="1064"/>
  <c r="I19" i="1064"/>
  <c r="AA188" i="1064"/>
  <c r="AA74" i="1064"/>
  <c r="W191" i="1064"/>
  <c r="W85" i="1064"/>
  <c r="W77" i="1064"/>
  <c r="AE191" i="1064"/>
  <c r="AE85" i="1064"/>
  <c r="V78" i="1064"/>
  <c r="AD78" i="1064"/>
  <c r="U81" i="1064"/>
  <c r="AC81" i="1064"/>
  <c r="T202" i="1064"/>
  <c r="T90" i="1064"/>
  <c r="AF72" i="1064"/>
  <c r="U165" i="1064"/>
  <c r="U166" i="1064"/>
  <c r="H175" i="1064"/>
  <c r="U18" i="1064"/>
  <c r="I18" i="1064"/>
  <c r="V220" i="1064"/>
  <c r="V107" i="1064"/>
  <c r="P30" i="1064"/>
  <c r="AB30" i="1064"/>
  <c r="X191" i="1064"/>
  <c r="X85" i="1064"/>
  <c r="X77" i="1064"/>
  <c r="W195" i="1064"/>
  <c r="W78" i="1064"/>
  <c r="AE78" i="1064"/>
  <c r="T217" i="1064"/>
  <c r="T134" i="1064"/>
  <c r="T179" i="1064"/>
  <c r="T139" i="1064"/>
  <c r="T168" i="1064"/>
  <c r="T167" i="1064"/>
  <c r="T133" i="1064"/>
  <c r="T131" i="1064"/>
  <c r="T169" i="1064"/>
  <c r="T132" i="1064"/>
  <c r="T65" i="1064"/>
  <c r="T71" i="1064" s="1"/>
  <c r="H174" i="1064"/>
  <c r="U17" i="1064"/>
  <c r="I17" i="1064"/>
  <c r="AF75" i="1064"/>
  <c r="U217" i="1064"/>
  <c r="U133" i="1064"/>
  <c r="U169" i="1064"/>
  <c r="U134" i="1064"/>
  <c r="U131" i="1064"/>
  <c r="H108" i="1064"/>
  <c r="H68" i="1064"/>
  <c r="H66" i="1064"/>
  <c r="H65" i="1064"/>
  <c r="H64" i="1064"/>
  <c r="H63" i="1064"/>
  <c r="H140" i="1064" s="1"/>
  <c r="H62" i="1064"/>
  <c r="H59" i="1064"/>
  <c r="H67" i="1064"/>
  <c r="H58" i="1064"/>
  <c r="H61" i="1064"/>
  <c r="H54" i="1064"/>
  <c r="H56" i="1064"/>
  <c r="H53" i="1064"/>
  <c r="H173" i="1064"/>
  <c r="U16" i="1064"/>
  <c r="I16" i="1064"/>
  <c r="X220" i="1064"/>
  <c r="X107" i="1064"/>
  <c r="I8" i="1064"/>
  <c r="U11" i="1064"/>
  <c r="U10" i="1064" s="1"/>
  <c r="U67" i="1064" s="1"/>
  <c r="I11" i="1064"/>
  <c r="H104" i="1064"/>
  <c r="T175" i="1064"/>
  <c r="T61" i="1064"/>
  <c r="U49" i="1064"/>
  <c r="I49" i="1064"/>
  <c r="G205" i="1064"/>
  <c r="G93" i="1064"/>
  <c r="G175" i="1064"/>
  <c r="S175" i="1064"/>
  <c r="G61" i="1064"/>
  <c r="G70" i="1064" s="1"/>
  <c r="T213" i="1064"/>
  <c r="T101" i="1064"/>
  <c r="T171" i="1064"/>
  <c r="T57" i="1064"/>
  <c r="H172" i="1064"/>
  <c r="U15" i="1064"/>
  <c r="I15" i="1064"/>
  <c r="H182" i="1064"/>
  <c r="U23" i="1064"/>
  <c r="I23" i="1064"/>
  <c r="Y220" i="1064"/>
  <c r="V188" i="1064"/>
  <c r="V74" i="1064"/>
  <c r="Y189" i="1064"/>
  <c r="Y75" i="1064"/>
  <c r="Y191" i="1064"/>
  <c r="Y85" i="1064"/>
  <c r="T194" i="1064"/>
  <c r="T80" i="1064"/>
  <c r="W218" i="1064"/>
  <c r="T64" i="1064"/>
  <c r="T214" i="1064"/>
  <c r="T102" i="1064"/>
  <c r="AF73" i="1064"/>
  <c r="T104" i="1064"/>
  <c r="J124" i="1064"/>
  <c r="J105" i="1064"/>
  <c r="J218" i="1064" s="1"/>
  <c r="R124" i="1064"/>
  <c r="R105" i="1064"/>
  <c r="R218" i="1064" s="1"/>
  <c r="AC105" i="1064"/>
  <c r="P192" i="1064"/>
  <c r="P194" i="1064"/>
  <c r="P193" i="1064"/>
  <c r="P195" i="1064"/>
  <c r="P77" i="1064"/>
  <c r="H171" i="1064"/>
  <c r="U14" i="1064"/>
  <c r="I14" i="1064"/>
  <c r="U22" i="1064"/>
  <c r="I22" i="1064"/>
  <c r="Z220" i="1064"/>
  <c r="W188" i="1064"/>
  <c r="W74" i="1064"/>
  <c r="AE188" i="1064"/>
  <c r="AE74" i="1064"/>
  <c r="Z189" i="1064"/>
  <c r="Z75" i="1064"/>
  <c r="J50" i="1064"/>
  <c r="AF74" i="1064"/>
  <c r="AD74" i="1064"/>
  <c r="AF80" i="1064"/>
  <c r="AF81" i="1064"/>
  <c r="K124" i="1064"/>
  <c r="K105" i="1064"/>
  <c r="K218" i="1064" s="1"/>
  <c r="T236" i="1064"/>
  <c r="T124" i="1064"/>
  <c r="G149" i="1064" s="1"/>
  <c r="T105" i="1064"/>
  <c r="Q6" i="1064"/>
  <c r="AC6" i="1064"/>
  <c r="AC195" i="1064" s="1"/>
  <c r="U13" i="1064"/>
  <c r="U56" i="1064" s="1"/>
  <c r="I13" i="1064"/>
  <c r="H178" i="1064"/>
  <c r="U21" i="1064"/>
  <c r="I21" i="1064"/>
  <c r="AA220" i="1064"/>
  <c r="AA107" i="1064"/>
  <c r="X188" i="1064"/>
  <c r="X74" i="1064"/>
  <c r="X87" i="1064"/>
  <c r="X199" i="1064" s="1"/>
  <c r="T210" i="1064"/>
  <c r="T98" i="1064"/>
  <c r="G215" i="1064"/>
  <c r="G103" i="1064"/>
  <c r="J220" i="1064"/>
  <c r="J107" i="1064"/>
  <c r="R220" i="1064"/>
  <c r="R107" i="1064"/>
  <c r="AF76" i="1064"/>
  <c r="L105" i="1064"/>
  <c r="L218" i="1064" s="1"/>
  <c r="L124" i="1064"/>
  <c r="Y5" i="1064"/>
  <c r="U124" i="1064"/>
  <c r="H149" i="1064" s="1"/>
  <c r="U105" i="1064"/>
  <c r="AE5" i="1064"/>
  <c r="T125" i="1064"/>
  <c r="T130" i="1064"/>
  <c r="T164" i="1064" s="1"/>
  <c r="T129" i="1064"/>
  <c r="T163" i="1064" s="1"/>
  <c r="T198" i="1064" s="1"/>
  <c r="T123" i="1064"/>
  <c r="T69" i="1064"/>
  <c r="U12" i="1064"/>
  <c r="U132" i="1064" s="1"/>
  <c r="I12" i="1064"/>
  <c r="T176" i="1064"/>
  <c r="H177" i="1064"/>
  <c r="U20" i="1064"/>
  <c r="I20" i="1064"/>
  <c r="M228" i="1064"/>
  <c r="Z29" i="1064"/>
  <c r="Z228" i="1064" s="1"/>
  <c r="N29" i="1064"/>
  <c r="V82" i="1064"/>
  <c r="AD82" i="1064"/>
  <c r="Y87" i="1064"/>
  <c r="Y199" i="1064" s="1"/>
  <c r="K220" i="1064"/>
  <c r="K107" i="1064"/>
  <c r="AC124" i="1064"/>
  <c r="M124" i="1064"/>
  <c r="M105" i="1064"/>
  <c r="M218" i="1064" s="1"/>
  <c r="V124" i="1064"/>
  <c r="V105" i="1064"/>
  <c r="AD124" i="1064"/>
  <c r="AD105" i="1064"/>
  <c r="AD218" i="1064" s="1"/>
  <c r="H221" i="1064"/>
  <c r="H109" i="1064"/>
  <c r="H125" i="1064"/>
  <c r="H130" i="1064" a="1"/>
  <c r="H130" i="1064" s="1"/>
  <c r="H164" i="1064" s="1"/>
  <c r="H129" i="1064"/>
  <c r="H163" i="1064" s="1"/>
  <c r="T184" i="1064"/>
  <c r="T185" i="1064"/>
  <c r="U194" i="1064"/>
  <c r="U80" i="1064"/>
  <c r="AC80" i="1064"/>
  <c r="X195" i="1064"/>
  <c r="V81" i="1064"/>
  <c r="AD81" i="1064"/>
  <c r="Y82" i="1064"/>
  <c r="Z87" i="1064"/>
  <c r="Z199" i="1064" s="1"/>
  <c r="M220" i="1064"/>
  <c r="M107" i="1064"/>
  <c r="U75" i="1064"/>
  <c r="AD75" i="1064"/>
  <c r="AE220" i="1064"/>
  <c r="AE107" i="1064"/>
  <c r="AA191" i="1064"/>
  <c r="AA85" i="1064"/>
  <c r="W81" i="1064"/>
  <c r="AE81" i="1064"/>
  <c r="AA87" i="1064"/>
  <c r="AA199" i="1064" s="1"/>
  <c r="G206" i="1064"/>
  <c r="G94" i="1064"/>
  <c r="AE75" i="1064"/>
  <c r="T191" i="1064"/>
  <c r="T85" i="1064"/>
  <c r="AB191" i="1064"/>
  <c r="AB85" i="1064"/>
  <c r="W194" i="1064"/>
  <c r="W80" i="1064"/>
  <c r="AA82" i="1064"/>
  <c r="T216" i="1064"/>
  <c r="T87" i="1064"/>
  <c r="T199" i="1064" s="1"/>
  <c r="AB87" i="1064"/>
  <c r="AB199" i="1064" s="1"/>
  <c r="G173" i="1064"/>
  <c r="S173" i="1064"/>
  <c r="G59" i="1064"/>
  <c r="G214" i="1064"/>
  <c r="G102" i="1064"/>
  <c r="H184" i="1064"/>
  <c r="S185" i="1064"/>
  <c r="G185" i="1064"/>
  <c r="G184" i="1064"/>
  <c r="S184" i="1064"/>
  <c r="H185" i="1064"/>
  <c r="G220" i="1064"/>
  <c r="G107" i="1064"/>
  <c r="O220" i="1064"/>
  <c r="O107" i="1064"/>
  <c r="W75" i="1064"/>
  <c r="D220" i="1064"/>
  <c r="B108" i="1064"/>
  <c r="H167" i="1064"/>
  <c r="H169" i="1064"/>
  <c r="H217" i="1064"/>
  <c r="H168" i="1064"/>
  <c r="H139" i="1064"/>
  <c r="H179" i="1064"/>
  <c r="H134" i="1064"/>
  <c r="H133" i="1064"/>
  <c r="H132" i="1064"/>
  <c r="H131" i="1064"/>
  <c r="H55" i="1064" s="1"/>
  <c r="H236" i="1064"/>
  <c r="H124" i="1064"/>
  <c r="H105" i="1064"/>
  <c r="H218" i="1064" s="1"/>
  <c r="P124" i="1064"/>
  <c r="P105" i="1064"/>
  <c r="P218" i="1064" s="1"/>
  <c r="H192" i="1064"/>
  <c r="H195" i="1064"/>
  <c r="H193" i="1064"/>
  <c r="H166" i="1064"/>
  <c r="H165" i="1064"/>
  <c r="H181" i="1064"/>
  <c r="H180" i="1064"/>
  <c r="H194" i="1064"/>
  <c r="H77" i="1064"/>
  <c r="T109" i="1064"/>
  <c r="T110" i="1064" s="1"/>
  <c r="U191" i="1064"/>
  <c r="U77" i="1064"/>
  <c r="AC191" i="1064"/>
  <c r="AC85" i="1064"/>
  <c r="X194" i="1064"/>
  <c r="X80" i="1064"/>
  <c r="AA78" i="1064"/>
  <c r="T82" i="1064"/>
  <c r="AB82" i="1064"/>
  <c r="W83" i="1064"/>
  <c r="AE83" i="1064"/>
  <c r="U87" i="1064"/>
  <c r="U199" i="1064" s="1"/>
  <c r="AC87" i="1064"/>
  <c r="T218" i="1064"/>
  <c r="K51" i="1064"/>
  <c r="T140" i="1064"/>
  <c r="G210" i="1064"/>
  <c r="G98" i="1064"/>
  <c r="G211" i="1064"/>
  <c r="G99" i="1064"/>
  <c r="G213" i="1064"/>
  <c r="G101" i="1064"/>
  <c r="H220" i="1064"/>
  <c r="H107" i="1064"/>
  <c r="P220" i="1064"/>
  <c r="P107" i="1064"/>
  <c r="Y74" i="1064"/>
  <c r="X75" i="1064"/>
  <c r="T77" i="1064"/>
  <c r="Z82" i="1064"/>
  <c r="T83" i="1064"/>
  <c r="Z85" i="1064"/>
  <c r="AF87" i="1064"/>
  <c r="W107" i="1064"/>
  <c r="H123" i="1064"/>
  <c r="I4" i="1064"/>
  <c r="I105" i="1064"/>
  <c r="I218" i="1064" s="1"/>
  <c r="I124" i="1064"/>
  <c r="Q105" i="1064"/>
  <c r="Q218" i="1064" s="1"/>
  <c r="Q124" i="1064"/>
  <c r="Z5" i="1064"/>
  <c r="I6" i="1064"/>
  <c r="T180" i="1064"/>
  <c r="T181" i="1064"/>
  <c r="T166" i="1064"/>
  <c r="T165" i="1064"/>
  <c r="U9" i="1064"/>
  <c r="U88" i="1064" s="1"/>
  <c r="U109" i="1064" s="1"/>
  <c r="I29" i="1064"/>
  <c r="V191" i="1064"/>
  <c r="V85" i="1064"/>
  <c r="AD191" i="1064"/>
  <c r="AD85" i="1064"/>
  <c r="T195" i="1064"/>
  <c r="AB195" i="1064"/>
  <c r="U82" i="1064"/>
  <c r="AC82" i="1064"/>
  <c r="V87" i="1064"/>
  <c r="V199" i="1064" s="1"/>
  <c r="AD87" i="1064"/>
  <c r="AD199" i="1064" s="1"/>
  <c r="G202" i="1064"/>
  <c r="G142" i="1064"/>
  <c r="G143" i="1064" s="1"/>
  <c r="Y162" i="1064"/>
  <c r="P162" i="1064"/>
  <c r="H162" i="1064"/>
  <c r="S171" i="1064"/>
  <c r="AE162" i="1064"/>
  <c r="W162" i="1064"/>
  <c r="N162" i="1064"/>
  <c r="V162" i="1064"/>
  <c r="K162" i="1064"/>
  <c r="G171" i="1064"/>
  <c r="AD162" i="1064"/>
  <c r="I162" i="1064"/>
  <c r="R162" i="1064"/>
  <c r="AC162" i="1064"/>
  <c r="Q162" i="1064"/>
  <c r="AB162" i="1064"/>
  <c r="O162" i="1064"/>
  <c r="Z162" i="1064"/>
  <c r="X162" i="1064"/>
  <c r="U162" i="1064"/>
  <c r="M162" i="1064"/>
  <c r="AA162" i="1064"/>
  <c r="L162" i="1064"/>
  <c r="J162" i="1064"/>
  <c r="S174" i="1064"/>
  <c r="G174" i="1064"/>
  <c r="I220" i="1064"/>
  <c r="I107" i="1064"/>
  <c r="Q220" i="1064"/>
  <c r="Q107" i="1064"/>
  <c r="Z74" i="1064"/>
  <c r="X78" i="1064"/>
  <c r="U83" i="1064"/>
  <c r="G221" i="1064"/>
  <c r="G109" i="1064"/>
  <c r="G90" i="1064"/>
  <c r="G216" i="1064" a="1"/>
  <c r="G216" i="1064" s="1"/>
  <c r="G104" i="1064"/>
  <c r="U218" i="1064"/>
  <c r="AC218" i="1064"/>
  <c r="S172" i="1064"/>
  <c r="G172" i="1064"/>
  <c r="S176" i="1064"/>
  <c r="G176" i="1064"/>
  <c r="G212" i="1064"/>
  <c r="G100" i="1064"/>
  <c r="N220" i="1064"/>
  <c r="N107" i="1064"/>
  <c r="H216" i="1064" a="1"/>
  <c r="H216" i="1064" s="1"/>
  <c r="G121" i="1064"/>
  <c r="D223" i="1064"/>
  <c r="B112" i="1064"/>
  <c r="G197" i="1064"/>
  <c r="G198" i="1064"/>
  <c r="G196" i="1064"/>
  <c r="D168" i="1053"/>
  <c r="B55" i="1053"/>
  <c r="J13" i="1053"/>
  <c r="V13" i="1053"/>
  <c r="G198" i="1053"/>
  <c r="G197" i="1053"/>
  <c r="G196" i="1053"/>
  <c r="T204" i="1053"/>
  <c r="T92" i="1053"/>
  <c r="H121" i="1053"/>
  <c r="H111" i="1053"/>
  <c r="X17" i="1053"/>
  <c r="L17" i="1053"/>
  <c r="Z24" i="1053"/>
  <c r="N24" i="1053"/>
  <c r="J88" i="1053" a="1"/>
  <c r="J88" i="1053" s="1"/>
  <c r="W9" i="1053"/>
  <c r="W88" i="1053" s="1"/>
  <c r="W109" i="1053" s="1"/>
  <c r="K9" i="1053"/>
  <c r="I171" i="1053"/>
  <c r="J14" i="1053"/>
  <c r="V14" i="1053"/>
  <c r="H102" i="1053"/>
  <c r="H214" i="1053"/>
  <c r="X105" i="1053"/>
  <c r="X124" i="1053"/>
  <c r="H172" i="1053"/>
  <c r="I16" i="1053"/>
  <c r="U23" i="1053"/>
  <c r="T188" i="1053"/>
  <c r="T74" i="1053"/>
  <c r="U81" i="1053"/>
  <c r="H129" i="1053"/>
  <c r="H163" i="1053" s="1"/>
  <c r="Y105" i="1053"/>
  <c r="Y124" i="1053"/>
  <c r="H104" i="1053"/>
  <c r="U14" i="1053"/>
  <c r="T178" i="1053"/>
  <c r="T64" i="1053"/>
  <c r="I23" i="1053"/>
  <c r="V30" i="1053"/>
  <c r="Y82" i="1053"/>
  <c r="G206" i="1053"/>
  <c r="G94" i="1053"/>
  <c r="AC74" i="1053"/>
  <c r="I105" i="1053"/>
  <c r="I218" i="1053" s="1"/>
  <c r="I124" i="1053"/>
  <c r="Q105" i="1053"/>
  <c r="Q218" i="1053" s="1"/>
  <c r="Q124" i="1053"/>
  <c r="Z105" i="1053"/>
  <c r="Z218" i="1053" s="1"/>
  <c r="Z124" i="1053"/>
  <c r="I11" i="1053"/>
  <c r="T177" i="1053"/>
  <c r="T63" i="1053"/>
  <c r="H178" i="1053"/>
  <c r="U21" i="1053"/>
  <c r="I22" i="1053"/>
  <c r="AA220" i="1053"/>
  <c r="K30" i="1053"/>
  <c r="X30" i="1053" s="1"/>
  <c r="T194" i="1053"/>
  <c r="AB194" i="1053"/>
  <c r="X195" i="1053"/>
  <c r="X78" i="1053"/>
  <c r="T216" i="1053"/>
  <c r="T87" i="1053"/>
  <c r="T199" i="1053" s="1"/>
  <c r="AB87" i="1053"/>
  <c r="AB199" i="1053" s="1"/>
  <c r="G203" i="1053"/>
  <c r="G91" i="1053"/>
  <c r="S171" i="1053"/>
  <c r="AC162" i="1053"/>
  <c r="U162" i="1053"/>
  <c r="L162" i="1053"/>
  <c r="G171" i="1053"/>
  <c r="AA162" i="1053"/>
  <c r="R162" i="1053"/>
  <c r="J162" i="1053"/>
  <c r="Z162" i="1053"/>
  <c r="Q162" i="1053"/>
  <c r="I162" i="1053"/>
  <c r="AE162" i="1053"/>
  <c r="P162" i="1053"/>
  <c r="AD162" i="1053"/>
  <c r="O162" i="1053"/>
  <c r="AB162" i="1053"/>
  <c r="N162" i="1053"/>
  <c r="Y162" i="1053"/>
  <c r="M162" i="1053"/>
  <c r="X162" i="1053"/>
  <c r="K162" i="1053"/>
  <c r="W162" i="1053"/>
  <c r="H162" i="1053"/>
  <c r="G57" i="1053"/>
  <c r="H58" i="1053"/>
  <c r="H61" i="1053"/>
  <c r="T68" i="1053"/>
  <c r="AF76" i="1053"/>
  <c r="AF80" i="1053"/>
  <c r="AF83" i="1053"/>
  <c r="J4" i="1053"/>
  <c r="AA5" i="1053"/>
  <c r="N105" i="1053"/>
  <c r="N218" i="1053" s="1"/>
  <c r="H195" i="1053"/>
  <c r="H193" i="1053"/>
  <c r="H192" i="1053"/>
  <c r="H180" i="1053"/>
  <c r="H181" i="1053"/>
  <c r="H165" i="1053"/>
  <c r="H166" i="1053"/>
  <c r="U6" i="1053"/>
  <c r="U56" i="1053" s="1"/>
  <c r="H77" i="1053"/>
  <c r="T180" i="1053"/>
  <c r="T165" i="1053"/>
  <c r="T65" i="1053"/>
  <c r="T166" i="1053"/>
  <c r="T181" i="1053"/>
  <c r="T67" i="1053"/>
  <c r="V9" i="1053"/>
  <c r="V88" i="1053" s="1"/>
  <c r="V109" i="1053" s="1"/>
  <c r="I88" i="1053" a="1"/>
  <c r="I88" i="1053" s="1"/>
  <c r="AA83" i="1053"/>
  <c r="P105" i="1053"/>
  <c r="P218" i="1053" s="1"/>
  <c r="P124" i="1053"/>
  <c r="I15" i="1053"/>
  <c r="AD81" i="1053"/>
  <c r="AB83" i="1053"/>
  <c r="D224" i="1053"/>
  <c r="B113" i="1053"/>
  <c r="B114" i="1053" s="1"/>
  <c r="AC5" i="1053"/>
  <c r="U11" i="1053"/>
  <c r="U10" i="1053" s="1"/>
  <c r="T176" i="1053"/>
  <c r="T62" i="1053"/>
  <c r="H177" i="1053"/>
  <c r="U20" i="1053"/>
  <c r="J21" i="1053"/>
  <c r="V21" i="1053"/>
  <c r="N228" i="1053"/>
  <c r="O29" i="1053"/>
  <c r="Y191" i="1053"/>
  <c r="Y85" i="1053"/>
  <c r="U194" i="1053"/>
  <c r="U80" i="1053"/>
  <c r="X81" i="1053"/>
  <c r="AA82" i="1053"/>
  <c r="U49" i="1053"/>
  <c r="I49" i="1053"/>
  <c r="G142" i="1053"/>
  <c r="G143" i="1053" s="1"/>
  <c r="G202" i="1053"/>
  <c r="AF74" i="1053"/>
  <c r="AF75" i="1053"/>
  <c r="G90" i="1053"/>
  <c r="H107" i="1053"/>
  <c r="T130" i="1053"/>
  <c r="T164" i="1053" s="1"/>
  <c r="U217" i="1053"/>
  <c r="U139" i="1053"/>
  <c r="U179" i="1053"/>
  <c r="U168" i="1053"/>
  <c r="U65" i="1053"/>
  <c r="U167" i="1053"/>
  <c r="U132" i="1053"/>
  <c r="W105" i="1053"/>
  <c r="W218" i="1053" s="1"/>
  <c r="T172" i="1053"/>
  <c r="T58" i="1053"/>
  <c r="V189" i="1053"/>
  <c r="V75" i="1053"/>
  <c r="U195" i="1053"/>
  <c r="T171" i="1053"/>
  <c r="T57" i="1053"/>
  <c r="U15" i="1053"/>
  <c r="H228" i="1053"/>
  <c r="U29" i="1053"/>
  <c r="U228" i="1053" s="1"/>
  <c r="T60" i="1053"/>
  <c r="AF81" i="1051"/>
  <c r="AD105" i="1053"/>
  <c r="P195" i="1053"/>
  <c r="P193" i="1053"/>
  <c r="P194" i="1053"/>
  <c r="P192" i="1053"/>
  <c r="AC6" i="1053"/>
  <c r="AC195" i="1053" s="1"/>
  <c r="P77" i="1053"/>
  <c r="I12" i="1053"/>
  <c r="T175" i="1053"/>
  <c r="T61" i="1053"/>
  <c r="H176" i="1053"/>
  <c r="U19" i="1053"/>
  <c r="I20" i="1053"/>
  <c r="U220" i="1053"/>
  <c r="U107" i="1053"/>
  <c r="AC220" i="1053"/>
  <c r="AA29" i="1053"/>
  <c r="AA228" i="1053" s="1"/>
  <c r="O30" i="1053"/>
  <c r="Z30" i="1053"/>
  <c r="X188" i="1053"/>
  <c r="X74" i="1053"/>
  <c r="Z191" i="1053"/>
  <c r="Z78" i="1053"/>
  <c r="V87" i="1053"/>
  <c r="V199" i="1053" s="1"/>
  <c r="AD87" i="1053"/>
  <c r="AD199" i="1053" s="1"/>
  <c r="X218" i="1053"/>
  <c r="H57" i="1053"/>
  <c r="I220" i="1053"/>
  <c r="I107" i="1053"/>
  <c r="Q220" i="1053"/>
  <c r="Q107" i="1053"/>
  <c r="G221" i="1053"/>
  <c r="G109" i="1053"/>
  <c r="N124" i="1053"/>
  <c r="H171" i="1053"/>
  <c r="H173" i="1053"/>
  <c r="W17" i="1053"/>
  <c r="V17" i="1053"/>
  <c r="H194" i="1053"/>
  <c r="AB5" i="1053"/>
  <c r="O105" i="1053"/>
  <c r="O218" i="1053" s="1"/>
  <c r="O124" i="1053"/>
  <c r="I6" i="1053"/>
  <c r="I236" i="1053" s="1"/>
  <c r="H125" i="1053"/>
  <c r="H130" i="1053" a="1"/>
  <c r="H130" i="1053" s="1"/>
  <c r="H164" i="1053" s="1"/>
  <c r="V191" i="1053"/>
  <c r="V85" i="1053"/>
  <c r="Z87" i="1053"/>
  <c r="Z199" i="1053" s="1"/>
  <c r="H62" i="1053"/>
  <c r="AF83" i="1052"/>
  <c r="H236" i="1053"/>
  <c r="H105" i="1053"/>
  <c r="H218" i="1053" s="1"/>
  <c r="H124" i="1053"/>
  <c r="L124" i="1053"/>
  <c r="U5" i="1053"/>
  <c r="AE105" i="1053"/>
  <c r="AE218" i="1053" s="1"/>
  <c r="Q194" i="1053"/>
  <c r="Q195" i="1053"/>
  <c r="Q193" i="1053"/>
  <c r="AD6" i="1053"/>
  <c r="Q77" i="1053"/>
  <c r="H64" i="1053"/>
  <c r="H59" i="1053"/>
  <c r="H54" i="1053"/>
  <c r="H71" i="1053" s="1"/>
  <c r="H68" i="1053"/>
  <c r="U8" i="1053"/>
  <c r="H66" i="1053"/>
  <c r="H60" i="1053"/>
  <c r="H56" i="1053"/>
  <c r="H63" i="1053"/>
  <c r="H53" i="1053"/>
  <c r="H108" i="1053"/>
  <c r="H65" i="1053"/>
  <c r="U12" i="1053"/>
  <c r="U134" i="1053" s="1"/>
  <c r="T174" i="1053"/>
  <c r="H175" i="1053"/>
  <c r="U18" i="1053"/>
  <c r="J19" i="1053"/>
  <c r="V19" i="1053"/>
  <c r="V220" i="1053"/>
  <c r="AD220" i="1053"/>
  <c r="AD107" i="1053"/>
  <c r="Y188" i="1053"/>
  <c r="Y74" i="1053"/>
  <c r="W194" i="1053"/>
  <c r="W80" i="1053"/>
  <c r="U82" i="1053"/>
  <c r="AC82" i="1053"/>
  <c r="X83" i="1053"/>
  <c r="AE87" i="1053"/>
  <c r="AE199" i="1053" s="1"/>
  <c r="U50" i="1053"/>
  <c r="I50" i="1053"/>
  <c r="G215" i="1053"/>
  <c r="W77" i="1053"/>
  <c r="P107" i="1053"/>
  <c r="AA188" i="1053"/>
  <c r="AA74" i="1053"/>
  <c r="AD189" i="1053"/>
  <c r="AD75" i="1053"/>
  <c r="U51" i="1053"/>
  <c r="I51" i="1053"/>
  <c r="G210" i="1053"/>
  <c r="G98" i="1053"/>
  <c r="Y107" i="1053"/>
  <c r="AD191" i="1053"/>
  <c r="AD85" i="1053"/>
  <c r="AC81" i="1053"/>
  <c r="T218" i="1053"/>
  <c r="G175" i="1053"/>
  <c r="S175" i="1053"/>
  <c r="G61" i="1053"/>
  <c r="Z220" i="1053"/>
  <c r="Z107" i="1053"/>
  <c r="I10" i="1053"/>
  <c r="I168" i="1053" s="1"/>
  <c r="T53" i="1053"/>
  <c r="T129" i="1053"/>
  <c r="T163" i="1053" s="1"/>
  <c r="T196" i="1053" s="1"/>
  <c r="T123" i="1053"/>
  <c r="T69" i="1053"/>
  <c r="T54" i="1053"/>
  <c r="I29" i="1053"/>
  <c r="X189" i="1053"/>
  <c r="X75" i="1053"/>
  <c r="W195" i="1053"/>
  <c r="W78" i="1053"/>
  <c r="AE78" i="1053"/>
  <c r="V81" i="1053"/>
  <c r="T198" i="1053"/>
  <c r="T83" i="1053"/>
  <c r="H217" i="1053"/>
  <c r="H169" i="1053"/>
  <c r="H179" i="1053"/>
  <c r="H168" i="1053"/>
  <c r="H131" i="1053"/>
  <c r="H55" i="1053" s="1"/>
  <c r="H134" i="1053"/>
  <c r="H167" i="1053"/>
  <c r="H133" i="1053"/>
  <c r="T131" i="1053"/>
  <c r="T55" i="1053" s="1"/>
  <c r="M105" i="1053"/>
  <c r="M218" i="1053" s="1"/>
  <c r="V5" i="1053"/>
  <c r="V107" i="1053" s="1"/>
  <c r="R6" i="1053"/>
  <c r="I8" i="1053"/>
  <c r="H221" i="1053"/>
  <c r="H109" i="1053"/>
  <c r="T173" i="1053"/>
  <c r="T59" i="1053"/>
  <c r="H174" i="1053"/>
  <c r="U17" i="1053"/>
  <c r="I18" i="1053"/>
  <c r="T184" i="1053"/>
  <c r="T185" i="1053"/>
  <c r="W220" i="1053"/>
  <c r="W107" i="1053"/>
  <c r="AE107" i="1053"/>
  <c r="AE220" i="1053"/>
  <c r="T77" i="1053"/>
  <c r="T191" i="1053"/>
  <c r="T85" i="1053"/>
  <c r="AB191" i="1053"/>
  <c r="AB77" i="1053"/>
  <c r="AB85" i="1053"/>
  <c r="T195" i="1053"/>
  <c r="T78" i="1053"/>
  <c r="AB195" i="1053"/>
  <c r="AB78" i="1053"/>
  <c r="T66" i="1053"/>
  <c r="X77" i="1053"/>
  <c r="T80" i="1053"/>
  <c r="Z85" i="1053"/>
  <c r="G103" i="1053"/>
  <c r="L105" i="1053"/>
  <c r="L218" i="1053" s="1"/>
  <c r="X107" i="1053"/>
  <c r="W124" i="1053"/>
  <c r="H139" i="1053"/>
  <c r="AD194" i="1053"/>
  <c r="Y218" i="1053"/>
  <c r="S174" i="1053"/>
  <c r="G174" i="1053"/>
  <c r="H185" i="1053"/>
  <c r="S184" i="1053"/>
  <c r="G184" i="1053"/>
  <c r="S185" i="1053"/>
  <c r="G185" i="1053"/>
  <c r="W74" i="1053"/>
  <c r="AE74" i="1053"/>
  <c r="U75" i="1053"/>
  <c r="AC75" i="1053"/>
  <c r="AA81" i="1053"/>
  <c r="G100" i="1053"/>
  <c r="G104" i="1053"/>
  <c r="G172" i="1053"/>
  <c r="Z82" i="1053"/>
  <c r="U85" i="1053"/>
  <c r="AC85" i="1053"/>
  <c r="AA87" i="1053"/>
  <c r="AA199" i="1053" s="1"/>
  <c r="J107" i="1053"/>
  <c r="R107" i="1053"/>
  <c r="X194" i="1053"/>
  <c r="T197" i="1053"/>
  <c r="U216" i="1053"/>
  <c r="S173" i="1053"/>
  <c r="G173" i="1053"/>
  <c r="G60" i="1053"/>
  <c r="W75" i="1053"/>
  <c r="AE75" i="1053"/>
  <c r="Y78" i="1053"/>
  <c r="G92" i="1053"/>
  <c r="G101" i="1053"/>
  <c r="K107" i="1053"/>
  <c r="T107" i="1053"/>
  <c r="T133" i="1053"/>
  <c r="Z74" i="1053"/>
  <c r="X80" i="1053"/>
  <c r="T82" i="1053"/>
  <c r="AB82" i="1053"/>
  <c r="W85" i="1053"/>
  <c r="AE85" i="1053"/>
  <c r="U87" i="1053"/>
  <c r="U199" i="1053" s="1"/>
  <c r="AC87" i="1053"/>
  <c r="L107" i="1053"/>
  <c r="K194" i="1053"/>
  <c r="K195" i="1053"/>
  <c r="K193" i="1053"/>
  <c r="K192" i="1053"/>
  <c r="G59" i="1053"/>
  <c r="Y75" i="1053"/>
  <c r="U77" i="1053"/>
  <c r="AC77" i="1053"/>
  <c r="AA78" i="1053"/>
  <c r="W81" i="1053"/>
  <c r="AE81" i="1053"/>
  <c r="H216" i="1053" a="1"/>
  <c r="H216" i="1053" s="1"/>
  <c r="X85" i="1053"/>
  <c r="G102" i="1053"/>
  <c r="M107" i="1053"/>
  <c r="G140" i="1053"/>
  <c r="T179" i="1053"/>
  <c r="T168" i="1053"/>
  <c r="T217" i="1053"/>
  <c r="T167" i="1053"/>
  <c r="T169" i="1053"/>
  <c r="T139" i="1053"/>
  <c r="T236" i="1053"/>
  <c r="L6" i="1053"/>
  <c r="AD195" i="1053"/>
  <c r="AD218" i="1053"/>
  <c r="AF72" i="1053"/>
  <c r="AB74" i="1053"/>
  <c r="Z75" i="1053"/>
  <c r="AD82" i="1053"/>
  <c r="W87" i="1053"/>
  <c r="W199" i="1053" s="1"/>
  <c r="J105" i="1053"/>
  <c r="J218" i="1053" s="1"/>
  <c r="R105" i="1053"/>
  <c r="R218" i="1053" s="1"/>
  <c r="N107" i="1053"/>
  <c r="T134" i="1053"/>
  <c r="T202" i="1054"/>
  <c r="T90" i="1054"/>
  <c r="U134" i="1054"/>
  <c r="U131" i="1054"/>
  <c r="U169" i="1054"/>
  <c r="K124" i="1054"/>
  <c r="K105" i="1054"/>
  <c r="K218" i="1054" s="1"/>
  <c r="T236" i="1054"/>
  <c r="T124" i="1054"/>
  <c r="G149" i="1054" s="1"/>
  <c r="T105" i="1054"/>
  <c r="T218" i="1054" s="1"/>
  <c r="W109" i="1054"/>
  <c r="U12" i="1054"/>
  <c r="U133" i="1054" s="1"/>
  <c r="I12" i="1054"/>
  <c r="AC30" i="1054"/>
  <c r="Q30" i="1054"/>
  <c r="Y189" i="1054"/>
  <c r="Y75" i="1054"/>
  <c r="X81" i="1054"/>
  <c r="D168" i="1054"/>
  <c r="B55" i="1054"/>
  <c r="AA82" i="1054"/>
  <c r="G202" i="1054"/>
  <c r="G142" i="1054"/>
  <c r="G143" i="1054" s="1"/>
  <c r="G90" i="1054"/>
  <c r="N220" i="1054"/>
  <c r="N107" i="1054"/>
  <c r="AE220" i="1054"/>
  <c r="AE107" i="1054"/>
  <c r="L105" i="1054"/>
  <c r="L218" i="1054" s="1"/>
  <c r="L107" i="1054"/>
  <c r="Y5" i="1054"/>
  <c r="U124" i="1054"/>
  <c r="U105" i="1054"/>
  <c r="U109" i="1054"/>
  <c r="U13" i="1054"/>
  <c r="U56" i="1054" s="1"/>
  <c r="I13" i="1054"/>
  <c r="W22" i="1054"/>
  <c r="K22" i="1054"/>
  <c r="I228" i="1054"/>
  <c r="V29" i="1054"/>
  <c r="V228" i="1054" s="1"/>
  <c r="J29" i="1054"/>
  <c r="V188" i="1054"/>
  <c r="V74" i="1054"/>
  <c r="AD188" i="1054"/>
  <c r="AD74" i="1054"/>
  <c r="Y78" i="1054"/>
  <c r="G198" i="1054"/>
  <c r="G197" i="1054"/>
  <c r="G196" i="1054"/>
  <c r="H171" i="1054"/>
  <c r="U14" i="1054"/>
  <c r="I14" i="1054"/>
  <c r="AA220" i="1054"/>
  <c r="Y50" i="1054"/>
  <c r="M50" i="1054"/>
  <c r="T59" i="1054"/>
  <c r="J216" i="1054" a="1"/>
  <c r="J216" i="1054" s="1"/>
  <c r="W195" i="1054"/>
  <c r="K88" i="1054" a="1"/>
  <c r="K88" i="1054" s="1"/>
  <c r="L9" i="1054"/>
  <c r="T130" i="1054"/>
  <c r="T164" i="1054" s="1"/>
  <c r="T69" i="1054"/>
  <c r="T129" i="1054"/>
  <c r="T163" i="1054" s="1"/>
  <c r="T197" i="1054" s="1"/>
  <c r="T125" i="1054"/>
  <c r="T123" i="1054"/>
  <c r="T54" i="1054"/>
  <c r="T142" i="1054" s="1"/>
  <c r="T143" i="1054" s="1"/>
  <c r="H172" i="1054"/>
  <c r="U15" i="1054"/>
  <c r="I15" i="1054"/>
  <c r="H176" i="1054"/>
  <c r="I19" i="1054"/>
  <c r="U19" i="1054"/>
  <c r="T220" i="1054"/>
  <c r="T107" i="1054"/>
  <c r="AB220" i="1054"/>
  <c r="AB107" i="1054"/>
  <c r="V30" i="1054"/>
  <c r="J30" i="1054"/>
  <c r="AA191" i="1054"/>
  <c r="K51" i="1054"/>
  <c r="W51" i="1054"/>
  <c r="G212" i="1054"/>
  <c r="G100" i="1054"/>
  <c r="G221" i="1054"/>
  <c r="G109" i="1054"/>
  <c r="L124" i="1054"/>
  <c r="G203" i="1054"/>
  <c r="G91" i="1054"/>
  <c r="O124" i="1054"/>
  <c r="X5" i="1054"/>
  <c r="L195" i="1054"/>
  <c r="L193" i="1054"/>
  <c r="L194" i="1054"/>
  <c r="L77" i="1054"/>
  <c r="Y6" i="1054"/>
  <c r="L192" i="1054"/>
  <c r="H173" i="1054"/>
  <c r="U16" i="1054"/>
  <c r="I16" i="1054"/>
  <c r="T100" i="1054"/>
  <c r="T212" i="1054"/>
  <c r="U189" i="1054"/>
  <c r="U75" i="1054"/>
  <c r="T196" i="1054"/>
  <c r="W82" i="1054"/>
  <c r="AE82" i="1054"/>
  <c r="G215" i="1054"/>
  <c r="G103" i="1054"/>
  <c r="G71" i="1054"/>
  <c r="J220" i="1054"/>
  <c r="J107" i="1054"/>
  <c r="R220" i="1054"/>
  <c r="R107" i="1054"/>
  <c r="J88" i="1054" a="1"/>
  <c r="J88" i="1054" s="1"/>
  <c r="AB124" i="1054"/>
  <c r="AB105" i="1054"/>
  <c r="AB218" i="1054" s="1"/>
  <c r="M192" i="1054"/>
  <c r="M193" i="1054"/>
  <c r="M194" i="1054"/>
  <c r="M195" i="1054"/>
  <c r="M77" i="1054"/>
  <c r="N6" i="1054"/>
  <c r="Z6" i="1054"/>
  <c r="T204" i="1054"/>
  <c r="T92" i="1054"/>
  <c r="Z188" i="1054"/>
  <c r="Z74" i="1054"/>
  <c r="Y80" i="1054"/>
  <c r="U195" i="1054"/>
  <c r="U78" i="1054"/>
  <c r="AC78" i="1054"/>
  <c r="AF81" i="1054"/>
  <c r="AF82" i="1054"/>
  <c r="AF83" i="1054"/>
  <c r="AA85" i="1054"/>
  <c r="AC105" i="1054"/>
  <c r="AC218" i="1054" s="1"/>
  <c r="AC124" i="1054"/>
  <c r="H108" i="1054"/>
  <c r="T171" i="1054"/>
  <c r="T57" i="1054"/>
  <c r="I23" i="1054"/>
  <c r="H182" i="1054"/>
  <c r="U23" i="1054"/>
  <c r="W220" i="1054"/>
  <c r="W107" i="1054"/>
  <c r="Z194" i="1054"/>
  <c r="Z80" i="1054"/>
  <c r="X220" i="1054"/>
  <c r="X107" i="1054"/>
  <c r="AC75" i="1054"/>
  <c r="U132" i="1054"/>
  <c r="T217" i="1054"/>
  <c r="T139" i="1054"/>
  <c r="T131" i="1054"/>
  <c r="T55" i="1054" s="1"/>
  <c r="T168" i="1054"/>
  <c r="T167" i="1054"/>
  <c r="T132" i="1054"/>
  <c r="T179" i="1054"/>
  <c r="T134" i="1054"/>
  <c r="T169" i="1054"/>
  <c r="T65" i="1054"/>
  <c r="T133" i="1054"/>
  <c r="Q193" i="1054"/>
  <c r="Q194" i="1054"/>
  <c r="Q192" i="1054"/>
  <c r="Q195" i="1054"/>
  <c r="R6" i="1054"/>
  <c r="Q77" i="1054"/>
  <c r="AD6" i="1054"/>
  <c r="AD194" i="1054" s="1"/>
  <c r="I125" i="1054"/>
  <c r="I61" i="1054"/>
  <c r="I57" i="1054"/>
  <c r="I54" i="1054"/>
  <c r="I68" i="1054"/>
  <c r="I53" i="1054"/>
  <c r="J8" i="1054"/>
  <c r="I108" i="1054"/>
  <c r="I58" i="1054"/>
  <c r="J180" i="1054"/>
  <c r="J129" i="1054"/>
  <c r="J163" i="1054" s="1"/>
  <c r="J125" i="1054"/>
  <c r="J123" i="1054"/>
  <c r="J181" i="1054"/>
  <c r="J130" i="1054" a="1"/>
  <c r="J130" i="1054" s="1"/>
  <c r="J164" i="1054" s="1"/>
  <c r="K10" i="1054"/>
  <c r="H104" i="1054"/>
  <c r="U11" i="1054"/>
  <c r="U10" i="1054" s="1"/>
  <c r="I11" i="1054"/>
  <c r="T58" i="1054"/>
  <c r="T172" i="1054"/>
  <c r="T175" i="1054"/>
  <c r="T61" i="1054"/>
  <c r="W191" i="1054"/>
  <c r="W77" i="1054"/>
  <c r="W85" i="1054"/>
  <c r="AE191" i="1054"/>
  <c r="AE85" i="1054"/>
  <c r="H213" i="1054"/>
  <c r="H101" i="1054"/>
  <c r="T67" i="1054"/>
  <c r="AF80" i="1054"/>
  <c r="G111" i="1054"/>
  <c r="G121" i="1054"/>
  <c r="U175" i="1054"/>
  <c r="H177" i="1054"/>
  <c r="I20" i="1054"/>
  <c r="T182" i="1054"/>
  <c r="T68" i="1054"/>
  <c r="W80" i="1054"/>
  <c r="W194" i="1054"/>
  <c r="Z195" i="1054"/>
  <c r="V87" i="1054"/>
  <c r="V199" i="1054" s="1"/>
  <c r="AD87" i="1054"/>
  <c r="AD199" i="1054" s="1"/>
  <c r="H56" i="1054"/>
  <c r="H60" i="1054"/>
  <c r="G214" i="1054"/>
  <c r="G102" i="1054"/>
  <c r="O220" i="1054"/>
  <c r="O107" i="1054"/>
  <c r="AD75" i="1054"/>
  <c r="X80" i="1054"/>
  <c r="AB85" i="1054"/>
  <c r="M124" i="1054"/>
  <c r="V105" i="1054"/>
  <c r="V218" i="1054" s="1"/>
  <c r="AD124" i="1054"/>
  <c r="H129" i="1054"/>
  <c r="H163" i="1054" s="1"/>
  <c r="H125" i="1054"/>
  <c r="H123" i="1054"/>
  <c r="I17" i="1054"/>
  <c r="T177" i="1054"/>
  <c r="W75" i="1054"/>
  <c r="W189" i="1054"/>
  <c r="AC85" i="1054"/>
  <c r="AC191" i="1054"/>
  <c r="X194" i="1054"/>
  <c r="Z81" i="1054"/>
  <c r="U82" i="1054"/>
  <c r="AC82" i="1054"/>
  <c r="Y83" i="1054"/>
  <c r="T104" i="1054"/>
  <c r="W87" i="1054"/>
  <c r="W199" i="1054" s="1"/>
  <c r="J49" i="1054"/>
  <c r="T63" i="1054"/>
  <c r="G184" i="1054"/>
  <c r="S185" i="1054"/>
  <c r="I185" i="1054"/>
  <c r="S184" i="1054"/>
  <c r="G185" i="1054"/>
  <c r="I184" i="1054"/>
  <c r="AD85" i="1054"/>
  <c r="H131" i="1054"/>
  <c r="T178" i="1054"/>
  <c r="G211" i="1054"/>
  <c r="N124" i="1054"/>
  <c r="AE105" i="1054"/>
  <c r="AE218" i="1054" s="1"/>
  <c r="P195" i="1054"/>
  <c r="P193" i="1054"/>
  <c r="P194" i="1054"/>
  <c r="P192" i="1054"/>
  <c r="H63" i="1054"/>
  <c r="H53" i="1054"/>
  <c r="H69" i="1054"/>
  <c r="H62" i="1054"/>
  <c r="H58" i="1054"/>
  <c r="H67" i="1054"/>
  <c r="I221" i="1054"/>
  <c r="I109" i="1054"/>
  <c r="I129" i="1054"/>
  <c r="I163" i="1054" s="1"/>
  <c r="I123" i="1054"/>
  <c r="I121" i="1054" s="1"/>
  <c r="T174" i="1054"/>
  <c r="T60" i="1054"/>
  <c r="U20" i="1054"/>
  <c r="U220" i="1054"/>
  <c r="U107" i="1054"/>
  <c r="AC220" i="1054"/>
  <c r="AC107" i="1054"/>
  <c r="M228" i="1054"/>
  <c r="N29" i="1054"/>
  <c r="U188" i="1054"/>
  <c r="U74" i="1054"/>
  <c r="AC188" i="1054"/>
  <c r="AC74" i="1054"/>
  <c r="Y194" i="1054"/>
  <c r="AA81" i="1054"/>
  <c r="V82" i="1054"/>
  <c r="Z83" i="1054"/>
  <c r="AD220" i="1054"/>
  <c r="AD107" i="1054"/>
  <c r="AA74" i="1054"/>
  <c r="T77" i="1054"/>
  <c r="Z78" i="1054"/>
  <c r="U87" i="1054"/>
  <c r="U199" i="1054" s="1"/>
  <c r="H88" i="1054" a="1"/>
  <c r="H88" i="1054" s="1"/>
  <c r="V124" i="1054"/>
  <c r="H130" i="1054" a="1"/>
  <c r="H130" i="1054" s="1"/>
  <c r="H164" i="1054" s="1"/>
  <c r="N162" i="1054"/>
  <c r="H217" i="1054"/>
  <c r="H167" i="1054"/>
  <c r="H134" i="1054"/>
  <c r="H168" i="1054"/>
  <c r="H132" i="1054"/>
  <c r="H179" i="1054"/>
  <c r="H236" i="1054"/>
  <c r="H124" i="1054"/>
  <c r="AF124" i="1054" s="1"/>
  <c r="H105" i="1054"/>
  <c r="P124" i="1054"/>
  <c r="P105" i="1054"/>
  <c r="P218" i="1054" s="1"/>
  <c r="H195" i="1054"/>
  <c r="H193" i="1054"/>
  <c r="H181" i="1054"/>
  <c r="H166" i="1054"/>
  <c r="H165" i="1054"/>
  <c r="H169" i="1054" s="1"/>
  <c r="H194" i="1054"/>
  <c r="H192" i="1054"/>
  <c r="H180" i="1054"/>
  <c r="T109" i="1054"/>
  <c r="T176" i="1054"/>
  <c r="T62" i="1054"/>
  <c r="U22" i="1054"/>
  <c r="Y24" i="1054"/>
  <c r="M24" i="1054"/>
  <c r="Z29" i="1054"/>
  <c r="Z228" i="1054" s="1"/>
  <c r="X85" i="1054"/>
  <c r="X191" i="1054"/>
  <c r="X77" i="1054"/>
  <c r="V78" i="1054"/>
  <c r="AD78" i="1054"/>
  <c r="G205" i="1054"/>
  <c r="G93" i="1054"/>
  <c r="G207" i="1054"/>
  <c r="G95" i="1054"/>
  <c r="G209" i="1054"/>
  <c r="G97" i="1054"/>
  <c r="H64" i="1054"/>
  <c r="K220" i="1054"/>
  <c r="K107" i="1054"/>
  <c r="AF72" i="1054"/>
  <c r="AE74" i="1054"/>
  <c r="X75" i="1054"/>
  <c r="AB78" i="1054"/>
  <c r="AD82" i="1054"/>
  <c r="U85" i="1054"/>
  <c r="AD105" i="1054"/>
  <c r="AD218" i="1054" s="1"/>
  <c r="H107" i="1054"/>
  <c r="AF107" i="1054" s="1"/>
  <c r="D168" i="1055"/>
  <c r="B55" i="1055"/>
  <c r="I4" i="1054"/>
  <c r="I65" i="1054" s="1"/>
  <c r="I105" i="1054"/>
  <c r="I218" i="1054" s="1"/>
  <c r="I236" i="1054"/>
  <c r="Q105" i="1054"/>
  <c r="Q218" i="1054" s="1"/>
  <c r="Z5" i="1054"/>
  <c r="I6" i="1054"/>
  <c r="I66" i="1054" s="1"/>
  <c r="T181" i="1054"/>
  <c r="T180" i="1054"/>
  <c r="T166" i="1054"/>
  <c r="T66" i="1054"/>
  <c r="H178" i="1054"/>
  <c r="I21" i="1054"/>
  <c r="U83" i="1054"/>
  <c r="AA87" i="1054"/>
  <c r="AA199" i="1054" s="1"/>
  <c r="H57" i="1054"/>
  <c r="H59" i="1054"/>
  <c r="H61" i="1054"/>
  <c r="H65" i="1054"/>
  <c r="H68" i="1054"/>
  <c r="V220" i="1054"/>
  <c r="V107" i="1054"/>
  <c r="AF73" i="1054"/>
  <c r="V85" i="1054"/>
  <c r="G199" i="1054"/>
  <c r="AF87" i="1054"/>
  <c r="M105" i="1054"/>
  <c r="M218" i="1054" s="1"/>
  <c r="I107" i="1054"/>
  <c r="I124" i="1054"/>
  <c r="AE124" i="1054"/>
  <c r="H133" i="1054"/>
  <c r="AE189" i="1054"/>
  <c r="T191" i="1054"/>
  <c r="T204" i="1055"/>
  <c r="T92" i="1055"/>
  <c r="J105" i="1054"/>
  <c r="J218" i="1054" s="1"/>
  <c r="R124" i="1054"/>
  <c r="R105" i="1054"/>
  <c r="R218" i="1054" s="1"/>
  <c r="AA5" i="1054"/>
  <c r="K194" i="1054"/>
  <c r="K192" i="1054"/>
  <c r="K180" i="1054"/>
  <c r="K195" i="1054"/>
  <c r="K193" i="1054"/>
  <c r="U165" i="1054"/>
  <c r="U166" i="1054"/>
  <c r="AC6" i="1054"/>
  <c r="U8" i="1054"/>
  <c r="V9" i="1054"/>
  <c r="V88" i="1054" s="1"/>
  <c r="V109" i="1054" s="1"/>
  <c r="H175" i="1054"/>
  <c r="I18" i="1054"/>
  <c r="Y220" i="1054"/>
  <c r="U194" i="1054"/>
  <c r="W81" i="1054"/>
  <c r="AE81" i="1054"/>
  <c r="Z82" i="1054"/>
  <c r="AD83" i="1054"/>
  <c r="T216" i="1054"/>
  <c r="AB87" i="1054"/>
  <c r="AB199" i="1054" s="1"/>
  <c r="U218" i="1054"/>
  <c r="H54" i="1054"/>
  <c r="H55" i="1054"/>
  <c r="S172" i="1054"/>
  <c r="G172" i="1054"/>
  <c r="G58" i="1054"/>
  <c r="G70" i="1054" s="1"/>
  <c r="G60" i="1054"/>
  <c r="S174" i="1054"/>
  <c r="G174" i="1054"/>
  <c r="G176" i="1054"/>
  <c r="S176" i="1054"/>
  <c r="G62" i="1054"/>
  <c r="M107" i="1054"/>
  <c r="M220" i="1054"/>
  <c r="T74" i="1054"/>
  <c r="Z75" i="1054"/>
  <c r="U80" i="1054"/>
  <c r="X83" i="1054"/>
  <c r="I216" i="1054" a="1"/>
  <c r="I216" i="1054" s="1"/>
  <c r="AC87" i="1054"/>
  <c r="N105" i="1054"/>
  <c r="N218" i="1054" s="1"/>
  <c r="J124" i="1054"/>
  <c r="AB162" i="1054"/>
  <c r="K181" i="1054"/>
  <c r="T194" i="1054"/>
  <c r="AB194" i="1054"/>
  <c r="W218" i="1054"/>
  <c r="Z162" i="1054"/>
  <c r="Q162" i="1054"/>
  <c r="I162" i="1054"/>
  <c r="Y162" i="1054"/>
  <c r="P162" i="1054"/>
  <c r="H162" i="1054"/>
  <c r="AD162" i="1054"/>
  <c r="V162" i="1054"/>
  <c r="M162" i="1054"/>
  <c r="AA75" i="1054"/>
  <c r="Y85" i="1054"/>
  <c r="B112" i="1054"/>
  <c r="J162" i="1054"/>
  <c r="W162" i="1054"/>
  <c r="T129" i="1055"/>
  <c r="T163" i="1055" s="1"/>
  <c r="T198" i="1055" s="1"/>
  <c r="T130" i="1055"/>
  <c r="T164" i="1055" s="1"/>
  <c r="T125" i="1055"/>
  <c r="T69" i="1055"/>
  <c r="T123" i="1055"/>
  <c r="T66" i="1055"/>
  <c r="T54" i="1055"/>
  <c r="T53" i="1055"/>
  <c r="T185" i="1054"/>
  <c r="T184" i="1054"/>
  <c r="X195" i="1054"/>
  <c r="T75" i="1054"/>
  <c r="AB75" i="1054"/>
  <c r="T80" i="1054"/>
  <c r="AB80" i="1054"/>
  <c r="Z85" i="1054"/>
  <c r="G104" i="1054"/>
  <c r="K162" i="1054"/>
  <c r="X162" i="1054"/>
  <c r="S173" i="1054"/>
  <c r="AA191" i="1055"/>
  <c r="AA85" i="1055"/>
  <c r="L162" i="1054"/>
  <c r="AA162" i="1054"/>
  <c r="S175" i="1054"/>
  <c r="Y188" i="1054"/>
  <c r="U189" i="1055"/>
  <c r="U75" i="1055"/>
  <c r="AC189" i="1055"/>
  <c r="AC75" i="1055"/>
  <c r="Z220" i="1055"/>
  <c r="Z188" i="1055"/>
  <c r="Z74" i="1055"/>
  <c r="U81" i="1054"/>
  <c r="AD81" i="1054"/>
  <c r="K216" i="1054" a="1"/>
  <c r="K216" i="1054" s="1"/>
  <c r="O162" i="1054"/>
  <c r="AC162" i="1054"/>
  <c r="L124" i="1055"/>
  <c r="L105" i="1055"/>
  <c r="L218" i="1055" s="1"/>
  <c r="Y5" i="1055"/>
  <c r="L107" i="1055"/>
  <c r="U124" i="1055"/>
  <c r="U105" i="1055"/>
  <c r="U218" i="1055" s="1"/>
  <c r="H208" i="1055"/>
  <c r="H96" i="1055"/>
  <c r="U132" i="1055"/>
  <c r="H221" i="1055"/>
  <c r="H109" i="1055"/>
  <c r="U12" i="1055"/>
  <c r="U166" i="1055" s="1"/>
  <c r="I12" i="1055"/>
  <c r="H171" i="1055"/>
  <c r="U14" i="1055"/>
  <c r="I14" i="1055"/>
  <c r="H173" i="1055"/>
  <c r="U16" i="1055"/>
  <c r="I16" i="1055"/>
  <c r="H175" i="1055"/>
  <c r="U18" i="1055"/>
  <c r="I18" i="1055"/>
  <c r="U22" i="1055"/>
  <c r="I22" i="1055"/>
  <c r="V182" i="1055"/>
  <c r="V68" i="1055"/>
  <c r="T107" i="1055"/>
  <c r="T220" i="1055"/>
  <c r="AB220" i="1055"/>
  <c r="I221" i="1055"/>
  <c r="AC124" i="1055"/>
  <c r="AC105" i="1055"/>
  <c r="AC218" i="1055" s="1"/>
  <c r="H213" i="1055"/>
  <c r="H101" i="1055"/>
  <c r="T177" i="1055"/>
  <c r="T63" i="1055"/>
  <c r="V30" i="1055"/>
  <c r="J30" i="1055"/>
  <c r="T104" i="1055"/>
  <c r="AB87" i="1055"/>
  <c r="AB199" i="1055" s="1"/>
  <c r="Z30" i="1055"/>
  <c r="N30" i="1055"/>
  <c r="H216" i="1054" a="1"/>
  <c r="H216" i="1054" s="1"/>
  <c r="U11" i="1055"/>
  <c r="U10" i="1055" s="1"/>
  <c r="U66" i="1055" s="1"/>
  <c r="I11" i="1055"/>
  <c r="U13" i="1055"/>
  <c r="U56" i="1055" s="1"/>
  <c r="I13" i="1055"/>
  <c r="I56" i="1055" s="1"/>
  <c r="H172" i="1055"/>
  <c r="U15" i="1055"/>
  <c r="I15" i="1055"/>
  <c r="H174" i="1055"/>
  <c r="U17" i="1055"/>
  <c r="I17" i="1055"/>
  <c r="H176" i="1055"/>
  <c r="U19" i="1055"/>
  <c r="I19" i="1055"/>
  <c r="Z78" i="1055"/>
  <c r="Z81" i="1055"/>
  <c r="H104" i="1055"/>
  <c r="I109" i="1055"/>
  <c r="M124" i="1055"/>
  <c r="M105" i="1055"/>
  <c r="M218" i="1055" s="1"/>
  <c r="V105" i="1055"/>
  <c r="V218" i="1055" s="1"/>
  <c r="V124" i="1055"/>
  <c r="AD124" i="1055"/>
  <c r="AD105" i="1055"/>
  <c r="H129" i="1055"/>
  <c r="H163" i="1055" s="1"/>
  <c r="H123" i="1055"/>
  <c r="H125" i="1055"/>
  <c r="H130" i="1055" a="1"/>
  <c r="H130" i="1055" s="1"/>
  <c r="H164" i="1055" s="1"/>
  <c r="U220" i="1055"/>
  <c r="U107" i="1055"/>
  <c r="AC220" i="1055"/>
  <c r="AC107" i="1055"/>
  <c r="M228" i="1055"/>
  <c r="Z29" i="1055"/>
  <c r="Z228" i="1055" s="1"/>
  <c r="AA188" i="1055"/>
  <c r="AA74" i="1055"/>
  <c r="V189" i="1055"/>
  <c r="V75" i="1055"/>
  <c r="AD189" i="1055"/>
  <c r="AD75" i="1055"/>
  <c r="T191" i="1055"/>
  <c r="T85" i="1055"/>
  <c r="T77" i="1055"/>
  <c r="AB191" i="1055"/>
  <c r="AB85" i="1055"/>
  <c r="AB77" i="1055"/>
  <c r="W194" i="1055"/>
  <c r="W80" i="1055"/>
  <c r="W82" i="1055"/>
  <c r="AE82" i="1055"/>
  <c r="X87" i="1055"/>
  <c r="X199" i="1055" s="1"/>
  <c r="H56" i="1055"/>
  <c r="Y75" i="1055"/>
  <c r="N124" i="1055"/>
  <c r="W124" i="1055"/>
  <c r="W105" i="1055"/>
  <c r="AE124" i="1055"/>
  <c r="AE105" i="1055"/>
  <c r="AE218" i="1055" s="1"/>
  <c r="P192" i="1055"/>
  <c r="P195" i="1055"/>
  <c r="P193" i="1055"/>
  <c r="P194" i="1055"/>
  <c r="H68" i="1055"/>
  <c r="H63" i="1055"/>
  <c r="H140" i="1055" s="1"/>
  <c r="H53" i="1055"/>
  <c r="H61" i="1055"/>
  <c r="H57" i="1055"/>
  <c r="H65" i="1055"/>
  <c r="H69" i="1055"/>
  <c r="H70" i="1055" s="1"/>
  <c r="H62" i="1055"/>
  <c r="H58" i="1055"/>
  <c r="I129" i="1055"/>
  <c r="I163" i="1055" s="1"/>
  <c r="I130" i="1055" a="1"/>
  <c r="I130" i="1055" s="1"/>
  <c r="I164" i="1055" s="1"/>
  <c r="I123" i="1055"/>
  <c r="I121" i="1055" s="1"/>
  <c r="T185" i="1055"/>
  <c r="V220" i="1055"/>
  <c r="V107" i="1055"/>
  <c r="AD220" i="1055"/>
  <c r="AD107" i="1055"/>
  <c r="T195" i="1055"/>
  <c r="T78" i="1055"/>
  <c r="AB195" i="1055"/>
  <c r="AB78" i="1055"/>
  <c r="T196" i="1055"/>
  <c r="T81" i="1055"/>
  <c r="AB81" i="1055"/>
  <c r="X82" i="1055"/>
  <c r="AA83" i="1055"/>
  <c r="Y87" i="1055"/>
  <c r="Y199" i="1055" s="1"/>
  <c r="V51" i="1055"/>
  <c r="J51" i="1055"/>
  <c r="H59" i="1055"/>
  <c r="H64" i="1055"/>
  <c r="G220" i="1055"/>
  <c r="AF72" i="1055"/>
  <c r="G107" i="1055"/>
  <c r="G94" i="1055"/>
  <c r="G98" i="1055"/>
  <c r="X107" i="1055"/>
  <c r="O105" i="1055"/>
  <c r="O218" i="1055" s="1"/>
  <c r="O124" i="1055"/>
  <c r="O107" i="1055"/>
  <c r="X105" i="1055"/>
  <c r="X124" i="1055"/>
  <c r="Q192" i="1055"/>
  <c r="Q194" i="1055"/>
  <c r="Q195" i="1055"/>
  <c r="Q193" i="1055"/>
  <c r="Q77" i="1055"/>
  <c r="I108" i="1055"/>
  <c r="I111" i="1055"/>
  <c r="I125" i="1055"/>
  <c r="I60" i="1055"/>
  <c r="I65" i="1055"/>
  <c r="I69" i="1055"/>
  <c r="I58" i="1055"/>
  <c r="J221" i="1055"/>
  <c r="J181" i="1055"/>
  <c r="J180" i="1055"/>
  <c r="J129" i="1055"/>
  <c r="J163" i="1055" s="1"/>
  <c r="J130" i="1055" a="1"/>
  <c r="J130" i="1055" s="1"/>
  <c r="J164" i="1055" s="1"/>
  <c r="T171" i="1055"/>
  <c r="T57" i="1055"/>
  <c r="T172" i="1055"/>
  <c r="T58" i="1055"/>
  <c r="T173" i="1055"/>
  <c r="T59" i="1055"/>
  <c r="T174" i="1055"/>
  <c r="T175" i="1055"/>
  <c r="T61" i="1055"/>
  <c r="T176" i="1055"/>
  <c r="T62" i="1055"/>
  <c r="H178" i="1055"/>
  <c r="U21" i="1055"/>
  <c r="M24" i="1055"/>
  <c r="W220" i="1055"/>
  <c r="W107" i="1055"/>
  <c r="AE220" i="1055"/>
  <c r="AE107" i="1055"/>
  <c r="O29" i="1055"/>
  <c r="U188" i="1055"/>
  <c r="U74" i="1055"/>
  <c r="AC188" i="1055"/>
  <c r="AC74" i="1055"/>
  <c r="V191" i="1055"/>
  <c r="V85" i="1055"/>
  <c r="AD191" i="1055"/>
  <c r="AD85" i="1055"/>
  <c r="U195" i="1055"/>
  <c r="U78" i="1055"/>
  <c r="U81" i="1055"/>
  <c r="AC81" i="1055"/>
  <c r="H55" i="1055"/>
  <c r="S175" i="1055"/>
  <c r="G175" i="1055"/>
  <c r="G61" i="1055"/>
  <c r="G214" i="1055"/>
  <c r="G102" i="1055"/>
  <c r="H220" i="1055"/>
  <c r="H107" i="1055"/>
  <c r="P220" i="1055"/>
  <c r="P107" i="1055"/>
  <c r="AF76" i="1055"/>
  <c r="Z83" i="1055"/>
  <c r="H217" i="1055"/>
  <c r="H179" i="1055"/>
  <c r="H168" i="1055"/>
  <c r="H133" i="1055"/>
  <c r="H134" i="1055"/>
  <c r="H169" i="1055"/>
  <c r="H139" i="1055"/>
  <c r="H132" i="1055"/>
  <c r="H167" i="1055"/>
  <c r="H236" i="1055"/>
  <c r="H124" i="1055"/>
  <c r="AF124" i="1055" s="1"/>
  <c r="H105" i="1055"/>
  <c r="H218" i="1055" s="1"/>
  <c r="P124" i="1055"/>
  <c r="P105" i="1055"/>
  <c r="P218" i="1055" s="1"/>
  <c r="H192" i="1055"/>
  <c r="H181" i="1055"/>
  <c r="H180" i="1055"/>
  <c r="H165" i="1055"/>
  <c r="H194" i="1055"/>
  <c r="H195" i="1055"/>
  <c r="H166" i="1055"/>
  <c r="H193" i="1055"/>
  <c r="H77" i="1055"/>
  <c r="R6" i="1055"/>
  <c r="J8" i="1055"/>
  <c r="K9" i="1055"/>
  <c r="K10" i="1055"/>
  <c r="I21" i="1055"/>
  <c r="I64" i="1055" s="1"/>
  <c r="V185" i="1055"/>
  <c r="V184" i="1055"/>
  <c r="AA29" i="1055"/>
  <c r="AA228" i="1055" s="1"/>
  <c r="V188" i="1055"/>
  <c r="V74" i="1055"/>
  <c r="AD188" i="1055"/>
  <c r="AD74" i="1055"/>
  <c r="W191" i="1055"/>
  <c r="W85" i="1055"/>
  <c r="W77" i="1055"/>
  <c r="AE191" i="1055"/>
  <c r="AE85" i="1055"/>
  <c r="V78" i="1055"/>
  <c r="AD78" i="1055"/>
  <c r="U83" i="1055"/>
  <c r="AC83" i="1055"/>
  <c r="V50" i="1055"/>
  <c r="J50" i="1055"/>
  <c r="H54" i="1055"/>
  <c r="G171" i="1055"/>
  <c r="AA162" i="1055"/>
  <c r="R162" i="1055"/>
  <c r="J162" i="1055"/>
  <c r="Z162" i="1055"/>
  <c r="Q162" i="1055"/>
  <c r="I162" i="1055"/>
  <c r="V162" i="1055"/>
  <c r="K162" i="1055"/>
  <c r="AC162" i="1055"/>
  <c r="P162" i="1055"/>
  <c r="Y162" i="1055"/>
  <c r="L162" i="1055"/>
  <c r="S171" i="1055"/>
  <c r="W162" i="1055"/>
  <c r="U162" i="1055"/>
  <c r="AE162" i="1055"/>
  <c r="O162" i="1055"/>
  <c r="AD162" i="1055"/>
  <c r="N162" i="1055"/>
  <c r="AB162" i="1055"/>
  <c r="M162" i="1055"/>
  <c r="X162" i="1055"/>
  <c r="H162" i="1055"/>
  <c r="G57" i="1055"/>
  <c r="G140" i="1055" s="1"/>
  <c r="H67" i="1055"/>
  <c r="G216" i="1055" a="1"/>
  <c r="G216" i="1055" s="1"/>
  <c r="G104" i="1055"/>
  <c r="I4" i="1055"/>
  <c r="I124" i="1055"/>
  <c r="I105" i="1055"/>
  <c r="I218" i="1055" s="1"/>
  <c r="Q124" i="1055"/>
  <c r="Q105" i="1055"/>
  <c r="Q218" i="1055" s="1"/>
  <c r="Z5" i="1055"/>
  <c r="I6" i="1055"/>
  <c r="T180" i="1055"/>
  <c r="T166" i="1055"/>
  <c r="T165" i="1055"/>
  <c r="T181" i="1055"/>
  <c r="T67" i="1055"/>
  <c r="U9" i="1055"/>
  <c r="U88" i="1055" s="1"/>
  <c r="U109" i="1055" s="1"/>
  <c r="T178" i="1055"/>
  <c r="T64" i="1055"/>
  <c r="H182" i="1055"/>
  <c r="U23" i="1055"/>
  <c r="W188" i="1055"/>
  <c r="W74" i="1055"/>
  <c r="AE188" i="1055"/>
  <c r="AE74" i="1055"/>
  <c r="Z189" i="1055"/>
  <c r="Z75" i="1055"/>
  <c r="X191" i="1055"/>
  <c r="X77" i="1055"/>
  <c r="W195" i="1055"/>
  <c r="W78" i="1055"/>
  <c r="AE78" i="1055"/>
  <c r="W81" i="1055"/>
  <c r="AE81" i="1055"/>
  <c r="T87" i="1055"/>
  <c r="T199" i="1055" s="1"/>
  <c r="I53" i="1055"/>
  <c r="I54" i="1055"/>
  <c r="T60" i="1055"/>
  <c r="P77" i="1055"/>
  <c r="Z82" i="1055"/>
  <c r="H216" i="1055" a="1"/>
  <c r="H216" i="1055" s="1"/>
  <c r="J123" i="1055"/>
  <c r="J105" i="1055"/>
  <c r="J218" i="1055" s="1"/>
  <c r="J124" i="1055"/>
  <c r="R105" i="1055"/>
  <c r="R218" i="1055" s="1"/>
  <c r="R124" i="1055"/>
  <c r="AA5" i="1055"/>
  <c r="K195" i="1055"/>
  <c r="K193" i="1055"/>
  <c r="K180" i="1055"/>
  <c r="K194" i="1055"/>
  <c r="K181" i="1055"/>
  <c r="K192" i="1055"/>
  <c r="K77" i="1055"/>
  <c r="U165" i="1055"/>
  <c r="U169" i="1055" s="1"/>
  <c r="U181" i="1055"/>
  <c r="AC6" i="1055"/>
  <c r="U8" i="1055"/>
  <c r="V9" i="1055"/>
  <c r="V88" i="1055" s="1"/>
  <c r="V109" i="1055" s="1"/>
  <c r="H177" i="1055"/>
  <c r="U20" i="1055"/>
  <c r="X188" i="1055"/>
  <c r="X74" i="1055"/>
  <c r="AA189" i="1055"/>
  <c r="AA75" i="1055"/>
  <c r="Y191" i="1055"/>
  <c r="Y85" i="1055"/>
  <c r="T194" i="1055"/>
  <c r="T80" i="1055"/>
  <c r="AB194" i="1055"/>
  <c r="AB80" i="1055"/>
  <c r="U87" i="1055"/>
  <c r="U199" i="1055" s="1"/>
  <c r="AC87" i="1055"/>
  <c r="AD218" i="1055"/>
  <c r="V49" i="1055"/>
  <c r="J49" i="1055"/>
  <c r="AF74" i="1055"/>
  <c r="AF83" i="1055"/>
  <c r="X85" i="1055"/>
  <c r="H108" i="1055"/>
  <c r="H131" i="1055"/>
  <c r="T217" i="1055"/>
  <c r="T169" i="1055"/>
  <c r="T133" i="1055"/>
  <c r="T179" i="1055"/>
  <c r="T134" i="1055"/>
  <c r="T167" i="1055"/>
  <c r="T168" i="1055"/>
  <c r="T139" i="1055"/>
  <c r="T132" i="1055"/>
  <c r="T131" i="1055"/>
  <c r="K105" i="1055"/>
  <c r="K218" i="1055" s="1"/>
  <c r="T236" i="1055"/>
  <c r="T124" i="1055"/>
  <c r="G149" i="1055" s="1"/>
  <c r="T105" i="1055"/>
  <c r="T218" i="1055" s="1"/>
  <c r="AB5" i="1055"/>
  <c r="L6" i="1055"/>
  <c r="AD6" i="1055"/>
  <c r="AD77" i="1055" s="1"/>
  <c r="V8" i="1055"/>
  <c r="W9" i="1055"/>
  <c r="W88" i="1055" s="1"/>
  <c r="W109" i="1055" s="1"/>
  <c r="I20" i="1055"/>
  <c r="I63" i="1055" s="1"/>
  <c r="J23" i="1055"/>
  <c r="T182" i="1055"/>
  <c r="T68" i="1055"/>
  <c r="AA220" i="1055"/>
  <c r="AA107" i="1055"/>
  <c r="J29" i="1055"/>
  <c r="U82" i="1055"/>
  <c r="AC82" i="1055"/>
  <c r="X83" i="1055"/>
  <c r="V87" i="1055"/>
  <c r="V199" i="1055" s="1"/>
  <c r="AD87" i="1055"/>
  <c r="AD199" i="1055" s="1"/>
  <c r="W218" i="1055"/>
  <c r="I68" i="1055"/>
  <c r="N105" i="1055"/>
  <c r="N218" i="1055" s="1"/>
  <c r="U194" i="1055"/>
  <c r="AC194" i="1055"/>
  <c r="X195" i="1055"/>
  <c r="T83" i="1055"/>
  <c r="AB83" i="1055"/>
  <c r="X218" i="1055"/>
  <c r="I220" i="1055"/>
  <c r="I107" i="1055"/>
  <c r="Q220" i="1055"/>
  <c r="Q107" i="1055"/>
  <c r="G92" i="1055"/>
  <c r="M107" i="1055"/>
  <c r="G198" i="1055"/>
  <c r="G197" i="1055"/>
  <c r="G196" i="1055"/>
  <c r="S174" i="1055"/>
  <c r="G174" i="1055"/>
  <c r="I184" i="1055"/>
  <c r="G184" i="1055"/>
  <c r="S185" i="1055"/>
  <c r="I185" i="1055"/>
  <c r="S184" i="1055"/>
  <c r="G185" i="1055"/>
  <c r="G70" i="1055"/>
  <c r="AB75" i="1055"/>
  <c r="AC80" i="1055"/>
  <c r="J216" i="1055" a="1"/>
  <c r="J216" i="1055" s="1"/>
  <c r="G91" i="1055"/>
  <c r="X81" i="1055"/>
  <c r="T216" i="1055"/>
  <c r="G202" i="1055"/>
  <c r="G142" i="1055"/>
  <c r="G143" i="1055" s="1"/>
  <c r="K220" i="1055"/>
  <c r="K107" i="1055"/>
  <c r="T75" i="1055"/>
  <c r="AC77" i="1055"/>
  <c r="U80" i="1055"/>
  <c r="AD83" i="1055"/>
  <c r="K216" i="1055" a="1"/>
  <c r="K216" i="1055" s="1"/>
  <c r="AC85" i="1055"/>
  <c r="AF87" i="1055"/>
  <c r="G90" i="1055"/>
  <c r="T74" i="1055"/>
  <c r="T188" i="1055"/>
  <c r="AB188" i="1055"/>
  <c r="AB74" i="1055"/>
  <c r="X194" i="1055"/>
  <c r="U216" i="1055"/>
  <c r="S173" i="1055"/>
  <c r="G173" i="1055"/>
  <c r="G60" i="1055"/>
  <c r="U77" i="1055"/>
  <c r="AD81" i="1055"/>
  <c r="V83" i="1055"/>
  <c r="AE83" i="1055"/>
  <c r="U85" i="1055"/>
  <c r="G103" i="1055"/>
  <c r="R107" i="1055"/>
  <c r="G71" i="1055"/>
  <c r="AE75" i="1055"/>
  <c r="V81" i="1055"/>
  <c r="W83" i="1055"/>
  <c r="G101" i="1055"/>
  <c r="AC195" i="1055"/>
  <c r="V82" i="1055"/>
  <c r="AD82" i="1055"/>
  <c r="W87" i="1055"/>
  <c r="W199" i="1055" s="1"/>
  <c r="AE87" i="1055"/>
  <c r="AE199" i="1055" s="1"/>
  <c r="S172" i="1055"/>
  <c r="G172" i="1055"/>
  <c r="G176" i="1055"/>
  <c r="S176" i="1055"/>
  <c r="G212" i="1055"/>
  <c r="G100" i="1055"/>
  <c r="N220" i="1055"/>
  <c r="N107" i="1055"/>
  <c r="W75" i="1055"/>
  <c r="X78" i="1055"/>
  <c r="X80" i="1055"/>
  <c r="Z87" i="1055"/>
  <c r="Z199" i="1055" s="1"/>
  <c r="G99" i="1055"/>
  <c r="G109" i="1055"/>
  <c r="B113" i="1055"/>
  <c r="B114" i="1055" s="1"/>
  <c r="I216" i="1055" a="1"/>
  <c r="I216" i="1055" s="1"/>
  <c r="AA124" i="1056"/>
  <c r="AA105" i="1056"/>
  <c r="Z105" i="1056"/>
  <c r="Z218" i="1056" s="1"/>
  <c r="Z124" i="1056"/>
  <c r="U129" i="1056"/>
  <c r="U163" i="1056" s="1"/>
  <c r="U123" i="1056"/>
  <c r="U130" i="1056"/>
  <c r="U164" i="1056" s="1"/>
  <c r="U125" i="1056"/>
  <c r="U53" i="1056"/>
  <c r="U69" i="1056"/>
  <c r="U54" i="1056"/>
  <c r="J12" i="1056"/>
  <c r="V12" i="1056"/>
  <c r="H211" i="1056"/>
  <c r="H99" i="1056"/>
  <c r="I88" i="1056" a="1"/>
  <c r="I88" i="1056" s="1"/>
  <c r="J9" i="1056"/>
  <c r="V9" i="1056"/>
  <c r="V88" i="1056" s="1"/>
  <c r="V109" i="1056" s="1"/>
  <c r="T206" i="1056"/>
  <c r="T94" i="1056"/>
  <c r="J22" i="1056"/>
  <c r="V22" i="1056"/>
  <c r="N30" i="1056"/>
  <c r="Z30" i="1056"/>
  <c r="V82" i="1056"/>
  <c r="AD82" i="1056"/>
  <c r="J11" i="1056"/>
  <c r="V11" i="1056"/>
  <c r="V10" i="1056" s="1"/>
  <c r="T195" i="1056"/>
  <c r="T78" i="1056"/>
  <c r="AB195" i="1056"/>
  <c r="AB78" i="1056"/>
  <c r="D168" i="1056"/>
  <c r="B55" i="1056"/>
  <c r="AA81" i="1056"/>
  <c r="V50" i="1056"/>
  <c r="J50" i="1056"/>
  <c r="G211" i="1056"/>
  <c r="G99" i="1056"/>
  <c r="J13" i="1056"/>
  <c r="V13" i="1056"/>
  <c r="Y124" i="1056"/>
  <c r="Y105" i="1056"/>
  <c r="Y218" i="1056" s="1"/>
  <c r="H205" i="1056"/>
  <c r="H93" i="1056"/>
  <c r="T210" i="1056"/>
  <c r="T98" i="1056"/>
  <c r="H236" i="1056"/>
  <c r="H124" i="1056"/>
  <c r="H105" i="1056"/>
  <c r="H107" i="1056"/>
  <c r="U5" i="1056"/>
  <c r="P105" i="1056"/>
  <c r="P218" i="1056" s="1"/>
  <c r="P124" i="1056"/>
  <c r="AC5" i="1056"/>
  <c r="T180" i="1056"/>
  <c r="T181" i="1056"/>
  <c r="T166" i="1056"/>
  <c r="T165" i="1056"/>
  <c r="T66" i="1056"/>
  <c r="T67" i="1056"/>
  <c r="T130" i="1056"/>
  <c r="T164" i="1056" s="1"/>
  <c r="T123" i="1056"/>
  <c r="T129" i="1056"/>
  <c r="T163" i="1056" s="1"/>
  <c r="T198" i="1056" s="1"/>
  <c r="T125" i="1056"/>
  <c r="T54" i="1056"/>
  <c r="T53" i="1056"/>
  <c r="T69" i="1056"/>
  <c r="U171" i="1056"/>
  <c r="U57" i="1056"/>
  <c r="U172" i="1056"/>
  <c r="U58" i="1056"/>
  <c r="U59" i="1056"/>
  <c r="U174" i="1056"/>
  <c r="U175" i="1056"/>
  <c r="U61" i="1056"/>
  <c r="U176" i="1056"/>
  <c r="U62" i="1056"/>
  <c r="U63" i="1056"/>
  <c r="U178" i="1056"/>
  <c r="U182" i="1056"/>
  <c r="U68" i="1056"/>
  <c r="U191" i="1056"/>
  <c r="U85" i="1056"/>
  <c r="AC191" i="1056"/>
  <c r="AC85" i="1056"/>
  <c r="AC77" i="1056"/>
  <c r="U195" i="1056"/>
  <c r="U78" i="1056"/>
  <c r="AC195" i="1056"/>
  <c r="G202" i="1056"/>
  <c r="G142" i="1056"/>
  <c r="G143" i="1056" s="1"/>
  <c r="G90" i="1056"/>
  <c r="H167" i="1056"/>
  <c r="H217" i="1056"/>
  <c r="H133" i="1056"/>
  <c r="H55" i="1056" s="1"/>
  <c r="H179" i="1056"/>
  <c r="H168" i="1056"/>
  <c r="H134" i="1056"/>
  <c r="H132" i="1056"/>
  <c r="H131" i="1056"/>
  <c r="H139" i="1056"/>
  <c r="U4" i="1056"/>
  <c r="I105" i="1056"/>
  <c r="I218" i="1056" s="1"/>
  <c r="I124" i="1056"/>
  <c r="V5" i="1056"/>
  <c r="Q105" i="1056"/>
  <c r="Q218" i="1056" s="1"/>
  <c r="Q124" i="1056"/>
  <c r="AD5" i="1056"/>
  <c r="H192" i="1056"/>
  <c r="H181" i="1056"/>
  <c r="H195" i="1056"/>
  <c r="H193" i="1056"/>
  <c r="H180" i="1056"/>
  <c r="H166" i="1056"/>
  <c r="H165" i="1056"/>
  <c r="H169" i="1056" s="1"/>
  <c r="H194" i="1056"/>
  <c r="H77" i="1056"/>
  <c r="U6" i="1056"/>
  <c r="Z220" i="1056"/>
  <c r="Z107" i="1056"/>
  <c r="I228" i="1056"/>
  <c r="V29" i="1056"/>
  <c r="V228" i="1056" s="1"/>
  <c r="V189" i="1056"/>
  <c r="V75" i="1056"/>
  <c r="AD189" i="1056"/>
  <c r="AD75" i="1056"/>
  <c r="V191" i="1056"/>
  <c r="V85" i="1056"/>
  <c r="AD191" i="1056"/>
  <c r="AD85" i="1056"/>
  <c r="H202" i="1056"/>
  <c r="H90" i="1056"/>
  <c r="K220" i="1056"/>
  <c r="K107" i="1056"/>
  <c r="AF72" i="1056"/>
  <c r="T220" i="1056"/>
  <c r="T107" i="1056"/>
  <c r="I4" i="1056"/>
  <c r="I6" i="1056"/>
  <c r="AA220" i="1056"/>
  <c r="AA107" i="1056"/>
  <c r="J29" i="1056"/>
  <c r="AA188" i="1056"/>
  <c r="AA74" i="1056"/>
  <c r="W189" i="1056"/>
  <c r="W75" i="1056"/>
  <c r="AE189" i="1056"/>
  <c r="AE75" i="1056"/>
  <c r="G204" i="1056"/>
  <c r="G92" i="1056"/>
  <c r="AC220" i="1056"/>
  <c r="AC107" i="1056"/>
  <c r="T188" i="1056"/>
  <c r="T74" i="1056"/>
  <c r="AB188" i="1056"/>
  <c r="AB74" i="1056"/>
  <c r="T218" i="1056"/>
  <c r="V49" i="1056"/>
  <c r="J49" i="1056"/>
  <c r="V51" i="1056"/>
  <c r="J51" i="1056"/>
  <c r="J236" i="1056"/>
  <c r="J124" i="1056"/>
  <c r="J105" i="1056"/>
  <c r="J218" i="1056" s="1"/>
  <c r="R124" i="1056"/>
  <c r="R105" i="1056"/>
  <c r="R218" i="1056" s="1"/>
  <c r="R107" i="1056"/>
  <c r="K195" i="1056"/>
  <c r="K193" i="1056"/>
  <c r="K194" i="1056"/>
  <c r="K192" i="1056"/>
  <c r="K77" i="1056"/>
  <c r="U8" i="1056"/>
  <c r="AB220" i="1056"/>
  <c r="AB107" i="1056"/>
  <c r="U188" i="1056"/>
  <c r="U74" i="1056"/>
  <c r="AC188" i="1056"/>
  <c r="AC74" i="1056"/>
  <c r="X189" i="1056"/>
  <c r="X75" i="1056"/>
  <c r="W191" i="1056"/>
  <c r="W77" i="1056"/>
  <c r="AE191" i="1056"/>
  <c r="AE85" i="1056"/>
  <c r="AA87" i="1056"/>
  <c r="AA199" i="1056" s="1"/>
  <c r="AB162" i="1056"/>
  <c r="AF73" i="1056"/>
  <c r="T217" i="1056"/>
  <c r="T179" i="1056"/>
  <c r="T168" i="1056"/>
  <c r="T139" i="1056"/>
  <c r="T131" i="1056"/>
  <c r="T167" i="1056"/>
  <c r="T134" i="1056"/>
  <c r="T133" i="1056"/>
  <c r="T132" i="1056"/>
  <c r="T169" i="1056"/>
  <c r="T65" i="1056"/>
  <c r="K124" i="1056"/>
  <c r="K105" i="1056"/>
  <c r="K218" i="1056" s="1"/>
  <c r="T236" i="1056"/>
  <c r="T124" i="1056"/>
  <c r="G149" i="1056" s="1"/>
  <c r="T105" i="1056"/>
  <c r="AB124" i="1056"/>
  <c r="AB105" i="1056"/>
  <c r="L195" i="1056"/>
  <c r="L193" i="1056"/>
  <c r="L194" i="1056"/>
  <c r="L192" i="1056"/>
  <c r="L77" i="1056"/>
  <c r="U220" i="1056"/>
  <c r="U107" i="1056"/>
  <c r="V188" i="1056"/>
  <c r="V74" i="1056"/>
  <c r="AD188" i="1056"/>
  <c r="AD74" i="1056"/>
  <c r="Y189" i="1056"/>
  <c r="Y75" i="1056"/>
  <c r="T216" i="1056"/>
  <c r="T87" i="1056"/>
  <c r="T199" i="1056" s="1"/>
  <c r="AB87" i="1056"/>
  <c r="AB199" i="1056" s="1"/>
  <c r="G208" i="1056"/>
  <c r="G96" i="1056"/>
  <c r="G215" i="1056"/>
  <c r="G103" i="1056"/>
  <c r="L105" i="1056"/>
  <c r="L218" i="1056" s="1"/>
  <c r="L124" i="1056"/>
  <c r="M195" i="1056"/>
  <c r="M193" i="1056"/>
  <c r="M194" i="1056"/>
  <c r="M192" i="1056"/>
  <c r="M77" i="1056"/>
  <c r="H171" i="1056"/>
  <c r="H172" i="1056"/>
  <c r="H173" i="1056"/>
  <c r="H174" i="1056"/>
  <c r="H175" i="1056"/>
  <c r="H176" i="1056"/>
  <c r="H177" i="1056"/>
  <c r="H178" i="1056"/>
  <c r="T185" i="1056"/>
  <c r="T184" i="1056"/>
  <c r="V220" i="1056"/>
  <c r="V107" i="1056"/>
  <c r="AD220" i="1056"/>
  <c r="AD107" i="1056"/>
  <c r="N29" i="1056"/>
  <c r="W188" i="1056"/>
  <c r="W74" i="1056"/>
  <c r="AE188" i="1056"/>
  <c r="AE74" i="1056"/>
  <c r="Z189" i="1056"/>
  <c r="Z75" i="1056"/>
  <c r="V83" i="1056"/>
  <c r="U216" i="1056"/>
  <c r="U87" i="1056"/>
  <c r="U199" i="1056" s="1"/>
  <c r="AC87" i="1056"/>
  <c r="M124" i="1056"/>
  <c r="M105" i="1056"/>
  <c r="M218" i="1056" s="1"/>
  <c r="N6" i="1056"/>
  <c r="H125" i="1056"/>
  <c r="H130" i="1056" a="1"/>
  <c r="H130" i="1056" s="1"/>
  <c r="H164" i="1056" s="1"/>
  <c r="H129" i="1056"/>
  <c r="H163" i="1056" s="1"/>
  <c r="H123" i="1056"/>
  <c r="I14" i="1056"/>
  <c r="I15" i="1056"/>
  <c r="I16" i="1056"/>
  <c r="I17" i="1056"/>
  <c r="I18" i="1056"/>
  <c r="I19" i="1056"/>
  <c r="I20" i="1056"/>
  <c r="I21" i="1056"/>
  <c r="I23" i="1056"/>
  <c r="M24" i="1056"/>
  <c r="W220" i="1056"/>
  <c r="W107" i="1056"/>
  <c r="AE220" i="1056"/>
  <c r="AE107" i="1056"/>
  <c r="Z29" i="1056"/>
  <c r="Z228" i="1056" s="1"/>
  <c r="X188" i="1056"/>
  <c r="X74" i="1056"/>
  <c r="X81" i="1056"/>
  <c r="AA82" i="1056"/>
  <c r="W83" i="1056"/>
  <c r="AE83" i="1056"/>
  <c r="V87" i="1056"/>
  <c r="V199" i="1056" s="1"/>
  <c r="AD87" i="1056"/>
  <c r="AD199" i="1056" s="1"/>
  <c r="H88" i="1056" a="1"/>
  <c r="H88" i="1056" s="1"/>
  <c r="N124" i="1056"/>
  <c r="N105" i="1056"/>
  <c r="N218" i="1056" s="1"/>
  <c r="W105" i="1056"/>
  <c r="W218" i="1056" s="1"/>
  <c r="W124" i="1056"/>
  <c r="AE124" i="1056"/>
  <c r="AE105" i="1056"/>
  <c r="P192" i="1056"/>
  <c r="P195" i="1056"/>
  <c r="P193" i="1056"/>
  <c r="P194" i="1056"/>
  <c r="P77" i="1056"/>
  <c r="Y6" i="1056"/>
  <c r="H108" i="1056"/>
  <c r="H65" i="1056"/>
  <c r="H69" i="1056"/>
  <c r="H62" i="1056"/>
  <c r="H58" i="1056"/>
  <c r="H67" i="1056"/>
  <c r="H64" i="1056"/>
  <c r="H59" i="1056"/>
  <c r="H54" i="1056"/>
  <c r="H68" i="1056"/>
  <c r="H66" i="1056"/>
  <c r="H60" i="1056"/>
  <c r="H56" i="1056"/>
  <c r="I10" i="1056"/>
  <c r="X220" i="1056"/>
  <c r="I30" i="1056"/>
  <c r="Y188" i="1056"/>
  <c r="Y74" i="1056"/>
  <c r="W194" i="1056"/>
  <c r="Z78" i="1056"/>
  <c r="Y81" i="1056"/>
  <c r="T82" i="1056"/>
  <c r="AB82" i="1056"/>
  <c r="X83" i="1056"/>
  <c r="AE87" i="1056"/>
  <c r="AE199" i="1056" s="1"/>
  <c r="H61" i="1056"/>
  <c r="AD83" i="1056"/>
  <c r="O124" i="1056"/>
  <c r="O105" i="1056"/>
  <c r="O218" i="1056" s="1"/>
  <c r="X5" i="1056"/>
  <c r="Q6" i="1056"/>
  <c r="Z6" i="1056"/>
  <c r="I8" i="1056"/>
  <c r="T56" i="1056"/>
  <c r="T171" i="1056"/>
  <c r="T57" i="1056"/>
  <c r="T172" i="1056"/>
  <c r="T173" i="1056"/>
  <c r="T59" i="1056"/>
  <c r="T174" i="1056"/>
  <c r="T60" i="1056"/>
  <c r="T175" i="1056"/>
  <c r="T61" i="1056"/>
  <c r="T176" i="1056"/>
  <c r="T177" i="1056"/>
  <c r="T63" i="1056"/>
  <c r="T178" i="1056"/>
  <c r="T64" i="1056"/>
  <c r="T182" i="1056"/>
  <c r="T68" i="1056"/>
  <c r="Y220" i="1056"/>
  <c r="Y107" i="1056"/>
  <c r="T191" i="1056"/>
  <c r="T85" i="1056"/>
  <c r="AB191" i="1056"/>
  <c r="AB85" i="1056"/>
  <c r="AB77" i="1056"/>
  <c r="X194" i="1056"/>
  <c r="X80" i="1056"/>
  <c r="AA78" i="1056"/>
  <c r="Z81" i="1056"/>
  <c r="U197" i="1056"/>
  <c r="AC82" i="1056"/>
  <c r="Y83" i="1056"/>
  <c r="T104" i="1056"/>
  <c r="AA218" i="1056"/>
  <c r="G173" i="1056"/>
  <c r="S173" i="1056"/>
  <c r="G59" i="1056"/>
  <c r="U82" i="1056"/>
  <c r="L220" i="1056"/>
  <c r="L107" i="1056"/>
  <c r="T75" i="1056"/>
  <c r="X85" i="1056"/>
  <c r="G199" i="1056"/>
  <c r="AF87" i="1056"/>
  <c r="AB218" i="1056"/>
  <c r="G71" i="1056"/>
  <c r="M220" i="1056"/>
  <c r="M107" i="1056"/>
  <c r="G197" i="1056"/>
  <c r="G196" i="1056"/>
  <c r="G198" i="1056"/>
  <c r="S172" i="1056"/>
  <c r="G172" i="1056"/>
  <c r="G176" i="1056"/>
  <c r="S176" i="1056"/>
  <c r="N220" i="1056"/>
  <c r="N107" i="1056"/>
  <c r="G216" i="1056" a="1"/>
  <c r="G216" i="1056" s="1"/>
  <c r="G104" i="1056"/>
  <c r="Z85" i="1056"/>
  <c r="U104" i="1056"/>
  <c r="X87" i="1056"/>
  <c r="X199" i="1056" s="1"/>
  <c r="G214" i="1056"/>
  <c r="G102" i="1056"/>
  <c r="O220" i="1056"/>
  <c r="O107" i="1056"/>
  <c r="X77" i="1056"/>
  <c r="Z83" i="1056"/>
  <c r="H216" i="1056" a="1"/>
  <c r="H216" i="1056" s="1"/>
  <c r="H104" i="1056"/>
  <c r="AA85" i="1056"/>
  <c r="G101" i="1056"/>
  <c r="Y191" i="1056"/>
  <c r="T194" i="1056"/>
  <c r="AB194" i="1056"/>
  <c r="W195" i="1056"/>
  <c r="W78" i="1056"/>
  <c r="AE78" i="1056"/>
  <c r="U196" i="1056"/>
  <c r="AE218" i="1056"/>
  <c r="Y162" i="1056"/>
  <c r="P162" i="1056"/>
  <c r="H162" i="1056"/>
  <c r="S171" i="1056"/>
  <c r="Z162" i="1056"/>
  <c r="O162" i="1056"/>
  <c r="W162" i="1056"/>
  <c r="M162" i="1056"/>
  <c r="X162" i="1056"/>
  <c r="K162" i="1056"/>
  <c r="G171" i="1056"/>
  <c r="V162" i="1056"/>
  <c r="J162" i="1056"/>
  <c r="AE162" i="1056"/>
  <c r="U162" i="1056"/>
  <c r="R162" i="1056"/>
  <c r="Q162" i="1056"/>
  <c r="AD162" i="1056"/>
  <c r="N162" i="1056"/>
  <c r="AC162" i="1056"/>
  <c r="L162" i="1056"/>
  <c r="AA162" i="1056"/>
  <c r="I162" i="1056"/>
  <c r="G58" i="1056"/>
  <c r="G175" i="1056"/>
  <c r="S175" i="1056"/>
  <c r="G62" i="1056"/>
  <c r="P220" i="1056"/>
  <c r="P107" i="1056"/>
  <c r="AB80" i="1056"/>
  <c r="AB81" i="1056"/>
  <c r="AA83" i="1056"/>
  <c r="I216" i="1056" a="1"/>
  <c r="I216" i="1056" s="1"/>
  <c r="I104" i="1056"/>
  <c r="U194" i="1056"/>
  <c r="U80" i="1056"/>
  <c r="AC194" i="1056"/>
  <c r="AC80" i="1056"/>
  <c r="X195" i="1056"/>
  <c r="Y82" i="1056"/>
  <c r="Z87" i="1056"/>
  <c r="Z199" i="1056" s="1"/>
  <c r="G203" i="1056"/>
  <c r="G91" i="1056"/>
  <c r="I220" i="1056"/>
  <c r="I107" i="1056"/>
  <c r="Q220" i="1056"/>
  <c r="Q107" i="1056"/>
  <c r="Z74" i="1056"/>
  <c r="T80" i="1056"/>
  <c r="T81" i="1056"/>
  <c r="AC81" i="1056"/>
  <c r="AB83" i="1056"/>
  <c r="J104" i="1056"/>
  <c r="U185" i="1056"/>
  <c r="U189" i="1056"/>
  <c r="U75" i="1056"/>
  <c r="AC189" i="1056"/>
  <c r="AC75" i="1056"/>
  <c r="U198" i="1056"/>
  <c r="G57" i="1056"/>
  <c r="S174" i="1056"/>
  <c r="G174" i="1056"/>
  <c r="G61" i="1056"/>
  <c r="H184" i="1056"/>
  <c r="G184" i="1056"/>
  <c r="S185" i="1056"/>
  <c r="S184" i="1056"/>
  <c r="G185" i="1056"/>
  <c r="J220" i="1056"/>
  <c r="J107" i="1056"/>
  <c r="AA75" i="1056"/>
  <c r="U81" i="1056"/>
  <c r="AD81" i="1056"/>
  <c r="T83" i="1056"/>
  <c r="AC83" i="1056"/>
  <c r="G221" i="1056"/>
  <c r="G109" i="1056"/>
  <c r="G100" i="1056"/>
  <c r="G107" i="1056"/>
  <c r="D223" i="1056"/>
  <c r="B112" i="1056"/>
  <c r="G121" i="1056"/>
  <c r="I173" i="1051"/>
  <c r="V16" i="1051"/>
  <c r="J16" i="1051"/>
  <c r="D168" i="1051"/>
  <c r="B55" i="1051"/>
  <c r="X220" i="1051"/>
  <c r="L195" i="1051"/>
  <c r="L193" i="1051"/>
  <c r="L194" i="1051"/>
  <c r="L192" i="1051"/>
  <c r="L77" i="1051"/>
  <c r="Y6" i="1051"/>
  <c r="V11" i="1051"/>
  <c r="V10" i="1051" s="1"/>
  <c r="J11" i="1051"/>
  <c r="G207" i="1051"/>
  <c r="G95" i="1051"/>
  <c r="U13" i="1052"/>
  <c r="U56" i="1052" s="1"/>
  <c r="I13" i="1052"/>
  <c r="K49" i="1052"/>
  <c r="W49" i="1052"/>
  <c r="U204" i="1051"/>
  <c r="U92" i="1051"/>
  <c r="U195" i="1051"/>
  <c r="U78" i="1051"/>
  <c r="AC195" i="1051"/>
  <c r="AC78" i="1051"/>
  <c r="H215" i="1051"/>
  <c r="H103" i="1051"/>
  <c r="D223" i="1051"/>
  <c r="B112" i="1051"/>
  <c r="V236" i="1051"/>
  <c r="V124" i="1051"/>
  <c r="I149" i="1051" s="1"/>
  <c r="V105" i="1051"/>
  <c r="V218" i="1051" s="1"/>
  <c r="AA81" i="1051"/>
  <c r="D168" i="1052"/>
  <c r="B55" i="1052"/>
  <c r="G212" i="1051"/>
  <c r="G100" i="1051"/>
  <c r="H174" i="1052"/>
  <c r="U17" i="1052"/>
  <c r="I17" i="1052"/>
  <c r="AC124" i="1051"/>
  <c r="AC105" i="1051"/>
  <c r="H125" i="1051"/>
  <c r="H130" i="1051" a="1"/>
  <c r="H130" i="1051" s="1"/>
  <c r="H164" i="1051" s="1"/>
  <c r="H123" i="1051"/>
  <c r="I10" i="1051"/>
  <c r="H129" i="1051"/>
  <c r="H163" i="1051" s="1"/>
  <c r="H172" i="1051"/>
  <c r="U15" i="1051"/>
  <c r="T208" i="1051"/>
  <c r="T96" i="1051"/>
  <c r="AA220" i="1051"/>
  <c r="AA107" i="1051"/>
  <c r="J228" i="1051"/>
  <c r="W29" i="1051"/>
  <c r="W228" i="1051" s="1"/>
  <c r="K29" i="1051"/>
  <c r="W191" i="1051"/>
  <c r="W77" i="1051"/>
  <c r="W85" i="1051"/>
  <c r="AE191" i="1051"/>
  <c r="AE85" i="1051"/>
  <c r="T205" i="1051"/>
  <c r="T93" i="1051"/>
  <c r="K107" i="1051"/>
  <c r="K220" i="1051"/>
  <c r="AF72" i="1051"/>
  <c r="T220" i="1051"/>
  <c r="T107" i="1051"/>
  <c r="AF82" i="1051"/>
  <c r="T217" i="1051"/>
  <c r="T134" i="1051"/>
  <c r="T133" i="1051"/>
  <c r="T131" i="1051"/>
  <c r="T179" i="1051"/>
  <c r="T168" i="1051"/>
  <c r="T167" i="1051"/>
  <c r="T132" i="1051"/>
  <c r="T65" i="1051"/>
  <c r="T139" i="1051"/>
  <c r="AD124" i="1051"/>
  <c r="AD105" i="1051"/>
  <c r="AD218" i="1051" s="1"/>
  <c r="T211" i="1051"/>
  <c r="T99" i="1051"/>
  <c r="I15" i="1051"/>
  <c r="T212" i="1051"/>
  <c r="T100" i="1051"/>
  <c r="AB220" i="1051"/>
  <c r="AB107" i="1051"/>
  <c r="W87" i="1051"/>
  <c r="W199" i="1051" s="1"/>
  <c r="AE87" i="1051"/>
  <c r="AE199" i="1051" s="1"/>
  <c r="AE220" i="1051"/>
  <c r="X4" i="1051"/>
  <c r="H173" i="1051"/>
  <c r="U16" i="1051"/>
  <c r="AB124" i="1051"/>
  <c r="AB105" i="1051"/>
  <c r="I13" i="1051"/>
  <c r="U217" i="1051"/>
  <c r="U179" i="1051"/>
  <c r="U168" i="1051"/>
  <c r="U133" i="1051"/>
  <c r="U132" i="1051"/>
  <c r="U131" i="1051"/>
  <c r="U167" i="1051"/>
  <c r="U134" i="1051"/>
  <c r="U139" i="1051"/>
  <c r="U169" i="1051"/>
  <c r="U65" i="1051"/>
  <c r="J236" i="1051"/>
  <c r="J124" i="1051"/>
  <c r="W5" i="1051"/>
  <c r="J105" i="1051"/>
  <c r="J218" i="1051" s="1"/>
  <c r="R124" i="1051"/>
  <c r="AE5" i="1051"/>
  <c r="R105" i="1051"/>
  <c r="R218" i="1051" s="1"/>
  <c r="R107" i="1051"/>
  <c r="U180" i="1051"/>
  <c r="U165" i="1051"/>
  <c r="U181" i="1051"/>
  <c r="U67" i="1051"/>
  <c r="U166" i="1051"/>
  <c r="I12" i="1051"/>
  <c r="H174" i="1051"/>
  <c r="U17" i="1051"/>
  <c r="Y189" i="1051"/>
  <c r="Y75" i="1051"/>
  <c r="T104" i="1051"/>
  <c r="U66" i="1051"/>
  <c r="AF73" i="1051"/>
  <c r="J107" i="1051"/>
  <c r="M124" i="1051"/>
  <c r="M105" i="1051"/>
  <c r="M218" i="1051" s="1"/>
  <c r="Z5" i="1051"/>
  <c r="X80" i="1051"/>
  <c r="K51" i="1052"/>
  <c r="W51" i="1052"/>
  <c r="H210" i="1051"/>
  <c r="H98" i="1051"/>
  <c r="Z220" i="1051"/>
  <c r="Z107" i="1051"/>
  <c r="I134" i="1051"/>
  <c r="V217" i="1051"/>
  <c r="V168" i="1051"/>
  <c r="V167" i="1051"/>
  <c r="V139" i="1051"/>
  <c r="V179" i="1051"/>
  <c r="K124" i="1051"/>
  <c r="K105" i="1051"/>
  <c r="K218" i="1051" s="1"/>
  <c r="X5" i="1051"/>
  <c r="X107" i="1051" s="1"/>
  <c r="T236" i="1051"/>
  <c r="T105" i="1051"/>
  <c r="T124" i="1051"/>
  <c r="G149" i="1051" s="1"/>
  <c r="I181" i="1051"/>
  <c r="V181" i="1051"/>
  <c r="V180" i="1051"/>
  <c r="V66" i="1051"/>
  <c r="H88" i="1051" a="1"/>
  <c r="H88" i="1051" s="1"/>
  <c r="U9" i="1051"/>
  <c r="U88" i="1051" s="1"/>
  <c r="U109" i="1051" s="1"/>
  <c r="I9" i="1051"/>
  <c r="H171" i="1051"/>
  <c r="U14" i="1051"/>
  <c r="T207" i="1051"/>
  <c r="T95" i="1051"/>
  <c r="I174" i="1051"/>
  <c r="V17" i="1051"/>
  <c r="J17" i="1051"/>
  <c r="V220" i="1051"/>
  <c r="V107" i="1051"/>
  <c r="AD220" i="1051"/>
  <c r="AD107" i="1051"/>
  <c r="V30" i="1051"/>
  <c r="J30" i="1051"/>
  <c r="V188" i="1051"/>
  <c r="V74" i="1051"/>
  <c r="AD188" i="1051"/>
  <c r="AD74" i="1051"/>
  <c r="Y83" i="1051"/>
  <c r="AC218" i="1051"/>
  <c r="S176" i="1051"/>
  <c r="G176" i="1051"/>
  <c r="G62" i="1051"/>
  <c r="H69" i="1051"/>
  <c r="L4" i="1051"/>
  <c r="AA124" i="1051"/>
  <c r="AA105" i="1051"/>
  <c r="AA218" i="1051" s="1"/>
  <c r="M6" i="1051"/>
  <c r="T209" i="1051"/>
  <c r="T97" i="1051"/>
  <c r="W4" i="1051"/>
  <c r="L124" i="1051"/>
  <c r="Y5" i="1051"/>
  <c r="L105" i="1051"/>
  <c r="L218" i="1051" s="1"/>
  <c r="U236" i="1051"/>
  <c r="U124" i="1051"/>
  <c r="H149" i="1051" s="1"/>
  <c r="U105" i="1051"/>
  <c r="U218" i="1051" s="1"/>
  <c r="K192" i="1051"/>
  <c r="K195" i="1051"/>
  <c r="K193" i="1051"/>
  <c r="K194" i="1051"/>
  <c r="K77" i="1051"/>
  <c r="U129" i="1051"/>
  <c r="U163" i="1051" s="1"/>
  <c r="U196" i="1051" s="1"/>
  <c r="U123" i="1051"/>
  <c r="U130" i="1051"/>
  <c r="U164" i="1051" s="1"/>
  <c r="U125" i="1051"/>
  <c r="U54" i="1051"/>
  <c r="U69" i="1051"/>
  <c r="U53" i="1051"/>
  <c r="T204" i="1051"/>
  <c r="T92" i="1051"/>
  <c r="I14" i="1051"/>
  <c r="W220" i="1051"/>
  <c r="W107" i="1051"/>
  <c r="V82" i="1051"/>
  <c r="AD82" i="1051"/>
  <c r="AC162" i="1051"/>
  <c r="G172" i="1051"/>
  <c r="S172" i="1051"/>
  <c r="G58" i="1051"/>
  <c r="G140" i="1051" s="1"/>
  <c r="V195" i="1051"/>
  <c r="T81" i="1051"/>
  <c r="AB81" i="1051"/>
  <c r="W82" i="1051"/>
  <c r="AE82" i="1051"/>
  <c r="U104" i="1051"/>
  <c r="X87" i="1051"/>
  <c r="X199" i="1051" s="1"/>
  <c r="T53" i="1051"/>
  <c r="H54" i="1051"/>
  <c r="H59" i="1051"/>
  <c r="H64" i="1051"/>
  <c r="AF74" i="1051"/>
  <c r="Z74" i="1051"/>
  <c r="G90" i="1051"/>
  <c r="G103" i="1051"/>
  <c r="G104" i="1051"/>
  <c r="T130" i="1051"/>
  <c r="T164" i="1051" s="1"/>
  <c r="H175" i="1051"/>
  <c r="H176" i="1051"/>
  <c r="H177" i="1051"/>
  <c r="H178" i="1051"/>
  <c r="U220" i="1051"/>
  <c r="U107" i="1051"/>
  <c r="AC220" i="1051"/>
  <c r="AC107" i="1051"/>
  <c r="V29" i="1051"/>
  <c r="V228" i="1051" s="1"/>
  <c r="AA189" i="1051"/>
  <c r="AA75" i="1051"/>
  <c r="Y191" i="1051"/>
  <c r="Y77" i="1051"/>
  <c r="T194" i="1051"/>
  <c r="AB194" i="1051"/>
  <c r="W195" i="1051"/>
  <c r="W78" i="1051"/>
  <c r="AE78" i="1051"/>
  <c r="U81" i="1051"/>
  <c r="AC81" i="1051"/>
  <c r="V104" i="1051"/>
  <c r="Y162" i="1051"/>
  <c r="P162" i="1051"/>
  <c r="H162" i="1051"/>
  <c r="G171" i="1051"/>
  <c r="X162" i="1051"/>
  <c r="O162" i="1051"/>
  <c r="AD162" i="1051"/>
  <c r="V162" i="1051"/>
  <c r="M162" i="1051"/>
  <c r="AB162" i="1051"/>
  <c r="K162" i="1051"/>
  <c r="W162" i="1051"/>
  <c r="I162" i="1051"/>
  <c r="U162" i="1051"/>
  <c r="R162" i="1051"/>
  <c r="AE162" i="1051"/>
  <c r="Q162" i="1051"/>
  <c r="S171" i="1051"/>
  <c r="AA162" i="1051"/>
  <c r="L162" i="1051"/>
  <c r="S175" i="1051"/>
  <c r="G175" i="1051"/>
  <c r="T68" i="1051"/>
  <c r="M220" i="1051"/>
  <c r="M107" i="1051"/>
  <c r="AA74" i="1051"/>
  <c r="T75" i="1051"/>
  <c r="X82" i="1051"/>
  <c r="H216" i="1051" a="1"/>
  <c r="H216" i="1051" s="1"/>
  <c r="H104" i="1051"/>
  <c r="G221" i="1051"/>
  <c r="G109" i="1051"/>
  <c r="G102" i="1051"/>
  <c r="I175" i="1051"/>
  <c r="I176" i="1051"/>
  <c r="I177" i="1051"/>
  <c r="I178" i="1051"/>
  <c r="T185" i="1051"/>
  <c r="T184" i="1051"/>
  <c r="Y188" i="1051"/>
  <c r="Y74" i="1051"/>
  <c r="Z191" i="1051"/>
  <c r="Z85" i="1051"/>
  <c r="U194" i="1051"/>
  <c r="U80" i="1051"/>
  <c r="AC194" i="1051"/>
  <c r="AC80" i="1051"/>
  <c r="X195" i="1051"/>
  <c r="X78" i="1051"/>
  <c r="Y82" i="1051"/>
  <c r="Z87" i="1051"/>
  <c r="H58" i="1051"/>
  <c r="N220" i="1051"/>
  <c r="N107" i="1051"/>
  <c r="AB74" i="1051"/>
  <c r="X75" i="1051"/>
  <c r="AD78" i="1051"/>
  <c r="T83" i="1051"/>
  <c r="I216" i="1051" a="1"/>
  <c r="I216" i="1051" s="1"/>
  <c r="I104" i="1051"/>
  <c r="N105" i="1051"/>
  <c r="N218" i="1051" s="1"/>
  <c r="P194" i="1051"/>
  <c r="P192" i="1051"/>
  <c r="P195" i="1051"/>
  <c r="P193" i="1051"/>
  <c r="P77" i="1051"/>
  <c r="H108" i="1051"/>
  <c r="J18" i="1051"/>
  <c r="J19" i="1051"/>
  <c r="J20" i="1051"/>
  <c r="J21" i="1051"/>
  <c r="J22" i="1051"/>
  <c r="J23" i="1051"/>
  <c r="N24" i="1051"/>
  <c r="O29" i="1051"/>
  <c r="N30" i="1051"/>
  <c r="U189" i="1051"/>
  <c r="U75" i="1051"/>
  <c r="AC189" i="1051"/>
  <c r="AC75" i="1051"/>
  <c r="AA191" i="1051"/>
  <c r="V194" i="1051"/>
  <c r="V80" i="1051"/>
  <c r="Y195" i="1051"/>
  <c r="Y78" i="1051"/>
  <c r="Z82" i="1051"/>
  <c r="U83" i="1051"/>
  <c r="AC83" i="1051"/>
  <c r="AA87" i="1051"/>
  <c r="AA199" i="1051" s="1"/>
  <c r="I49" i="1051"/>
  <c r="I50" i="1051"/>
  <c r="I51" i="1051"/>
  <c r="G205" i="1051"/>
  <c r="G93" i="1051"/>
  <c r="G174" i="1051"/>
  <c r="S174" i="1051"/>
  <c r="G209" i="1051"/>
  <c r="G97" i="1051"/>
  <c r="H65" i="1051"/>
  <c r="H184" i="1051"/>
  <c r="G184" i="1051"/>
  <c r="S185" i="1051"/>
  <c r="H185" i="1051"/>
  <c r="S184" i="1051"/>
  <c r="G185" i="1051"/>
  <c r="G220" i="1051"/>
  <c r="G107" i="1051"/>
  <c r="O220" i="1051"/>
  <c r="O107" i="1051"/>
  <c r="V81" i="1051"/>
  <c r="G91" i="1051"/>
  <c r="G99" i="1051"/>
  <c r="O105" i="1051"/>
  <c r="O218" i="1051" s="1"/>
  <c r="O124" i="1051"/>
  <c r="Q6" i="1051"/>
  <c r="I8" i="1051"/>
  <c r="T171" i="1051"/>
  <c r="T172" i="1051"/>
  <c r="T173" i="1051"/>
  <c r="T174" i="1051"/>
  <c r="T175" i="1051"/>
  <c r="T176" i="1051"/>
  <c r="T177" i="1051"/>
  <c r="T178" i="1051"/>
  <c r="V189" i="1051"/>
  <c r="V75" i="1051"/>
  <c r="AD189" i="1051"/>
  <c r="AD75" i="1051"/>
  <c r="T191" i="1051"/>
  <c r="T85" i="1051"/>
  <c r="AB191" i="1051"/>
  <c r="AB85" i="1051"/>
  <c r="W194" i="1051"/>
  <c r="W80" i="1051"/>
  <c r="AA82" i="1051"/>
  <c r="T216" i="1051"/>
  <c r="T87" i="1051"/>
  <c r="T199" i="1051" s="1"/>
  <c r="AB87" i="1051"/>
  <c r="G202" i="1051"/>
  <c r="G142" i="1051"/>
  <c r="G143" i="1051" s="1"/>
  <c r="H57" i="1051"/>
  <c r="H61" i="1051"/>
  <c r="H66" i="1051"/>
  <c r="H67" i="1051"/>
  <c r="T74" i="1051"/>
  <c r="AE74" i="1051"/>
  <c r="Z75" i="1051"/>
  <c r="X77" i="1051"/>
  <c r="AB80" i="1051"/>
  <c r="W81" i="1051"/>
  <c r="Z83" i="1051"/>
  <c r="N124" i="1051"/>
  <c r="J162" i="1051"/>
  <c r="H217" i="1051"/>
  <c r="H167" i="1051"/>
  <c r="H168" i="1051"/>
  <c r="H179" i="1051"/>
  <c r="H134" i="1051"/>
  <c r="H132" i="1051"/>
  <c r="H139" i="1051"/>
  <c r="H133" i="1051"/>
  <c r="H131" i="1051"/>
  <c r="H55" i="1051" s="1"/>
  <c r="H105" i="1051"/>
  <c r="H218" i="1051" s="1"/>
  <c r="H236" i="1051"/>
  <c r="H124" i="1051"/>
  <c r="P105" i="1051"/>
  <c r="P218" i="1051" s="1"/>
  <c r="P124" i="1051"/>
  <c r="H194" i="1051"/>
  <c r="H192" i="1051"/>
  <c r="H181" i="1051"/>
  <c r="H166" i="1051"/>
  <c r="H165" i="1051"/>
  <c r="H169" i="1051" s="1"/>
  <c r="H195" i="1051"/>
  <c r="H193" i="1051"/>
  <c r="H180" i="1051"/>
  <c r="H77" i="1051"/>
  <c r="T129" i="1051"/>
  <c r="T163" i="1051" s="1"/>
  <c r="T196" i="1051" s="1"/>
  <c r="T123" i="1051"/>
  <c r="T69" i="1051"/>
  <c r="T125" i="1051"/>
  <c r="U18" i="1051"/>
  <c r="U19" i="1051"/>
  <c r="U20" i="1051"/>
  <c r="U21" i="1051"/>
  <c r="U23" i="1051"/>
  <c r="Y220" i="1051"/>
  <c r="Y107" i="1051"/>
  <c r="Z29" i="1051"/>
  <c r="Z228" i="1051" s="1"/>
  <c r="W189" i="1051"/>
  <c r="W75" i="1051"/>
  <c r="AE189" i="1051"/>
  <c r="AE75" i="1051"/>
  <c r="U191" i="1051"/>
  <c r="U85" i="1051"/>
  <c r="AC191" i="1051"/>
  <c r="AC85" i="1051"/>
  <c r="X194" i="1051"/>
  <c r="Y81" i="1051"/>
  <c r="W83" i="1051"/>
  <c r="AE83" i="1051"/>
  <c r="U216" i="1051"/>
  <c r="H53" i="1051"/>
  <c r="T58" i="1051"/>
  <c r="G173" i="1051"/>
  <c r="S173" i="1051"/>
  <c r="G60" i="1051"/>
  <c r="T62" i="1051"/>
  <c r="H63" i="1051"/>
  <c r="G70" i="1051"/>
  <c r="I220" i="1051"/>
  <c r="I107" i="1051"/>
  <c r="Q220" i="1051"/>
  <c r="Q107" i="1051"/>
  <c r="AB75" i="1051"/>
  <c r="AB77" i="1051"/>
  <c r="X81" i="1051"/>
  <c r="AA83" i="1051"/>
  <c r="Y87" i="1051"/>
  <c r="Y199" i="1051" s="1"/>
  <c r="N162" i="1051"/>
  <c r="I169" i="1051"/>
  <c r="I168" i="1051"/>
  <c r="I179" i="1051"/>
  <c r="I167" i="1051"/>
  <c r="I139" i="1051"/>
  <c r="I217" i="1051"/>
  <c r="I133" i="1051"/>
  <c r="I131" i="1051"/>
  <c r="I132" i="1051"/>
  <c r="I236" i="1051"/>
  <c r="I124" i="1051"/>
  <c r="I105" i="1051"/>
  <c r="I218" i="1051" s="1"/>
  <c r="Q124" i="1051"/>
  <c r="Q105" i="1051"/>
  <c r="Q218" i="1051" s="1"/>
  <c r="I192" i="1051"/>
  <c r="I195" i="1051"/>
  <c r="I193" i="1051"/>
  <c r="I180" i="1051"/>
  <c r="I194" i="1051"/>
  <c r="I165" i="1051"/>
  <c r="I77" i="1051"/>
  <c r="I166" i="1051"/>
  <c r="T180" i="1051"/>
  <c r="T181" i="1051"/>
  <c r="T166" i="1051"/>
  <c r="T165" i="1051"/>
  <c r="T169" i="1051" s="1"/>
  <c r="V18" i="1051"/>
  <c r="V19" i="1051"/>
  <c r="V20" i="1051"/>
  <c r="V21" i="1051"/>
  <c r="V23" i="1051"/>
  <c r="AA29" i="1051"/>
  <c r="AA228" i="1051" s="1"/>
  <c r="U188" i="1051"/>
  <c r="U74" i="1051"/>
  <c r="AC188" i="1051"/>
  <c r="AC74" i="1051"/>
  <c r="V191" i="1051"/>
  <c r="V85" i="1051"/>
  <c r="AD191" i="1051"/>
  <c r="AD85" i="1051"/>
  <c r="Y194" i="1051"/>
  <c r="T195" i="1051"/>
  <c r="AB195" i="1051"/>
  <c r="X83" i="1051"/>
  <c r="V216" i="1051"/>
  <c r="T218" i="1051"/>
  <c r="AB218" i="1051"/>
  <c r="H56" i="1051"/>
  <c r="H60" i="1051"/>
  <c r="T66" i="1051"/>
  <c r="T140" i="1051" s="1"/>
  <c r="T67" i="1051"/>
  <c r="W74" i="1051"/>
  <c r="AC77" i="1051"/>
  <c r="V78" i="1051"/>
  <c r="Z81" i="1051"/>
  <c r="T82" i="1051"/>
  <c r="AF83" i="1051"/>
  <c r="AB83" i="1051"/>
  <c r="AC87" i="1051"/>
  <c r="G92" i="1051"/>
  <c r="H107" i="1051"/>
  <c r="G121" i="1051"/>
  <c r="G111" i="1051"/>
  <c r="G198" i="1051"/>
  <c r="G197" i="1051"/>
  <c r="G196" i="1051"/>
  <c r="J104" i="1051"/>
  <c r="AF87" i="1051"/>
  <c r="P107" i="1051"/>
  <c r="G213" i="1051"/>
  <c r="G101" i="1051"/>
  <c r="L220" i="1051"/>
  <c r="L107" i="1051"/>
  <c r="H172" i="1052"/>
  <c r="U15" i="1052"/>
  <c r="I15" i="1052"/>
  <c r="H176" i="1052"/>
  <c r="U19" i="1052"/>
  <c r="I19" i="1052"/>
  <c r="AA124" i="1052"/>
  <c r="AA105" i="1052"/>
  <c r="AA218" i="1052" s="1"/>
  <c r="AB124" i="1052"/>
  <c r="AB105" i="1052"/>
  <c r="AB218" i="1052" s="1"/>
  <c r="AC105" i="1052"/>
  <c r="AC218" i="1052" s="1"/>
  <c r="AC124" i="1052"/>
  <c r="U11" i="1052"/>
  <c r="U10" i="1052" s="1"/>
  <c r="U139" i="1052" s="1"/>
  <c r="I11" i="1052"/>
  <c r="P30" i="1052"/>
  <c r="AB30" i="1052"/>
  <c r="U12" i="1052"/>
  <c r="U134" i="1052" s="1"/>
  <c r="I12" i="1052"/>
  <c r="H171" i="1052"/>
  <c r="U14" i="1052"/>
  <c r="I14" i="1052"/>
  <c r="H173" i="1052"/>
  <c r="U16" i="1052"/>
  <c r="I16" i="1052"/>
  <c r="H175" i="1052"/>
  <c r="U18" i="1052"/>
  <c r="I18" i="1052"/>
  <c r="H177" i="1052"/>
  <c r="U20" i="1052"/>
  <c r="I20" i="1052"/>
  <c r="K50" i="1052"/>
  <c r="W50" i="1052"/>
  <c r="J124" i="1052"/>
  <c r="J105" i="1052"/>
  <c r="J218" i="1052" s="1"/>
  <c r="W5" i="1052"/>
  <c r="R105" i="1052"/>
  <c r="R218" i="1052" s="1"/>
  <c r="R124" i="1052"/>
  <c r="AE5" i="1052"/>
  <c r="U220" i="1052"/>
  <c r="U107" i="1052"/>
  <c r="T217" i="1052"/>
  <c r="T179" i="1052"/>
  <c r="T168" i="1052"/>
  <c r="T167" i="1052"/>
  <c r="T133" i="1052"/>
  <c r="T132" i="1052"/>
  <c r="T139" i="1052"/>
  <c r="T134" i="1052"/>
  <c r="T65" i="1052"/>
  <c r="T131" i="1052"/>
  <c r="T55" i="1052" s="1"/>
  <c r="K124" i="1052"/>
  <c r="K105" i="1052"/>
  <c r="K218" i="1052" s="1"/>
  <c r="X5" i="1052"/>
  <c r="T236" i="1052"/>
  <c r="T105" i="1052"/>
  <c r="T218" i="1052" s="1"/>
  <c r="T124" i="1052"/>
  <c r="G149" i="1052" s="1"/>
  <c r="K194" i="1052"/>
  <c r="K195" i="1052"/>
  <c r="K192" i="1052"/>
  <c r="K180" i="1052"/>
  <c r="K193" i="1052"/>
  <c r="K77" i="1052"/>
  <c r="X6" i="1052"/>
  <c r="T209" i="1052"/>
  <c r="T97" i="1052"/>
  <c r="U168" i="1052"/>
  <c r="L124" i="1052"/>
  <c r="L105" i="1052"/>
  <c r="L218" i="1052" s="1"/>
  <c r="Y5" i="1052"/>
  <c r="U124" i="1052"/>
  <c r="U105" i="1052"/>
  <c r="U218" i="1052" s="1"/>
  <c r="L6" i="1052"/>
  <c r="T125" i="1052"/>
  <c r="T130" i="1052"/>
  <c r="T164" i="1052" s="1"/>
  <c r="T129" i="1052"/>
  <c r="T163" i="1052" s="1"/>
  <c r="T198" i="1052" s="1"/>
  <c r="T123" i="1052"/>
  <c r="T53" i="1052"/>
  <c r="T54" i="1052"/>
  <c r="T71" i="1052" s="1"/>
  <c r="T69" i="1052"/>
  <c r="AA220" i="1052"/>
  <c r="AA107" i="1052"/>
  <c r="V188" i="1052"/>
  <c r="V74" i="1052"/>
  <c r="AD188" i="1052"/>
  <c r="AD74" i="1052"/>
  <c r="Y189" i="1052"/>
  <c r="Y75" i="1052"/>
  <c r="W191" i="1052"/>
  <c r="W85" i="1052"/>
  <c r="W77" i="1052"/>
  <c r="AE191" i="1052"/>
  <c r="AE85" i="1052"/>
  <c r="U195" i="1052"/>
  <c r="U78" i="1052"/>
  <c r="AC195" i="1052"/>
  <c r="AC78" i="1052"/>
  <c r="AA81" i="1052"/>
  <c r="V82" i="1052"/>
  <c r="AD82" i="1052"/>
  <c r="Y83" i="1052"/>
  <c r="T104" i="1052"/>
  <c r="W87" i="1052"/>
  <c r="W199" i="1052" s="1"/>
  <c r="AE87" i="1052"/>
  <c r="AE199" i="1052" s="1"/>
  <c r="H57" i="1052"/>
  <c r="S172" i="1052"/>
  <c r="G172" i="1052"/>
  <c r="G58" i="1052"/>
  <c r="G176" i="1052"/>
  <c r="S176" i="1052"/>
  <c r="L220" i="1052"/>
  <c r="L107" i="1052"/>
  <c r="T220" i="1052"/>
  <c r="T107" i="1052"/>
  <c r="AB220" i="1052"/>
  <c r="AB107" i="1052"/>
  <c r="J30" i="1052"/>
  <c r="W188" i="1052"/>
  <c r="W74" i="1052"/>
  <c r="AE188" i="1052"/>
  <c r="AE74" i="1052"/>
  <c r="Z189" i="1052"/>
  <c r="Z75" i="1052"/>
  <c r="X191" i="1052"/>
  <c r="X77" i="1052"/>
  <c r="X85" i="1052"/>
  <c r="V78" i="1052"/>
  <c r="AD195" i="1052"/>
  <c r="AD78" i="1052"/>
  <c r="T81" i="1052"/>
  <c r="AB81" i="1052"/>
  <c r="W82" i="1052"/>
  <c r="AE82" i="1052"/>
  <c r="Z83" i="1052"/>
  <c r="U104" i="1052"/>
  <c r="X87" i="1052"/>
  <c r="X199" i="1052" s="1"/>
  <c r="G207" i="1052"/>
  <c r="G95" i="1052"/>
  <c r="AC220" i="1052"/>
  <c r="AC107" i="1052"/>
  <c r="X188" i="1052"/>
  <c r="X74" i="1052"/>
  <c r="AA189" i="1052"/>
  <c r="AA75" i="1052"/>
  <c r="Y191" i="1052"/>
  <c r="Y85" i="1052"/>
  <c r="T194" i="1052"/>
  <c r="T80" i="1052"/>
  <c r="AB194" i="1052"/>
  <c r="AB80" i="1052"/>
  <c r="W195" i="1052"/>
  <c r="W78" i="1052"/>
  <c r="AE78" i="1052"/>
  <c r="U81" i="1052"/>
  <c r="AC81" i="1052"/>
  <c r="X82" i="1052"/>
  <c r="AA83" i="1052"/>
  <c r="Y87" i="1052"/>
  <c r="Y199" i="1052" s="1"/>
  <c r="H59" i="1052"/>
  <c r="G62" i="1052"/>
  <c r="M124" i="1052"/>
  <c r="M105" i="1052"/>
  <c r="M218" i="1052" s="1"/>
  <c r="V124" i="1052"/>
  <c r="V105" i="1052"/>
  <c r="V218" i="1052" s="1"/>
  <c r="AD124" i="1052"/>
  <c r="AD105" i="1052"/>
  <c r="AD218" i="1052" s="1"/>
  <c r="H109" i="1052"/>
  <c r="H221" i="1052"/>
  <c r="H125" i="1052"/>
  <c r="H129" i="1052"/>
  <c r="H163" i="1052" s="1"/>
  <c r="H123" i="1052"/>
  <c r="H130" i="1052" a="1"/>
  <c r="H130" i="1052" s="1"/>
  <c r="H164" i="1052" s="1"/>
  <c r="I21" i="1052"/>
  <c r="I22" i="1052"/>
  <c r="I23" i="1052"/>
  <c r="M24" i="1052"/>
  <c r="T184" i="1052"/>
  <c r="V220" i="1052"/>
  <c r="V107" i="1052"/>
  <c r="AD220" i="1052"/>
  <c r="AD107" i="1052"/>
  <c r="N29" i="1052"/>
  <c r="Y188" i="1052"/>
  <c r="Y74" i="1052"/>
  <c r="T189" i="1052"/>
  <c r="T75" i="1052"/>
  <c r="AB189" i="1052"/>
  <c r="AB75" i="1052"/>
  <c r="Z191" i="1052"/>
  <c r="Z85" i="1052"/>
  <c r="U194" i="1052"/>
  <c r="U80" i="1052"/>
  <c r="AC194" i="1052"/>
  <c r="AC80" i="1052"/>
  <c r="X195" i="1052"/>
  <c r="X78" i="1052"/>
  <c r="V81" i="1052"/>
  <c r="AD81" i="1052"/>
  <c r="Y82" i="1052"/>
  <c r="T83" i="1052"/>
  <c r="AB83" i="1052"/>
  <c r="Z87" i="1052"/>
  <c r="Z199" i="1052" s="1"/>
  <c r="I69" i="1052"/>
  <c r="N105" i="1052"/>
  <c r="N218" i="1052" s="1"/>
  <c r="N124" i="1052"/>
  <c r="P195" i="1052"/>
  <c r="P193" i="1052"/>
  <c r="P194" i="1052"/>
  <c r="P192" i="1052"/>
  <c r="P77" i="1052"/>
  <c r="H108" i="1052"/>
  <c r="H69" i="1052"/>
  <c r="H62" i="1052"/>
  <c r="H58" i="1052"/>
  <c r="H60" i="1052"/>
  <c r="H68" i="1052"/>
  <c r="H67" i="1052"/>
  <c r="H66" i="1052"/>
  <c r="H65" i="1052"/>
  <c r="H64" i="1052"/>
  <c r="H63" i="1052"/>
  <c r="I221" i="1052"/>
  <c r="I109" i="1052"/>
  <c r="I130" i="1052" a="1"/>
  <c r="I130" i="1052" s="1"/>
  <c r="I164" i="1052" s="1"/>
  <c r="I129" i="1052"/>
  <c r="I163" i="1052" s="1"/>
  <c r="I123" i="1052"/>
  <c r="I121" i="1052" s="1"/>
  <c r="W220" i="1052"/>
  <c r="W107" i="1052"/>
  <c r="AE220" i="1052"/>
  <c r="AE107" i="1052"/>
  <c r="Z188" i="1052"/>
  <c r="Z74" i="1052"/>
  <c r="U189" i="1052"/>
  <c r="U75" i="1052"/>
  <c r="AC189" i="1052"/>
  <c r="AC75" i="1052"/>
  <c r="AA191" i="1052"/>
  <c r="AA85" i="1052"/>
  <c r="AD194" i="1052"/>
  <c r="AD80" i="1052"/>
  <c r="Y78" i="1052"/>
  <c r="W81" i="1052"/>
  <c r="AE81" i="1052"/>
  <c r="Z82" i="1052"/>
  <c r="U83" i="1052"/>
  <c r="AC83" i="1052"/>
  <c r="AA87" i="1052"/>
  <c r="AA199" i="1052" s="1"/>
  <c r="G202" i="1052"/>
  <c r="G142" i="1052"/>
  <c r="G143" i="1052" s="1"/>
  <c r="G90" i="1052"/>
  <c r="G71" i="1052"/>
  <c r="G204" i="1052"/>
  <c r="G92" i="1052"/>
  <c r="O124" i="1052"/>
  <c r="O105" i="1052"/>
  <c r="O218" i="1052" s="1"/>
  <c r="Q195" i="1052"/>
  <c r="Q193" i="1052"/>
  <c r="Q194" i="1052"/>
  <c r="Q192" i="1052"/>
  <c r="Q77" i="1052"/>
  <c r="I125" i="1052"/>
  <c r="I108" i="1052"/>
  <c r="I54" i="1052"/>
  <c r="I60" i="1052"/>
  <c r="I68" i="1052"/>
  <c r="I57" i="1052"/>
  <c r="I59" i="1052"/>
  <c r="J221" i="1052"/>
  <c r="J109" i="1052"/>
  <c r="J180" i="1052"/>
  <c r="J181" i="1052"/>
  <c r="J129" i="1052"/>
  <c r="J163" i="1052" s="1"/>
  <c r="J130" i="1052" a="1"/>
  <c r="J130" i="1052" s="1"/>
  <c r="J164" i="1052" s="1"/>
  <c r="J125" i="1052"/>
  <c r="J123" i="1052"/>
  <c r="T204" i="1052"/>
  <c r="T92" i="1052"/>
  <c r="T171" i="1052"/>
  <c r="T172" i="1052"/>
  <c r="T173" i="1052"/>
  <c r="T59" i="1052"/>
  <c r="T174" i="1052"/>
  <c r="T60" i="1052"/>
  <c r="T175" i="1052"/>
  <c r="T176" i="1052"/>
  <c r="T62" i="1052"/>
  <c r="T177" i="1052"/>
  <c r="T63" i="1052"/>
  <c r="T178" i="1052"/>
  <c r="T64" i="1052"/>
  <c r="T182" i="1052"/>
  <c r="T68" i="1052"/>
  <c r="X220" i="1052"/>
  <c r="X107" i="1052"/>
  <c r="AA188" i="1052"/>
  <c r="AA74" i="1052"/>
  <c r="V189" i="1052"/>
  <c r="V75" i="1052"/>
  <c r="AD189" i="1052"/>
  <c r="AD75" i="1052"/>
  <c r="T191" i="1052"/>
  <c r="T77" i="1052"/>
  <c r="T85" i="1052"/>
  <c r="AB191" i="1052"/>
  <c r="AB85" i="1052"/>
  <c r="AB77" i="1052"/>
  <c r="W194" i="1052"/>
  <c r="W80" i="1052"/>
  <c r="Z78" i="1052"/>
  <c r="X81" i="1052"/>
  <c r="AA82" i="1052"/>
  <c r="V83" i="1052"/>
  <c r="AD83" i="1052"/>
  <c r="T216" i="1052"/>
  <c r="T87" i="1052"/>
  <c r="T199" i="1052" s="1"/>
  <c r="AB87" i="1052"/>
  <c r="AB199" i="1052" s="1"/>
  <c r="H53" i="1052"/>
  <c r="H54" i="1052"/>
  <c r="H56" i="1052"/>
  <c r="H61" i="1052"/>
  <c r="G215" i="1052"/>
  <c r="G103" i="1052"/>
  <c r="H179" i="1052"/>
  <c r="H168" i="1052"/>
  <c r="H132" i="1052"/>
  <c r="H217" i="1052"/>
  <c r="H169" i="1052"/>
  <c r="H134" i="1052"/>
  <c r="H167" i="1052"/>
  <c r="H133" i="1052"/>
  <c r="H131" i="1052"/>
  <c r="H55" i="1052" s="1"/>
  <c r="H139" i="1052"/>
  <c r="H236" i="1052"/>
  <c r="H124" i="1052"/>
  <c r="H105" i="1052"/>
  <c r="H218" i="1052" s="1"/>
  <c r="P124" i="1052"/>
  <c r="P105" i="1052"/>
  <c r="P218" i="1052" s="1"/>
  <c r="H195" i="1052"/>
  <c r="H193" i="1052"/>
  <c r="H192" i="1052"/>
  <c r="H181" i="1052"/>
  <c r="H180" i="1052"/>
  <c r="H166" i="1052"/>
  <c r="H194" i="1052"/>
  <c r="H165" i="1052"/>
  <c r="H77" i="1052"/>
  <c r="R6" i="1052"/>
  <c r="J8" i="1052"/>
  <c r="K9" i="1052"/>
  <c r="T109" i="1052"/>
  <c r="K10" i="1052"/>
  <c r="K181" i="1052" s="1"/>
  <c r="U21" i="1052"/>
  <c r="U23" i="1052"/>
  <c r="Y220" i="1052"/>
  <c r="Y107" i="1052"/>
  <c r="Z29" i="1052"/>
  <c r="Z228" i="1052" s="1"/>
  <c r="T188" i="1052"/>
  <c r="T74" i="1052"/>
  <c r="AB188" i="1052"/>
  <c r="AB74" i="1052"/>
  <c r="W189" i="1052"/>
  <c r="W75" i="1052"/>
  <c r="AE189" i="1052"/>
  <c r="AE75" i="1052"/>
  <c r="U191" i="1052"/>
  <c r="U85" i="1052"/>
  <c r="U77" i="1052"/>
  <c r="AC191" i="1052"/>
  <c r="AC85" i="1052"/>
  <c r="AC77" i="1052"/>
  <c r="X194" i="1052"/>
  <c r="X80" i="1052"/>
  <c r="AA78" i="1052"/>
  <c r="Y81" i="1052"/>
  <c r="T82" i="1052"/>
  <c r="AB82" i="1052"/>
  <c r="W83" i="1052"/>
  <c r="AE83" i="1052"/>
  <c r="U216" i="1052"/>
  <c r="U87" i="1052"/>
  <c r="U199" i="1052" s="1"/>
  <c r="AC87" i="1052"/>
  <c r="I53" i="1052"/>
  <c r="AB162" i="1052"/>
  <c r="K162" i="1052"/>
  <c r="S171" i="1052"/>
  <c r="W162" i="1052"/>
  <c r="N162" i="1052"/>
  <c r="AE162" i="1052"/>
  <c r="V162" i="1052"/>
  <c r="M162" i="1052"/>
  <c r="Y162" i="1052"/>
  <c r="L162" i="1052"/>
  <c r="X162" i="1052"/>
  <c r="J162" i="1052"/>
  <c r="U162" i="1052"/>
  <c r="I162" i="1052"/>
  <c r="AD162" i="1052"/>
  <c r="R162" i="1052"/>
  <c r="H162" i="1052"/>
  <c r="AC162" i="1052"/>
  <c r="AA162" i="1052"/>
  <c r="Z162" i="1052"/>
  <c r="Q162" i="1052"/>
  <c r="P162" i="1052"/>
  <c r="O162" i="1052"/>
  <c r="G171" i="1052"/>
  <c r="G57" i="1052"/>
  <c r="T57" i="1052"/>
  <c r="T58" i="1052"/>
  <c r="I61" i="1052"/>
  <c r="I4" i="1052"/>
  <c r="I236" i="1052"/>
  <c r="I124" i="1052"/>
  <c r="I105" i="1052"/>
  <c r="I218" i="1052" s="1"/>
  <c r="Q124" i="1052"/>
  <c r="Q105" i="1052"/>
  <c r="Q218" i="1052" s="1"/>
  <c r="Z5" i="1052"/>
  <c r="Z107" i="1052" s="1"/>
  <c r="I6" i="1052"/>
  <c r="T166" i="1052"/>
  <c r="T165" i="1052"/>
  <c r="T169" i="1052" s="1"/>
  <c r="T181" i="1052"/>
  <c r="T180" i="1052"/>
  <c r="T66" i="1052"/>
  <c r="T67" i="1052"/>
  <c r="U9" i="1052"/>
  <c r="U88" i="1052" s="1"/>
  <c r="U109" i="1052" s="1"/>
  <c r="Z220" i="1052"/>
  <c r="I29" i="1052"/>
  <c r="U188" i="1052"/>
  <c r="U74" i="1052"/>
  <c r="AC188" i="1052"/>
  <c r="AC74" i="1052"/>
  <c r="X189" i="1052"/>
  <c r="X75" i="1052"/>
  <c r="V191" i="1052"/>
  <c r="V85" i="1052"/>
  <c r="AD191" i="1052"/>
  <c r="AD85" i="1052"/>
  <c r="AD77" i="1052"/>
  <c r="T195" i="1052"/>
  <c r="T78" i="1052"/>
  <c r="AB195" i="1052"/>
  <c r="AB78" i="1052"/>
  <c r="Z81" i="1052"/>
  <c r="U82" i="1052"/>
  <c r="AC82" i="1052"/>
  <c r="X83" i="1052"/>
  <c r="V87" i="1052"/>
  <c r="V199" i="1052" s="1"/>
  <c r="AD87" i="1052"/>
  <c r="AD199" i="1052" s="1"/>
  <c r="G174" i="1052"/>
  <c r="S174" i="1052"/>
  <c r="G60" i="1052"/>
  <c r="G212" i="1052"/>
  <c r="G100" i="1052"/>
  <c r="G213" i="1052"/>
  <c r="G101" i="1052"/>
  <c r="G214" i="1052"/>
  <c r="G102" i="1052"/>
  <c r="M220" i="1052"/>
  <c r="M107" i="1052"/>
  <c r="N220" i="1052"/>
  <c r="N107" i="1052"/>
  <c r="G218" i="1052"/>
  <c r="I216" i="1052" a="1"/>
  <c r="I216" i="1052" s="1"/>
  <c r="I104" i="1052"/>
  <c r="G99" i="1052"/>
  <c r="D223" i="1052"/>
  <c r="B112" i="1052"/>
  <c r="S175" i="1052"/>
  <c r="G175" i="1052"/>
  <c r="J216" i="1052" a="1"/>
  <c r="J216" i="1052" s="1"/>
  <c r="G199" i="1052"/>
  <c r="AF87" i="1052"/>
  <c r="G221" i="1052"/>
  <c r="G109" i="1052"/>
  <c r="S173" i="1052"/>
  <c r="G173" i="1052"/>
  <c r="G61" i="1052"/>
  <c r="J220" i="1052"/>
  <c r="J107" i="1052"/>
  <c r="R220" i="1052"/>
  <c r="R107" i="1052"/>
  <c r="AF80" i="1052"/>
  <c r="S185" i="1052"/>
  <c r="S184" i="1052"/>
  <c r="I185" i="1052"/>
  <c r="I184" i="1052"/>
  <c r="G185" i="1052"/>
  <c r="G184" i="1052"/>
  <c r="H184" i="1052"/>
  <c r="H185" i="1052"/>
  <c r="K220" i="1052"/>
  <c r="K107" i="1052"/>
  <c r="AF81" i="1052"/>
  <c r="AF82" i="1052"/>
  <c r="K216" i="1052" a="1"/>
  <c r="K216" i="1052" s="1"/>
  <c r="G91" i="1052"/>
  <c r="O220" i="1052"/>
  <c r="O107" i="1052"/>
  <c r="AF72" i="1052"/>
  <c r="H220" i="1052"/>
  <c r="H107" i="1052"/>
  <c r="AF107" i="1052" s="1"/>
  <c r="P220" i="1052"/>
  <c r="P107" i="1052"/>
  <c r="I220" i="1052"/>
  <c r="I107" i="1052"/>
  <c r="Q220" i="1052"/>
  <c r="Q107" i="1052"/>
  <c r="G216" i="1052" a="1"/>
  <c r="G216" i="1052" s="1"/>
  <c r="G104" i="1052"/>
  <c r="H216" i="1052" a="1"/>
  <c r="H216" i="1052" s="1"/>
  <c r="H104" i="1052"/>
  <c r="G197" i="1052"/>
  <c r="G196" i="1052"/>
  <c r="G198" i="1052"/>
  <c r="Y105" i="1050"/>
  <c r="Y124" i="1050"/>
  <c r="V11" i="1050"/>
  <c r="V10" i="1050" s="1"/>
  <c r="J11" i="1050"/>
  <c r="T123" i="1050"/>
  <c r="T130" i="1050"/>
  <c r="T164" i="1050" s="1"/>
  <c r="T125" i="1050"/>
  <c r="T53" i="1050"/>
  <c r="T129" i="1050"/>
  <c r="T163" i="1050" s="1"/>
  <c r="T69" i="1050"/>
  <c r="T67" i="1050"/>
  <c r="T54" i="1050"/>
  <c r="T71" i="1050" s="1"/>
  <c r="D168" i="1050"/>
  <c r="B55" i="1050"/>
  <c r="Q195" i="1050"/>
  <c r="Q193" i="1050"/>
  <c r="Q194" i="1050"/>
  <c r="Q192" i="1050"/>
  <c r="Q77" i="1050"/>
  <c r="AD6" i="1050"/>
  <c r="R6" i="1050"/>
  <c r="W20" i="1050"/>
  <c r="K20" i="1050"/>
  <c r="X124" i="1050"/>
  <c r="X105" i="1050"/>
  <c r="X218" i="1050" s="1"/>
  <c r="T212" i="1050"/>
  <c r="T100" i="1050"/>
  <c r="K21" i="1050"/>
  <c r="W21" i="1050"/>
  <c r="AD80" i="1050"/>
  <c r="G221" i="1050"/>
  <c r="G109" i="1050"/>
  <c r="V220" i="1050"/>
  <c r="V107" i="1050"/>
  <c r="P228" i="1050"/>
  <c r="AC29" i="1050"/>
  <c r="AC228" i="1050" s="1"/>
  <c r="J17" i="1050"/>
  <c r="W220" i="1050"/>
  <c r="W107" i="1050"/>
  <c r="G205" i="1050"/>
  <c r="G93" i="1050"/>
  <c r="O24" i="1050"/>
  <c r="AB24" i="1050" s="1"/>
  <c r="W194" i="1050"/>
  <c r="W80" i="1050"/>
  <c r="G209" i="1050"/>
  <c r="G97" i="1050"/>
  <c r="T104" i="1050"/>
  <c r="O105" i="1050"/>
  <c r="O218" i="1050" s="1"/>
  <c r="O124" i="1050"/>
  <c r="I8" i="1050"/>
  <c r="T204" i="1050"/>
  <c r="T92" i="1050"/>
  <c r="T171" i="1050"/>
  <c r="T57" i="1050"/>
  <c r="T172" i="1050"/>
  <c r="T58" i="1050"/>
  <c r="U16" i="1050"/>
  <c r="Z220" i="1050"/>
  <c r="Z107" i="1050"/>
  <c r="U189" i="1050"/>
  <c r="U75" i="1050"/>
  <c r="AB191" i="1050"/>
  <c r="AB85" i="1050"/>
  <c r="J49" i="1050"/>
  <c r="H61" i="1050"/>
  <c r="U68" i="1050"/>
  <c r="AC220" i="1050"/>
  <c r="AC107" i="1050"/>
  <c r="AF74" i="1050"/>
  <c r="T217" i="1050"/>
  <c r="T139" i="1050"/>
  <c r="T179" i="1050"/>
  <c r="T132" i="1050"/>
  <c r="T168" i="1050"/>
  <c r="T169" i="1050"/>
  <c r="T134" i="1050"/>
  <c r="T133" i="1050"/>
  <c r="T167" i="1050"/>
  <c r="T131" i="1050"/>
  <c r="T65" i="1050"/>
  <c r="AB124" i="1050"/>
  <c r="AB105" i="1050"/>
  <c r="AB218" i="1050" s="1"/>
  <c r="X81" i="1050"/>
  <c r="Q29" i="1050"/>
  <c r="J220" i="1050"/>
  <c r="J107" i="1050"/>
  <c r="H221" i="1050"/>
  <c r="H109" i="1050"/>
  <c r="I12" i="1050"/>
  <c r="I13" i="1050"/>
  <c r="I15" i="1050"/>
  <c r="Z78" i="1050"/>
  <c r="U64" i="1050"/>
  <c r="T220" i="1050"/>
  <c r="T107" i="1050"/>
  <c r="W124" i="1050"/>
  <c r="W105" i="1050"/>
  <c r="I9" i="1050"/>
  <c r="I10" i="1050"/>
  <c r="T177" i="1050"/>
  <c r="T63" i="1050"/>
  <c r="H228" i="1050"/>
  <c r="U29" i="1050"/>
  <c r="U228" i="1050" s="1"/>
  <c r="I29" i="1050"/>
  <c r="H217" i="1050"/>
  <c r="H169" i="1050"/>
  <c r="H168" i="1050"/>
  <c r="H139" i="1050"/>
  <c r="H131" i="1050"/>
  <c r="H55" i="1050" s="1"/>
  <c r="H179" i="1050"/>
  <c r="H133" i="1050"/>
  <c r="H132" i="1050"/>
  <c r="H167" i="1050"/>
  <c r="H134" i="1050"/>
  <c r="H236" i="1050"/>
  <c r="H124" i="1050"/>
  <c r="H105" i="1050"/>
  <c r="H218" i="1050" s="1"/>
  <c r="P124" i="1050"/>
  <c r="P105" i="1050"/>
  <c r="P218" i="1050" s="1"/>
  <c r="H181" i="1050"/>
  <c r="H193" i="1050"/>
  <c r="H195" i="1050"/>
  <c r="H194" i="1050"/>
  <c r="H192" i="1050"/>
  <c r="H165" i="1050"/>
  <c r="H180" i="1050"/>
  <c r="H166" i="1050"/>
  <c r="H77" i="1050"/>
  <c r="T109" i="1050"/>
  <c r="U11" i="1050"/>
  <c r="U10" i="1050" s="1"/>
  <c r="U14" i="1050"/>
  <c r="U15" i="1050"/>
  <c r="J19" i="1050"/>
  <c r="T176" i="1050"/>
  <c r="T62" i="1050"/>
  <c r="V20" i="1050"/>
  <c r="AA220" i="1050"/>
  <c r="Z188" i="1050"/>
  <c r="Z74" i="1050"/>
  <c r="V189" i="1050"/>
  <c r="V75" i="1050"/>
  <c r="AD189" i="1050"/>
  <c r="AD75" i="1050"/>
  <c r="AA87" i="1050"/>
  <c r="AA199" i="1050" s="1"/>
  <c r="J50" i="1050"/>
  <c r="G202" i="1050"/>
  <c r="G142" i="1050"/>
  <c r="G143" i="1050" s="1"/>
  <c r="G90" i="1050"/>
  <c r="V68" i="1050"/>
  <c r="AF73" i="1050"/>
  <c r="T77" i="1050"/>
  <c r="K124" i="1050"/>
  <c r="K105" i="1050"/>
  <c r="K218" i="1050" s="1"/>
  <c r="L192" i="1050"/>
  <c r="L195" i="1050"/>
  <c r="L194" i="1050"/>
  <c r="L193" i="1050"/>
  <c r="L77" i="1050"/>
  <c r="AD220" i="1050"/>
  <c r="AD107" i="1050"/>
  <c r="G215" i="1050"/>
  <c r="G103" i="1050"/>
  <c r="AE220" i="1050"/>
  <c r="AE107" i="1050"/>
  <c r="R220" i="1050"/>
  <c r="R107" i="1050"/>
  <c r="M105" i="1050"/>
  <c r="M218" i="1050" s="1"/>
  <c r="V124" i="1050"/>
  <c r="V105" i="1050"/>
  <c r="V218" i="1050" s="1"/>
  <c r="AD105" i="1050"/>
  <c r="AD218" i="1050" s="1"/>
  <c r="AD124" i="1050"/>
  <c r="W23" i="1050"/>
  <c r="X220" i="1050"/>
  <c r="X107" i="1050"/>
  <c r="H57" i="1050"/>
  <c r="K220" i="1050"/>
  <c r="K107" i="1050"/>
  <c r="N124" i="1050"/>
  <c r="P193" i="1050"/>
  <c r="P194" i="1050"/>
  <c r="P192" i="1050"/>
  <c r="P195" i="1050"/>
  <c r="P77" i="1050"/>
  <c r="V21" i="1050"/>
  <c r="Y220" i="1050"/>
  <c r="Y107" i="1050"/>
  <c r="AA191" i="1050"/>
  <c r="AA85" i="1050"/>
  <c r="V104" i="1050"/>
  <c r="I4" i="1050"/>
  <c r="I105" i="1050"/>
  <c r="I218" i="1050" s="1"/>
  <c r="I124" i="1050"/>
  <c r="Q105" i="1050"/>
  <c r="Q218" i="1050" s="1"/>
  <c r="Q124" i="1050"/>
  <c r="Z5" i="1050"/>
  <c r="I6" i="1050"/>
  <c r="T165" i="1050"/>
  <c r="T181" i="1050"/>
  <c r="T180" i="1050"/>
  <c r="T166" i="1050"/>
  <c r="T66" i="1050"/>
  <c r="U9" i="1050"/>
  <c r="U88" i="1050" s="1"/>
  <c r="U109" i="1050" s="1"/>
  <c r="J22" i="1050"/>
  <c r="AA188" i="1050"/>
  <c r="AA74" i="1050"/>
  <c r="W189" i="1050"/>
  <c r="W75" i="1050"/>
  <c r="AE189" i="1050"/>
  <c r="AE75" i="1050"/>
  <c r="U83" i="1050"/>
  <c r="AC83" i="1050"/>
  <c r="T216" i="1050"/>
  <c r="AB87" i="1050"/>
  <c r="AB199" i="1050" s="1"/>
  <c r="Y218" i="1050"/>
  <c r="W51" i="1050"/>
  <c r="K51" i="1050"/>
  <c r="G211" i="1050"/>
  <c r="G99" i="1050"/>
  <c r="AF72" i="1050"/>
  <c r="AB77" i="1050"/>
  <c r="T236" i="1050"/>
  <c r="T124" i="1050"/>
  <c r="G149" i="1050" s="1"/>
  <c r="T105" i="1050"/>
  <c r="T218" i="1050" s="1"/>
  <c r="AA82" i="1050"/>
  <c r="U134" i="1050"/>
  <c r="U168" i="1050"/>
  <c r="U139" i="1050"/>
  <c r="U132" i="1050"/>
  <c r="U133" i="1050"/>
  <c r="U65" i="1050"/>
  <c r="L124" i="1050"/>
  <c r="L105" i="1050"/>
  <c r="L218" i="1050" s="1"/>
  <c r="U105" i="1050"/>
  <c r="U218" i="1050" s="1"/>
  <c r="U124" i="1050"/>
  <c r="H149" i="1050" s="1"/>
  <c r="AC124" i="1050"/>
  <c r="AC105" i="1050"/>
  <c r="AC218" i="1050" s="1"/>
  <c r="M6" i="1050"/>
  <c r="T174" i="1050"/>
  <c r="T60" i="1050"/>
  <c r="T178" i="1050"/>
  <c r="Y195" i="1050"/>
  <c r="Y78" i="1050"/>
  <c r="T207" i="1050"/>
  <c r="T95" i="1050"/>
  <c r="H129" i="1050"/>
  <c r="H163" i="1050" s="1"/>
  <c r="H123" i="1050"/>
  <c r="H125" i="1050"/>
  <c r="I14" i="1050"/>
  <c r="I16" i="1050"/>
  <c r="I177" i="1050"/>
  <c r="K23" i="1050"/>
  <c r="V184" i="1050"/>
  <c r="V185" i="1050"/>
  <c r="AD194" i="1050"/>
  <c r="AE105" i="1050"/>
  <c r="AE218" i="1050" s="1"/>
  <c r="AE124" i="1050"/>
  <c r="H108" i="1050"/>
  <c r="H69" i="1050"/>
  <c r="H62" i="1050"/>
  <c r="H58" i="1050"/>
  <c r="H67" i="1050"/>
  <c r="H64" i="1050"/>
  <c r="H59" i="1050"/>
  <c r="H54" i="1050"/>
  <c r="H68" i="1050"/>
  <c r="H184" i="1050" s="1"/>
  <c r="H66" i="1050"/>
  <c r="H60" i="1050"/>
  <c r="H56" i="1050"/>
  <c r="H63" i="1050"/>
  <c r="H53" i="1050"/>
  <c r="AB220" i="1050"/>
  <c r="AB107" i="1050"/>
  <c r="J236" i="1050"/>
  <c r="J124" i="1050"/>
  <c r="J105" i="1050"/>
  <c r="J218" i="1050" s="1"/>
  <c r="R124" i="1050"/>
  <c r="R105" i="1050"/>
  <c r="R218" i="1050" s="1"/>
  <c r="AA5" i="1050"/>
  <c r="K194" i="1050"/>
  <c r="K193" i="1050"/>
  <c r="K192" i="1050"/>
  <c r="K195" i="1050"/>
  <c r="K77" i="1050"/>
  <c r="U6" i="1050"/>
  <c r="U56" i="1050" s="1"/>
  <c r="AC6" i="1050"/>
  <c r="U8" i="1050"/>
  <c r="J18" i="1050"/>
  <c r="T175" i="1050"/>
  <c r="T61" i="1050"/>
  <c r="V19" i="1050"/>
  <c r="T182" i="1050"/>
  <c r="T68" i="1050"/>
  <c r="U220" i="1050"/>
  <c r="U107" i="1050"/>
  <c r="O228" i="1050"/>
  <c r="AB29" i="1050"/>
  <c r="AB228" i="1050" s="1"/>
  <c r="P30" i="1050"/>
  <c r="W81" i="1050"/>
  <c r="AE81" i="1050"/>
  <c r="Z82" i="1050"/>
  <c r="W162" i="1050"/>
  <c r="G174" i="1050"/>
  <c r="S174" i="1050"/>
  <c r="G60" i="1050"/>
  <c r="H65" i="1050"/>
  <c r="S185" i="1050"/>
  <c r="H185" i="1050"/>
  <c r="G185" i="1050"/>
  <c r="G184" i="1050"/>
  <c r="S184" i="1050"/>
  <c r="AF80" i="1050"/>
  <c r="AF81" i="1050"/>
  <c r="AF82" i="1050"/>
  <c r="AF83" i="1050"/>
  <c r="T87" i="1050"/>
  <c r="T199" i="1050" s="1"/>
  <c r="X194" i="1050"/>
  <c r="Y81" i="1050"/>
  <c r="T197" i="1050"/>
  <c r="U216" i="1050"/>
  <c r="U87" i="1050"/>
  <c r="U199" i="1050" s="1"/>
  <c r="AC87" i="1050"/>
  <c r="G204" i="1050"/>
  <c r="G92" i="1050"/>
  <c r="G173" i="1050"/>
  <c r="S173" i="1050"/>
  <c r="G213" i="1050"/>
  <c r="G101" i="1050"/>
  <c r="V74" i="1050"/>
  <c r="AE74" i="1050"/>
  <c r="U77" i="1050"/>
  <c r="AD77" i="1050"/>
  <c r="W83" i="1050"/>
  <c r="V85" i="1050"/>
  <c r="U188" i="1050"/>
  <c r="U74" i="1050"/>
  <c r="AC188" i="1050"/>
  <c r="AC74" i="1050"/>
  <c r="Y194" i="1050"/>
  <c r="T195" i="1050"/>
  <c r="AB195" i="1050"/>
  <c r="V216" i="1050"/>
  <c r="V87" i="1050"/>
  <c r="V199" i="1050" s="1"/>
  <c r="AD87" i="1050"/>
  <c r="AD199" i="1050" s="1"/>
  <c r="G71" i="1050"/>
  <c r="M220" i="1050"/>
  <c r="M107" i="1050"/>
  <c r="W74" i="1050"/>
  <c r="X80" i="1050"/>
  <c r="X83" i="1050"/>
  <c r="G91" i="1050"/>
  <c r="W191" i="1050"/>
  <c r="W77" i="1050"/>
  <c r="AE191" i="1050"/>
  <c r="U195" i="1050"/>
  <c r="U78" i="1050"/>
  <c r="AC195" i="1050"/>
  <c r="AC78" i="1050"/>
  <c r="S172" i="1050"/>
  <c r="G172" i="1050"/>
  <c r="G59" i="1050"/>
  <c r="G176" i="1050"/>
  <c r="S176" i="1050"/>
  <c r="G212" i="1050"/>
  <c r="G100" i="1050"/>
  <c r="N220" i="1050"/>
  <c r="N107" i="1050"/>
  <c r="X74" i="1050"/>
  <c r="Y80" i="1050"/>
  <c r="Y83" i="1050"/>
  <c r="G216" i="1050" a="1"/>
  <c r="G216" i="1050" s="1"/>
  <c r="G104" i="1050"/>
  <c r="Y85" i="1050"/>
  <c r="L107" i="1050"/>
  <c r="J30" i="1050"/>
  <c r="X191" i="1050"/>
  <c r="X85" i="1050"/>
  <c r="AD195" i="1050"/>
  <c r="T196" i="1050"/>
  <c r="W82" i="1050"/>
  <c r="AE82" i="1050"/>
  <c r="X87" i="1050"/>
  <c r="X199" i="1050" s="1"/>
  <c r="H140" i="1050"/>
  <c r="G214" i="1050"/>
  <c r="G102" i="1050"/>
  <c r="G220" i="1050"/>
  <c r="G107" i="1050"/>
  <c r="O220" i="1050"/>
  <c r="O107" i="1050"/>
  <c r="Y74" i="1050"/>
  <c r="X75" i="1050"/>
  <c r="Y77" i="1050"/>
  <c r="Z81" i="1050"/>
  <c r="Z83" i="1050"/>
  <c r="H216" i="1050" a="1"/>
  <c r="H216" i="1050" s="1"/>
  <c r="H104" i="1050"/>
  <c r="H174" i="1050"/>
  <c r="H175" i="1050"/>
  <c r="H176" i="1050"/>
  <c r="H177" i="1050"/>
  <c r="H178" i="1050"/>
  <c r="AA189" i="1050"/>
  <c r="AA75" i="1050"/>
  <c r="T194" i="1050"/>
  <c r="AB194" i="1050"/>
  <c r="W195" i="1050"/>
  <c r="W218" i="1050"/>
  <c r="Z162" i="1050"/>
  <c r="Q162" i="1050"/>
  <c r="I162" i="1050"/>
  <c r="G171" i="1050"/>
  <c r="Y162" i="1050"/>
  <c r="O162" i="1050"/>
  <c r="X162" i="1050"/>
  <c r="N162" i="1050"/>
  <c r="AD162" i="1050"/>
  <c r="U162" i="1050"/>
  <c r="K162" i="1050"/>
  <c r="AA162" i="1050"/>
  <c r="J162" i="1050"/>
  <c r="V162" i="1050"/>
  <c r="R162" i="1050"/>
  <c r="P162" i="1050"/>
  <c r="M162" i="1050"/>
  <c r="S171" i="1050"/>
  <c r="L162" i="1050"/>
  <c r="AE162" i="1050"/>
  <c r="H162" i="1050"/>
  <c r="AC162" i="1050"/>
  <c r="AB162" i="1050"/>
  <c r="G58" i="1050"/>
  <c r="G175" i="1050"/>
  <c r="S175" i="1050"/>
  <c r="G62" i="1050"/>
  <c r="H220" i="1050"/>
  <c r="H107" i="1050"/>
  <c r="Y75" i="1050"/>
  <c r="AB80" i="1050"/>
  <c r="AA81" i="1050"/>
  <c r="AA83" i="1050"/>
  <c r="I104" i="1050"/>
  <c r="T185" i="1050"/>
  <c r="T184" i="1050"/>
  <c r="Z191" i="1050"/>
  <c r="Z85" i="1050"/>
  <c r="U194" i="1050"/>
  <c r="AC194" i="1050"/>
  <c r="X195" i="1050"/>
  <c r="T198" i="1050"/>
  <c r="I220" i="1050"/>
  <c r="I107" i="1050"/>
  <c r="Q220" i="1050"/>
  <c r="Q107" i="1050"/>
  <c r="Z75" i="1050"/>
  <c r="AA78" i="1050"/>
  <c r="T80" i="1050"/>
  <c r="AC80" i="1050"/>
  <c r="AB81" i="1050"/>
  <c r="AB82" i="1050"/>
  <c r="AB83" i="1050"/>
  <c r="J104" i="1050"/>
  <c r="AC85" i="1050"/>
  <c r="AE87" i="1050"/>
  <c r="AE199" i="1050" s="1"/>
  <c r="G197" i="1050"/>
  <c r="G196" i="1050"/>
  <c r="G198" i="1050"/>
  <c r="P107" i="1050"/>
  <c r="D220" i="1050"/>
  <c r="B108" i="1050"/>
  <c r="AF87" i="1050"/>
  <c r="B112" i="1050"/>
  <c r="I211" i="1063" l="1"/>
  <c r="I99" i="1063"/>
  <c r="H91" i="1058"/>
  <c r="H203" i="1058"/>
  <c r="H203" i="1059"/>
  <c r="H91" i="1059"/>
  <c r="G219" i="1062"/>
  <c r="G106" i="1062"/>
  <c r="T219" i="1060"/>
  <c r="T106" i="1060"/>
  <c r="V211" i="1057"/>
  <c r="V99" i="1057"/>
  <c r="I205" i="1063"/>
  <c r="I93" i="1063"/>
  <c r="H141" i="1061"/>
  <c r="I203" i="1059"/>
  <c r="I91" i="1059"/>
  <c r="I211" i="1058"/>
  <c r="I99" i="1058"/>
  <c r="W141" i="1057"/>
  <c r="H141" i="1064"/>
  <c r="H141" i="1059"/>
  <c r="U214" i="1064"/>
  <c r="U102" i="1064"/>
  <c r="T120" i="1062"/>
  <c r="T119" i="1062"/>
  <c r="H91" i="1061"/>
  <c r="H203" i="1061"/>
  <c r="I207" i="1058"/>
  <c r="I95" i="1058"/>
  <c r="H141" i="1058"/>
  <c r="G219" i="1061"/>
  <c r="G106" i="1061"/>
  <c r="G219" i="1064"/>
  <c r="G106" i="1064"/>
  <c r="G117" i="1064"/>
  <c r="U208" i="1060"/>
  <c r="U96" i="1060"/>
  <c r="G141" i="1057"/>
  <c r="H141" i="1063"/>
  <c r="U173" i="1064"/>
  <c r="U59" i="1064"/>
  <c r="U216" i="1064"/>
  <c r="T197" i="1064"/>
  <c r="U178" i="1064"/>
  <c r="U64" i="1064"/>
  <c r="I171" i="1064"/>
  <c r="V14" i="1064"/>
  <c r="J14" i="1064"/>
  <c r="U182" i="1064"/>
  <c r="U68" i="1064"/>
  <c r="I173" i="1064"/>
  <c r="V16" i="1064"/>
  <c r="J16" i="1064"/>
  <c r="H214" i="1064"/>
  <c r="H102" i="1064"/>
  <c r="U65" i="1064"/>
  <c r="U168" i="1064"/>
  <c r="Q30" i="1064"/>
  <c r="AC30" i="1064"/>
  <c r="U175" i="1064"/>
  <c r="U61" i="1064"/>
  <c r="L195" i="1064"/>
  <c r="L193" i="1064"/>
  <c r="L194" i="1064"/>
  <c r="L192" i="1064"/>
  <c r="L77" i="1064"/>
  <c r="M6" i="1064"/>
  <c r="Y6" i="1064"/>
  <c r="W30" i="1064"/>
  <c r="K30" i="1064"/>
  <c r="X30" i="1064" s="1"/>
  <c r="I185" i="1063"/>
  <c r="G205" i="1063"/>
  <c r="G93" i="1063"/>
  <c r="G117" i="1063"/>
  <c r="H207" i="1063"/>
  <c r="H95" i="1063"/>
  <c r="U195" i="1063"/>
  <c r="H206" i="1063"/>
  <c r="H94" i="1063"/>
  <c r="V22" i="1063"/>
  <c r="J22" i="1063"/>
  <c r="I66" i="1063"/>
  <c r="I140" i="1063" s="1"/>
  <c r="U182" i="1063"/>
  <c r="U68" i="1063"/>
  <c r="U59" i="1063"/>
  <c r="U173" i="1063"/>
  <c r="V50" i="1063"/>
  <c r="J50" i="1063"/>
  <c r="AC80" i="1063"/>
  <c r="U177" i="1063"/>
  <c r="U63" i="1063"/>
  <c r="Z105" i="1063"/>
  <c r="Z218" i="1063" s="1"/>
  <c r="Z124" i="1063"/>
  <c r="U176" i="1063"/>
  <c r="U62" i="1063"/>
  <c r="U194" i="1062"/>
  <c r="L21" i="1062"/>
  <c r="X21" i="1062"/>
  <c r="W107" i="1062"/>
  <c r="T212" i="1062"/>
  <c r="T100" i="1062"/>
  <c r="I174" i="1062"/>
  <c r="J17" i="1062"/>
  <c r="V17" i="1062"/>
  <c r="AF105" i="1062"/>
  <c r="U171" i="1062"/>
  <c r="X51" i="1062"/>
  <c r="L51" i="1062"/>
  <c r="G140" i="1061"/>
  <c r="G117" i="1061"/>
  <c r="V212" i="1061"/>
  <c r="V100" i="1061"/>
  <c r="H214" i="1061"/>
  <c r="H102" i="1061"/>
  <c r="X80" i="1061"/>
  <c r="T206" i="1061"/>
  <c r="T94" i="1061"/>
  <c r="U208" i="1061"/>
  <c r="U96" i="1061"/>
  <c r="X13" i="1060"/>
  <c r="X56" i="1060" s="1"/>
  <c r="L13" i="1060"/>
  <c r="I101" i="1060"/>
  <c r="I213" i="1060"/>
  <c r="Y195" i="1060"/>
  <c r="L23" i="1061"/>
  <c r="K182" i="1061"/>
  <c r="X23" i="1061"/>
  <c r="I196" i="1061"/>
  <c r="I198" i="1061"/>
  <c r="I197" i="1061"/>
  <c r="T210" i="1060"/>
  <c r="T98" i="1060"/>
  <c r="H111" i="1060"/>
  <c r="H121" i="1060"/>
  <c r="AC77" i="1061"/>
  <c r="U206" i="1060"/>
  <c r="U94" i="1060"/>
  <c r="W130" i="1061"/>
  <c r="W164" i="1061" s="1"/>
  <c r="W125" i="1061"/>
  <c r="W129" i="1061"/>
  <c r="W163" i="1061" s="1"/>
  <c r="W123" i="1061"/>
  <c r="W69" i="1061"/>
  <c r="W53" i="1061"/>
  <c r="W67" i="1061"/>
  <c r="W54" i="1061"/>
  <c r="L19" i="1061"/>
  <c r="X19" i="1061"/>
  <c r="J19" i="1060"/>
  <c r="I176" i="1060"/>
  <c r="V19" i="1060"/>
  <c r="B56" i="1062"/>
  <c r="D169" i="1062"/>
  <c r="X195" i="1061"/>
  <c r="T213" i="1061"/>
  <c r="T101" i="1061"/>
  <c r="Y51" i="1060"/>
  <c r="M51" i="1060"/>
  <c r="T207" i="1059"/>
  <c r="T95" i="1059"/>
  <c r="H204" i="1060"/>
  <c r="H92" i="1060"/>
  <c r="U177" i="1059"/>
  <c r="U63" i="1059"/>
  <c r="Z105" i="1059"/>
  <c r="Z218" i="1059" s="1"/>
  <c r="Z124" i="1059"/>
  <c r="V130" i="1059"/>
  <c r="V164" i="1059" s="1"/>
  <c r="V125" i="1059"/>
  <c r="V129" i="1059"/>
  <c r="V163" i="1059" s="1"/>
  <c r="V123" i="1059"/>
  <c r="V53" i="1059"/>
  <c r="V54" i="1059"/>
  <c r="V69" i="1059"/>
  <c r="B113" i="1058"/>
  <c r="B114" i="1058" s="1"/>
  <c r="D224" i="1058"/>
  <c r="U121" i="1059"/>
  <c r="U111" i="1059"/>
  <c r="U179" i="1059"/>
  <c r="V14" i="1059"/>
  <c r="I171" i="1059"/>
  <c r="J14" i="1059"/>
  <c r="U175" i="1059"/>
  <c r="G210" i="1059"/>
  <c r="G98" i="1059"/>
  <c r="W50" i="1059"/>
  <c r="K50" i="1059"/>
  <c r="U174" i="1059"/>
  <c r="U60" i="1059"/>
  <c r="AF105" i="1059"/>
  <c r="H198" i="1058"/>
  <c r="H196" i="1058"/>
  <c r="H197" i="1058"/>
  <c r="AA24" i="1059"/>
  <c r="O24" i="1059"/>
  <c r="AB24" i="1059" s="1"/>
  <c r="T206" i="1058"/>
  <c r="T94" i="1058"/>
  <c r="K88" i="1058" a="1"/>
  <c r="K88" i="1058" s="1"/>
  <c r="X9" i="1058"/>
  <c r="X88" i="1058" s="1"/>
  <c r="X109" i="1058" s="1"/>
  <c r="L9" i="1058"/>
  <c r="H209" i="1058"/>
  <c r="H97" i="1058"/>
  <c r="I198" i="1058"/>
  <c r="I197" i="1058"/>
  <c r="I196" i="1058"/>
  <c r="H94" i="1058"/>
  <c r="H206" i="1058"/>
  <c r="Z24" i="1058"/>
  <c r="N24" i="1058"/>
  <c r="J53" i="1058"/>
  <c r="J69" i="1058"/>
  <c r="J66" i="1058"/>
  <c r="J65" i="1058"/>
  <c r="J67" i="1058"/>
  <c r="J54" i="1058"/>
  <c r="W8" i="1058"/>
  <c r="K8" i="1058"/>
  <c r="U130" i="1058"/>
  <c r="U164" i="1058" s="1"/>
  <c r="U129" i="1058"/>
  <c r="U163" i="1058" s="1"/>
  <c r="U54" i="1058"/>
  <c r="U123" i="1058"/>
  <c r="U125" i="1058"/>
  <c r="U53" i="1058"/>
  <c r="U69" i="1058"/>
  <c r="K181" i="1058"/>
  <c r="H149" i="1058"/>
  <c r="U166" i="1058"/>
  <c r="R30" i="1058"/>
  <c r="AE30" i="1058" s="1"/>
  <c r="AD30" i="1058"/>
  <c r="U177" i="1058"/>
  <c r="U63" i="1058"/>
  <c r="U172" i="1058"/>
  <c r="U58" i="1058"/>
  <c r="U217" i="1058"/>
  <c r="U212" i="1057"/>
  <c r="U100" i="1057"/>
  <c r="X17" i="1057"/>
  <c r="L17" i="1057"/>
  <c r="I125" i="1057"/>
  <c r="I111" i="1057"/>
  <c r="I65" i="1057"/>
  <c r="I55" i="1057"/>
  <c r="I56" i="1057"/>
  <c r="I69" i="1057"/>
  <c r="I62" i="1057"/>
  <c r="I58" i="1057"/>
  <c r="I67" i="1057"/>
  <c r="I66" i="1057"/>
  <c r="I108" i="1057"/>
  <c r="I64" i="1057"/>
  <c r="I59" i="1057"/>
  <c r="I54" i="1057"/>
  <c r="I60" i="1057"/>
  <c r="I68" i="1057"/>
  <c r="V8" i="1057"/>
  <c r="I63" i="1057"/>
  <c r="I53" i="1057"/>
  <c r="I61" i="1057"/>
  <c r="I57" i="1057"/>
  <c r="J8" i="1057"/>
  <c r="U204" i="1058"/>
  <c r="U92" i="1058"/>
  <c r="T215" i="1057"/>
  <c r="T103" i="1057"/>
  <c r="V217" i="1057"/>
  <c r="V134" i="1057"/>
  <c r="V179" i="1057"/>
  <c r="V168" i="1057"/>
  <c r="V133" i="1057"/>
  <c r="V132" i="1057"/>
  <c r="V167" i="1057"/>
  <c r="V131" i="1057"/>
  <c r="V55" i="1057" s="1"/>
  <c r="V65" i="1057"/>
  <c r="V139" i="1057"/>
  <c r="V209" i="1057"/>
  <c r="V97" i="1057"/>
  <c r="U139" i="1057"/>
  <c r="U217" i="1057"/>
  <c r="U134" i="1057"/>
  <c r="U179" i="1057"/>
  <c r="U168" i="1057"/>
  <c r="U133" i="1057"/>
  <c r="U131" i="1057"/>
  <c r="U167" i="1057"/>
  <c r="U169" i="1057"/>
  <c r="U65" i="1057"/>
  <c r="U132" i="1057"/>
  <c r="U178" i="1058"/>
  <c r="U64" i="1058"/>
  <c r="W207" i="1057"/>
  <c r="W95" i="1057"/>
  <c r="V174" i="1057"/>
  <c r="H99" i="1057"/>
  <c r="H211" i="1057"/>
  <c r="X173" i="1057"/>
  <c r="X59" i="1057"/>
  <c r="W208" i="1057"/>
  <c r="W96" i="1057"/>
  <c r="G209" i="1064"/>
  <c r="G97" i="1064"/>
  <c r="H93" i="1063"/>
  <c r="H205" i="1063"/>
  <c r="AA30" i="1063"/>
  <c r="O30" i="1063"/>
  <c r="U178" i="1063"/>
  <c r="U64" i="1063"/>
  <c r="J56" i="1063"/>
  <c r="J68" i="1063"/>
  <c r="K8" i="1063"/>
  <c r="J59" i="1063"/>
  <c r="W8" i="1063"/>
  <c r="I207" i="1063"/>
  <c r="I95" i="1063"/>
  <c r="W13" i="1063"/>
  <c r="W56" i="1063" s="1"/>
  <c r="K13" i="1063"/>
  <c r="T121" i="1063"/>
  <c r="T111" i="1063"/>
  <c r="I209" i="1063"/>
  <c r="I97" i="1063"/>
  <c r="AB105" i="1063"/>
  <c r="AB218" i="1063" s="1"/>
  <c r="AB124" i="1063"/>
  <c r="H91" i="1062"/>
  <c r="H203" i="1062"/>
  <c r="U61" i="1062"/>
  <c r="U175" i="1062"/>
  <c r="H211" i="1062"/>
  <c r="H99" i="1062"/>
  <c r="K19" i="1062"/>
  <c r="J176" i="1062"/>
  <c r="W19" i="1062"/>
  <c r="W105" i="1062"/>
  <c r="W218" i="1062" s="1"/>
  <c r="W124" i="1062"/>
  <c r="U174" i="1062"/>
  <c r="U60" i="1062"/>
  <c r="U211" i="1062"/>
  <c r="U99" i="1062"/>
  <c r="J166" i="1062"/>
  <c r="J165" i="1062"/>
  <c r="K12" i="1062"/>
  <c r="W12" i="1062"/>
  <c r="J23" i="1062"/>
  <c r="I182" i="1062"/>
  <c r="V23" i="1062"/>
  <c r="U121" i="1062"/>
  <c r="U111" i="1062"/>
  <c r="I198" i="1062"/>
  <c r="I197" i="1062"/>
  <c r="I196" i="1062"/>
  <c r="V211" i="1061"/>
  <c r="V99" i="1061"/>
  <c r="U202" i="1061"/>
  <c r="U90" i="1061"/>
  <c r="H206" i="1061"/>
  <c r="H94" i="1061"/>
  <c r="H202" i="1061"/>
  <c r="H142" i="1061"/>
  <c r="H143" i="1061" s="1"/>
  <c r="H90" i="1061"/>
  <c r="H203" i="1060"/>
  <c r="H91" i="1060"/>
  <c r="H70" i="1061"/>
  <c r="H89" i="1061" s="1"/>
  <c r="U213" i="1061"/>
  <c r="U101" i="1061"/>
  <c r="J56" i="1060"/>
  <c r="K8" i="1060"/>
  <c r="J57" i="1060"/>
  <c r="W8" i="1060"/>
  <c r="L18" i="1061"/>
  <c r="X18" i="1061"/>
  <c r="W236" i="1061"/>
  <c r="W105" i="1061"/>
  <c r="W218" i="1061" s="1"/>
  <c r="W124" i="1061"/>
  <c r="J149" i="1061" s="1"/>
  <c r="I99" i="1060"/>
  <c r="I211" i="1060"/>
  <c r="AB29" i="1060"/>
  <c r="AB228" i="1060" s="1"/>
  <c r="P29" i="1060"/>
  <c r="O228" i="1060"/>
  <c r="J171" i="1060"/>
  <c r="W14" i="1060"/>
  <c r="K14" i="1060"/>
  <c r="G141" i="1060"/>
  <c r="K10" i="1061"/>
  <c r="J129" i="1061"/>
  <c r="J163" i="1061" s="1"/>
  <c r="J123" i="1061"/>
  <c r="J181" i="1061"/>
  <c r="J130" i="1061" a="1"/>
  <c r="J130" i="1061" s="1"/>
  <c r="J164" i="1061" s="1"/>
  <c r="J125" i="1061"/>
  <c r="J180" i="1061"/>
  <c r="AF107" i="1060"/>
  <c r="T117" i="1060"/>
  <c r="H198" i="1060"/>
  <c r="H197" i="1060"/>
  <c r="H196" i="1060"/>
  <c r="L11" i="1061"/>
  <c r="K104" i="1061"/>
  <c r="X11" i="1061"/>
  <c r="X10" i="1061" s="1"/>
  <c r="X180" i="1061" s="1"/>
  <c r="H210" i="1060"/>
  <c r="H98" i="1060"/>
  <c r="W205" i="1061"/>
  <c r="W93" i="1061"/>
  <c r="W107" i="1061"/>
  <c r="T207" i="1061"/>
  <c r="T95" i="1061"/>
  <c r="L50" i="1060"/>
  <c r="X50" i="1060"/>
  <c r="T91" i="1060"/>
  <c r="T203" i="1060"/>
  <c r="J16" i="1060"/>
  <c r="I173" i="1060"/>
  <c r="V16" i="1060"/>
  <c r="I59" i="1060"/>
  <c r="J228" i="1059"/>
  <c r="K29" i="1059"/>
  <c r="W29" i="1059"/>
  <c r="W228" i="1059" s="1"/>
  <c r="H214" i="1060"/>
  <c r="H102" i="1060"/>
  <c r="I214" i="1059"/>
  <c r="I102" i="1059"/>
  <c r="I202" i="1059"/>
  <c r="I90" i="1059"/>
  <c r="I142" i="1059"/>
  <c r="H197" i="1059"/>
  <c r="H198" i="1059"/>
  <c r="H196" i="1059"/>
  <c r="I182" i="1059"/>
  <c r="V23" i="1059"/>
  <c r="J23" i="1059"/>
  <c r="V214" i="1059"/>
  <c r="V102" i="1059"/>
  <c r="U182" i="1059"/>
  <c r="U68" i="1059"/>
  <c r="T213" i="1059"/>
  <c r="T101" i="1059"/>
  <c r="G219" i="1059"/>
  <c r="G106" i="1059"/>
  <c r="T209" i="1059"/>
  <c r="T97" i="1059"/>
  <c r="G141" i="1059"/>
  <c r="W13" i="1059"/>
  <c r="W56" i="1059" s="1"/>
  <c r="K13" i="1059"/>
  <c r="H208" i="1059"/>
  <c r="H96" i="1059"/>
  <c r="T93" i="1058"/>
  <c r="T205" i="1058"/>
  <c r="H205" i="1058"/>
  <c r="H93" i="1058"/>
  <c r="N228" i="1059"/>
  <c r="AA29" i="1059"/>
  <c r="AA228" i="1059" s="1"/>
  <c r="O29" i="1059"/>
  <c r="I182" i="1058"/>
  <c r="J23" i="1058"/>
  <c r="V23" i="1058"/>
  <c r="V49" i="1059"/>
  <c r="J49" i="1059"/>
  <c r="T96" i="1058"/>
  <c r="T208" i="1058"/>
  <c r="I100" i="1058"/>
  <c r="I212" i="1058"/>
  <c r="I205" i="1058"/>
  <c r="I93" i="1058"/>
  <c r="V30" i="1058"/>
  <c r="J30" i="1058"/>
  <c r="T212" i="1058"/>
  <c r="T100" i="1058"/>
  <c r="K49" i="1058"/>
  <c r="W49" i="1058"/>
  <c r="I174" i="1058"/>
  <c r="J17" i="1058"/>
  <c r="V17" i="1058"/>
  <c r="T111" i="1058"/>
  <c r="T121" i="1058"/>
  <c r="X21" i="1057"/>
  <c r="L21" i="1057"/>
  <c r="Q192" i="1057"/>
  <c r="Q195" i="1057"/>
  <c r="Q193" i="1057"/>
  <c r="Q194" i="1057"/>
  <c r="AD6" i="1057"/>
  <c r="Q77" i="1057"/>
  <c r="R6" i="1057"/>
  <c r="H91" i="1057"/>
  <c r="H203" i="1057"/>
  <c r="V90" i="1057"/>
  <c r="V202" i="1057"/>
  <c r="V142" i="1057"/>
  <c r="V143" i="1057" s="1"/>
  <c r="H111" i="1057"/>
  <c r="H121" i="1057"/>
  <c r="U202" i="1057"/>
  <c r="U90" i="1057"/>
  <c r="W30" i="1057"/>
  <c r="K30" i="1057"/>
  <c r="X30" i="1057" s="1"/>
  <c r="J217" i="1057"/>
  <c r="U206" i="1057"/>
  <c r="U94" i="1057"/>
  <c r="W111" i="1057"/>
  <c r="W121" i="1057"/>
  <c r="V80" i="1057"/>
  <c r="V59" i="1057"/>
  <c r="U171" i="1064"/>
  <c r="U57" i="1064"/>
  <c r="H203" i="1063"/>
  <c r="H91" i="1063"/>
  <c r="T214" i="1062"/>
  <c r="T102" i="1062"/>
  <c r="T198" i="1054"/>
  <c r="T70" i="1053"/>
  <c r="D224" i="1064"/>
  <c r="B113" i="1064"/>
  <c r="B114" i="1064" s="1"/>
  <c r="G145" i="1064"/>
  <c r="I192" i="1064"/>
  <c r="I181" i="1064"/>
  <c r="I180" i="1064"/>
  <c r="I166" i="1064"/>
  <c r="I193" i="1064"/>
  <c r="I194" i="1064"/>
  <c r="I195" i="1064"/>
  <c r="I165" i="1064"/>
  <c r="I77" i="1064"/>
  <c r="V6" i="1064"/>
  <c r="I236" i="1064"/>
  <c r="L51" i="1064"/>
  <c r="X51" i="1064"/>
  <c r="G207" i="1064"/>
  <c r="G95" i="1064"/>
  <c r="T111" i="1064"/>
  <c r="T121" i="1064"/>
  <c r="U236" i="1064"/>
  <c r="V13" i="1064"/>
  <c r="V56" i="1064" s="1"/>
  <c r="J13" i="1064"/>
  <c r="I172" i="1064"/>
  <c r="V15" i="1064"/>
  <c r="J15" i="1064"/>
  <c r="V11" i="1064"/>
  <c r="V10" i="1064" s="1"/>
  <c r="J11" i="1064"/>
  <c r="H210" i="1064"/>
  <c r="H98" i="1064"/>
  <c r="U139" i="1064"/>
  <c r="T208" i="1064"/>
  <c r="T96" i="1064"/>
  <c r="AA124" i="1064"/>
  <c r="AA105" i="1064"/>
  <c r="AA218" i="1064" s="1"/>
  <c r="J181" i="1064"/>
  <c r="J180" i="1064"/>
  <c r="J123" i="1064"/>
  <c r="J130" i="1064" a="1"/>
  <c r="J130" i="1064" s="1"/>
  <c r="J164" i="1064" s="1"/>
  <c r="J129" i="1064"/>
  <c r="J163" i="1064" s="1"/>
  <c r="J125" i="1064"/>
  <c r="K10" i="1064"/>
  <c r="T55" i="1063"/>
  <c r="H71" i="1063"/>
  <c r="I228" i="1063"/>
  <c r="J29" i="1063"/>
  <c r="V29" i="1063"/>
  <c r="V228" i="1063" s="1"/>
  <c r="AD80" i="1063"/>
  <c r="H209" i="1063"/>
  <c r="H97" i="1063"/>
  <c r="I58" i="1063"/>
  <c r="J173" i="1063"/>
  <c r="W16" i="1063"/>
  <c r="K16" i="1063"/>
  <c r="V12" i="1063"/>
  <c r="J12" i="1063"/>
  <c r="G206" i="1063"/>
  <c r="G94" i="1063"/>
  <c r="U80" i="1063"/>
  <c r="I130" i="1063" a="1"/>
  <c r="I130" i="1063" s="1"/>
  <c r="I164" i="1063" s="1"/>
  <c r="I129" i="1063"/>
  <c r="I163" i="1063" s="1"/>
  <c r="I123" i="1063"/>
  <c r="J10" i="1063"/>
  <c r="I67" i="1063"/>
  <c r="T101" i="1062"/>
  <c r="T213" i="1062"/>
  <c r="T210" i="1062"/>
  <c r="T98" i="1062"/>
  <c r="T207" i="1062"/>
  <c r="T95" i="1062"/>
  <c r="J18" i="1062"/>
  <c r="I175" i="1062"/>
  <c r="V18" i="1062"/>
  <c r="I175" i="1063"/>
  <c r="V18" i="1063"/>
  <c r="J18" i="1063"/>
  <c r="G97" i="1062"/>
  <c r="G209" i="1062"/>
  <c r="Q195" i="1062"/>
  <c r="Q193" i="1062"/>
  <c r="Q192" i="1062"/>
  <c r="Q77" i="1062"/>
  <c r="Q194" i="1062"/>
  <c r="AD6" i="1062"/>
  <c r="R6" i="1062"/>
  <c r="U236" i="1062"/>
  <c r="U124" i="1062"/>
  <c r="H149" i="1062" s="1"/>
  <c r="U105" i="1062"/>
  <c r="U218" i="1062" s="1"/>
  <c r="I88" i="1063" a="1"/>
  <c r="I88" i="1063" s="1"/>
  <c r="V9" i="1063"/>
  <c r="V88" i="1063" s="1"/>
  <c r="V109" i="1063" s="1"/>
  <c r="J9" i="1063"/>
  <c r="J9" i="1062"/>
  <c r="I88" i="1062" a="1"/>
  <c r="I88" i="1062" s="1"/>
  <c r="V9" i="1062"/>
  <c r="V88" i="1062" s="1"/>
  <c r="V109" i="1062" s="1"/>
  <c r="X105" i="1062"/>
  <c r="X218" i="1062" s="1"/>
  <c r="X124" i="1062"/>
  <c r="D169" i="1063"/>
  <c r="B56" i="1063"/>
  <c r="G95" i="1062"/>
  <c r="G207" i="1062"/>
  <c r="U177" i="1062"/>
  <c r="T209" i="1062"/>
  <c r="T97" i="1062"/>
  <c r="U182" i="1062"/>
  <c r="U68" i="1062"/>
  <c r="O228" i="1062"/>
  <c r="P29" i="1062"/>
  <c r="AB29" i="1062"/>
  <c r="AB228" i="1062" s="1"/>
  <c r="T55" i="1062"/>
  <c r="T70" i="1062" s="1"/>
  <c r="AF105" i="1061"/>
  <c r="T215" i="1061"/>
  <c r="T103" i="1061"/>
  <c r="T185" i="1061"/>
  <c r="V140" i="1061"/>
  <c r="U211" i="1061"/>
  <c r="U99" i="1061"/>
  <c r="U140" i="1061"/>
  <c r="V207" i="1061"/>
  <c r="V95" i="1061"/>
  <c r="H210" i="1061"/>
  <c r="H98" i="1061"/>
  <c r="H211" i="1061"/>
  <c r="H99" i="1061"/>
  <c r="T204" i="1061"/>
  <c r="T92" i="1061"/>
  <c r="X236" i="1061"/>
  <c r="X105" i="1061"/>
  <c r="X218" i="1061" s="1"/>
  <c r="X124" i="1061"/>
  <c r="K149" i="1061" s="1"/>
  <c r="X56" i="1061"/>
  <c r="W21" i="1060"/>
  <c r="K21" i="1060"/>
  <c r="I214" i="1060"/>
  <c r="I102" i="1060"/>
  <c r="W212" i="1061"/>
  <c r="W100" i="1061"/>
  <c r="U92" i="1060"/>
  <c r="U204" i="1060"/>
  <c r="J177" i="1061"/>
  <c r="L12" i="1061"/>
  <c r="X12" i="1061"/>
  <c r="X166" i="1061" s="1"/>
  <c r="H208" i="1060"/>
  <c r="H96" i="1060"/>
  <c r="T212" i="1060"/>
  <c r="T100" i="1060"/>
  <c r="I129" i="1060"/>
  <c r="I163" i="1060" s="1"/>
  <c r="I123" i="1060"/>
  <c r="I54" i="1060"/>
  <c r="J10" i="1060"/>
  <c r="I130" i="1060" a="1"/>
  <c r="I130" i="1060" s="1"/>
  <c r="I164" i="1060" s="1"/>
  <c r="I53" i="1060"/>
  <c r="H97" i="1060"/>
  <c r="H209" i="1060"/>
  <c r="H221" i="1060"/>
  <c r="H109" i="1060"/>
  <c r="H70" i="1060"/>
  <c r="T95" i="1060"/>
  <c r="T207" i="1060"/>
  <c r="W217" i="1061"/>
  <c r="W169" i="1061"/>
  <c r="W168" i="1061"/>
  <c r="W167" i="1061"/>
  <c r="W139" i="1061"/>
  <c r="W134" i="1061"/>
  <c r="W65" i="1061"/>
  <c r="W133" i="1061"/>
  <c r="W132" i="1061"/>
  <c r="W131" i="1061"/>
  <c r="W179" i="1061"/>
  <c r="W30" i="1060"/>
  <c r="K30" i="1060"/>
  <c r="X30" i="1060" s="1"/>
  <c r="U209" i="1060"/>
  <c r="U97" i="1060"/>
  <c r="X124" i="1060"/>
  <c r="X105" i="1060"/>
  <c r="X218" i="1060" s="1"/>
  <c r="H215" i="1059"/>
  <c r="H103" i="1059"/>
  <c r="T197" i="1059"/>
  <c r="T208" i="1060"/>
  <c r="T96" i="1060"/>
  <c r="H99" i="1060"/>
  <c r="H211" i="1060"/>
  <c r="I213" i="1059"/>
  <c r="I101" i="1059"/>
  <c r="H142" i="1059"/>
  <c r="H143" i="1059" s="1"/>
  <c r="H202" i="1059"/>
  <c r="H90" i="1059"/>
  <c r="U207" i="1059"/>
  <c r="U95" i="1059"/>
  <c r="I176" i="1059"/>
  <c r="V19" i="1059"/>
  <c r="J19" i="1059"/>
  <c r="V213" i="1059"/>
  <c r="V101" i="1059"/>
  <c r="U167" i="1059"/>
  <c r="T55" i="1059"/>
  <c r="U57" i="1059"/>
  <c r="AC80" i="1059"/>
  <c r="V204" i="1059"/>
  <c r="V92" i="1059"/>
  <c r="U56" i="1059"/>
  <c r="Z77" i="1058"/>
  <c r="J111" i="1058"/>
  <c r="J121" i="1058"/>
  <c r="H121" i="1058"/>
  <c r="H111" i="1058"/>
  <c r="AF107" i="1058"/>
  <c r="H100" i="1058"/>
  <c r="H212" i="1058"/>
  <c r="I94" i="1058"/>
  <c r="I206" i="1058"/>
  <c r="I209" i="1058"/>
  <c r="I97" i="1058"/>
  <c r="I173" i="1058"/>
  <c r="J16" i="1058"/>
  <c r="V16" i="1058"/>
  <c r="J14" i="1058"/>
  <c r="J57" i="1058" s="1"/>
  <c r="I171" i="1058"/>
  <c r="V14" i="1058"/>
  <c r="U60" i="1058"/>
  <c r="U174" i="1058"/>
  <c r="J12" i="1058"/>
  <c r="J134" i="1058" s="1"/>
  <c r="V12" i="1058"/>
  <c r="AE105" i="1058"/>
  <c r="AE218" i="1058" s="1"/>
  <c r="AE124" i="1058"/>
  <c r="AD124" i="1058"/>
  <c r="AD105" i="1058"/>
  <c r="AD218" i="1058" s="1"/>
  <c r="N192" i="1058"/>
  <c r="N195" i="1058"/>
  <c r="N193" i="1058"/>
  <c r="N77" i="1058"/>
  <c r="AF77" i="1058" s="1"/>
  <c r="N194" i="1058"/>
  <c r="AA6" i="1058"/>
  <c r="U207" i="1057"/>
  <c r="U95" i="1057"/>
  <c r="W139" i="1057"/>
  <c r="W179" i="1057"/>
  <c r="W168" i="1057"/>
  <c r="W133" i="1057"/>
  <c r="W132" i="1057"/>
  <c r="W131" i="1057"/>
  <c r="W55" i="1057" s="1"/>
  <c r="W169" i="1057"/>
  <c r="W167" i="1057"/>
  <c r="W217" i="1057"/>
  <c r="W65" i="1057"/>
  <c r="W71" i="1057" s="1"/>
  <c r="W134" i="1057"/>
  <c r="U213" i="1057"/>
  <c r="U101" i="1057"/>
  <c r="H198" i="1057"/>
  <c r="H197" i="1057"/>
  <c r="H196" i="1057"/>
  <c r="B115" i="1057"/>
  <c r="D226" i="1057"/>
  <c r="J216" i="1057" a="1"/>
  <c r="J216" i="1057" s="1"/>
  <c r="T140" i="1057"/>
  <c r="H71" i="1057"/>
  <c r="K228" i="1057"/>
  <c r="X29" i="1057"/>
  <c r="X228" i="1057" s="1"/>
  <c r="J139" i="1057"/>
  <c r="I221" i="1057"/>
  <c r="I109" i="1057"/>
  <c r="I70" i="1057"/>
  <c r="H204" i="1057"/>
  <c r="H92" i="1057"/>
  <c r="Y11" i="1057"/>
  <c r="Y10" i="1057" s="1"/>
  <c r="L104" i="1057"/>
  <c r="M11" i="1057"/>
  <c r="Y13" i="1057"/>
  <c r="M13" i="1057"/>
  <c r="K88" i="1057" a="1"/>
  <c r="K88" i="1057" s="1"/>
  <c r="X9" i="1057"/>
  <c r="X88" i="1057" s="1"/>
  <c r="X109" i="1057" s="1"/>
  <c r="L9" i="1057"/>
  <c r="H203" i="1064"/>
  <c r="H91" i="1064"/>
  <c r="Z124" i="1064"/>
  <c r="Z105" i="1064"/>
  <c r="Z218" i="1064" s="1"/>
  <c r="I217" i="1064"/>
  <c r="I167" i="1064"/>
  <c r="I139" i="1064"/>
  <c r="I131" i="1064"/>
  <c r="I168" i="1064"/>
  <c r="I132" i="1064"/>
  <c r="I179" i="1064"/>
  <c r="I169" i="1064"/>
  <c r="I134" i="1064"/>
  <c r="I133" i="1064"/>
  <c r="V4" i="1064"/>
  <c r="J4" i="1064"/>
  <c r="I177" i="1064"/>
  <c r="V20" i="1064"/>
  <c r="J20" i="1064"/>
  <c r="Y124" i="1064"/>
  <c r="Y105" i="1064"/>
  <c r="Y218" i="1064" s="1"/>
  <c r="U204" i="1064"/>
  <c r="U92" i="1064"/>
  <c r="Y107" i="1064"/>
  <c r="U172" i="1064"/>
  <c r="U58" i="1064"/>
  <c r="U129" i="1064"/>
  <c r="U163" i="1064" s="1"/>
  <c r="U123" i="1064"/>
  <c r="U125" i="1064"/>
  <c r="U130" i="1064"/>
  <c r="U164" i="1064" s="1"/>
  <c r="U69" i="1064"/>
  <c r="U54" i="1064"/>
  <c r="U53" i="1064"/>
  <c r="U66" i="1064"/>
  <c r="H202" i="1064"/>
  <c r="H142" i="1064"/>
  <c r="H143" i="1064" s="1"/>
  <c r="H90" i="1064"/>
  <c r="H211" i="1064"/>
  <c r="H99" i="1064"/>
  <c r="U167" i="1064"/>
  <c r="T196" i="1064"/>
  <c r="D169" i="1064"/>
  <c r="B56" i="1064"/>
  <c r="H202" i="1063"/>
  <c r="H142" i="1063"/>
  <c r="H143" i="1063" s="1"/>
  <c r="H90" i="1063"/>
  <c r="H204" i="1063"/>
  <c r="H92" i="1063"/>
  <c r="T214" i="1063"/>
  <c r="T102" i="1063"/>
  <c r="T206" i="1063"/>
  <c r="T94" i="1063"/>
  <c r="AC77" i="1063"/>
  <c r="T208" i="1063"/>
  <c r="T96" i="1063"/>
  <c r="I212" i="1063"/>
  <c r="I100" i="1063"/>
  <c r="I210" i="1063"/>
  <c r="I98" i="1063"/>
  <c r="U236" i="1063"/>
  <c r="AF105" i="1063"/>
  <c r="J182" i="1063"/>
  <c r="W23" i="1063"/>
  <c r="K23" i="1063"/>
  <c r="U167" i="1063"/>
  <c r="U139" i="1063"/>
  <c r="R192" i="1063"/>
  <c r="R193" i="1063"/>
  <c r="R194" i="1063"/>
  <c r="R195" i="1063"/>
  <c r="R77" i="1063"/>
  <c r="AE6" i="1063"/>
  <c r="I177" i="1063"/>
  <c r="V20" i="1063"/>
  <c r="J20" i="1063"/>
  <c r="J63" i="1063" s="1"/>
  <c r="U194" i="1063"/>
  <c r="H197" i="1063"/>
  <c r="H196" i="1063"/>
  <c r="H198" i="1063"/>
  <c r="J51" i="1063"/>
  <c r="V51" i="1063"/>
  <c r="I176" i="1063"/>
  <c r="V19" i="1063"/>
  <c r="J19" i="1063"/>
  <c r="H213" i="1062"/>
  <c r="H101" i="1062"/>
  <c r="I65" i="1062"/>
  <c r="I69" i="1062"/>
  <c r="I62" i="1062"/>
  <c r="I58" i="1062"/>
  <c r="I111" i="1062"/>
  <c r="I67" i="1062"/>
  <c r="I56" i="1062"/>
  <c r="I68" i="1062"/>
  <c r="I64" i="1062"/>
  <c r="I61" i="1062"/>
  <c r="I59" i="1062"/>
  <c r="I54" i="1062"/>
  <c r="I63" i="1062"/>
  <c r="I57" i="1062"/>
  <c r="I53" i="1062"/>
  <c r="V8" i="1062"/>
  <c r="I66" i="1062"/>
  <c r="J8" i="1062"/>
  <c r="I108" i="1062"/>
  <c r="I125" i="1062"/>
  <c r="I60" i="1062"/>
  <c r="U56" i="1062"/>
  <c r="J11" i="1062"/>
  <c r="V11" i="1062"/>
  <c r="V10" i="1062" s="1"/>
  <c r="T206" i="1062"/>
  <c r="T94" i="1062"/>
  <c r="U175" i="1063"/>
  <c r="U61" i="1063"/>
  <c r="X49" i="1062"/>
  <c r="L49" i="1062"/>
  <c r="J15" i="1062"/>
  <c r="I172" i="1062"/>
  <c r="V15" i="1062"/>
  <c r="U59" i="1062"/>
  <c r="V134" i="1062"/>
  <c r="V132" i="1062"/>
  <c r="V133" i="1062"/>
  <c r="V168" i="1062"/>
  <c r="X50" i="1062"/>
  <c r="L50" i="1062"/>
  <c r="H142" i="1062"/>
  <c r="H143" i="1062" s="1"/>
  <c r="H90" i="1062"/>
  <c r="H202" i="1062"/>
  <c r="AD30" i="1062"/>
  <c r="R30" i="1062"/>
  <c r="AE30" i="1062" s="1"/>
  <c r="T208" i="1061"/>
  <c r="T96" i="1061"/>
  <c r="AC105" i="1061"/>
  <c r="AC218" i="1061" s="1"/>
  <c r="AC124" i="1061"/>
  <c r="V214" i="1061"/>
  <c r="V102" i="1061"/>
  <c r="L195" i="1061"/>
  <c r="L194" i="1061"/>
  <c r="L192" i="1061"/>
  <c r="L193" i="1061"/>
  <c r="L166" i="1061"/>
  <c r="L165" i="1061"/>
  <c r="M6" i="1061"/>
  <c r="Y6" i="1061"/>
  <c r="L77" i="1061"/>
  <c r="AD30" i="1061"/>
  <c r="R30" i="1061"/>
  <c r="AE30" i="1061" s="1"/>
  <c r="T202" i="1061"/>
  <c r="T90" i="1061"/>
  <c r="T110" i="1061" s="1"/>
  <c r="J221" i="1061"/>
  <c r="J109" i="1061"/>
  <c r="U205" i="1061"/>
  <c r="U93" i="1061"/>
  <c r="K236" i="1061"/>
  <c r="V30" i="1061"/>
  <c r="J30" i="1061"/>
  <c r="AB30" i="1060"/>
  <c r="P30" i="1060"/>
  <c r="M195" i="1060"/>
  <c r="M193" i="1060"/>
  <c r="M194" i="1060"/>
  <c r="M192" i="1060"/>
  <c r="M77" i="1060"/>
  <c r="N6" i="1060"/>
  <c r="Z6" i="1060"/>
  <c r="G148" i="1060"/>
  <c r="G147" i="1060"/>
  <c r="G145" i="1060"/>
  <c r="G146" i="1060" s="1"/>
  <c r="G144" i="1060"/>
  <c r="I206" i="1060"/>
  <c r="I94" i="1060"/>
  <c r="V105" i="1061"/>
  <c r="V218" i="1061" s="1"/>
  <c r="V236" i="1061"/>
  <c r="V124" i="1061"/>
  <c r="I149" i="1061" s="1"/>
  <c r="L20" i="1061"/>
  <c r="K177" i="1061"/>
  <c r="X20" i="1061"/>
  <c r="J15" i="1060"/>
  <c r="V15" i="1060"/>
  <c r="I172" i="1060"/>
  <c r="W215" i="1061"/>
  <c r="W103" i="1061"/>
  <c r="V63" i="1062"/>
  <c r="W211" i="1061"/>
  <c r="W99" i="1061"/>
  <c r="T206" i="1060"/>
  <c r="T94" i="1060"/>
  <c r="T103" i="1060"/>
  <c r="T215" i="1060"/>
  <c r="T184" i="1060"/>
  <c r="G208" i="1061"/>
  <c r="G96" i="1061"/>
  <c r="W173" i="1061"/>
  <c r="W59" i="1061"/>
  <c r="J18" i="1060"/>
  <c r="J61" i="1060" s="1"/>
  <c r="I175" i="1060"/>
  <c r="I61" i="1060"/>
  <c r="V18" i="1060"/>
  <c r="K50" i="1061"/>
  <c r="W50" i="1061"/>
  <c r="V9" i="1060"/>
  <c r="V88" i="1060" s="1"/>
  <c r="V109" i="1060" s="1"/>
  <c r="J9" i="1060"/>
  <c r="I88" i="1060" a="1"/>
  <c r="I88" i="1060" s="1"/>
  <c r="G44" i="1060"/>
  <c r="K217" i="1061"/>
  <c r="K133" i="1061"/>
  <c r="K132" i="1061"/>
  <c r="X4" i="1061"/>
  <c r="K131" i="1061"/>
  <c r="K169" i="1061"/>
  <c r="K168" i="1061"/>
  <c r="K167" i="1061"/>
  <c r="L4" i="1061"/>
  <c r="K139" i="1061"/>
  <c r="K179" i="1061"/>
  <c r="K134" i="1061"/>
  <c r="J179" i="1061"/>
  <c r="T212" i="1061"/>
  <c r="T100" i="1061"/>
  <c r="U215" i="1060"/>
  <c r="U103" i="1060"/>
  <c r="G117" i="1059"/>
  <c r="I68" i="1059"/>
  <c r="T212" i="1059"/>
  <c r="T100" i="1059"/>
  <c r="I212" i="1059"/>
  <c r="I100" i="1059"/>
  <c r="I205" i="1059"/>
  <c r="I93" i="1059"/>
  <c r="H214" i="1059"/>
  <c r="H102" i="1059"/>
  <c r="T140" i="1059"/>
  <c r="U210" i="1059"/>
  <c r="U98" i="1059"/>
  <c r="U55" i="1059"/>
  <c r="V9" i="1059"/>
  <c r="V88" i="1059" s="1"/>
  <c r="V109" i="1059" s="1"/>
  <c r="J9" i="1059"/>
  <c r="I88" i="1059" a="1"/>
  <c r="I88" i="1059" s="1"/>
  <c r="W21" i="1059"/>
  <c r="K21" i="1059"/>
  <c r="H204" i="1059"/>
  <c r="H92" i="1059"/>
  <c r="I204" i="1059"/>
  <c r="I92" i="1059"/>
  <c r="H211" i="1058"/>
  <c r="H99" i="1058"/>
  <c r="J198" i="1058"/>
  <c r="J197" i="1058"/>
  <c r="J196" i="1058"/>
  <c r="G209" i="1058"/>
  <c r="G97" i="1058"/>
  <c r="T211" i="1058"/>
  <c r="T99" i="1058"/>
  <c r="Z80" i="1058"/>
  <c r="I98" i="1058"/>
  <c r="I210" i="1058"/>
  <c r="I68" i="1058"/>
  <c r="U173" i="1058"/>
  <c r="U59" i="1058"/>
  <c r="H208" i="1058"/>
  <c r="H96" i="1058"/>
  <c r="U171" i="1058"/>
  <c r="U57" i="1058"/>
  <c r="T214" i="1058"/>
  <c r="T102" i="1058"/>
  <c r="J217" i="1058"/>
  <c r="J179" i="1058"/>
  <c r="J168" i="1058"/>
  <c r="J132" i="1058"/>
  <c r="J167" i="1058"/>
  <c r="J139" i="1058"/>
  <c r="W4" i="1058"/>
  <c r="K4" i="1058"/>
  <c r="H205" i="1057"/>
  <c r="H93" i="1057"/>
  <c r="P228" i="1057"/>
  <c r="AC29" i="1057"/>
  <c r="AC228" i="1057" s="1"/>
  <c r="Q29" i="1057"/>
  <c r="X20" i="1057"/>
  <c r="L20" i="1057"/>
  <c r="K172" i="1057"/>
  <c r="X15" i="1057"/>
  <c r="L15" i="1057"/>
  <c r="D169" i="1058"/>
  <c r="B56" i="1058"/>
  <c r="H210" i="1057"/>
  <c r="H98" i="1057"/>
  <c r="X181" i="1057"/>
  <c r="X180" i="1057"/>
  <c r="X67" i="1057"/>
  <c r="X66" i="1057"/>
  <c r="AB105" i="1058"/>
  <c r="AB218" i="1058" s="1"/>
  <c r="AB124" i="1058"/>
  <c r="H214" i="1057"/>
  <c r="H102" i="1057"/>
  <c r="G206" i="1057"/>
  <c r="G94" i="1057"/>
  <c r="AC105" i="1057"/>
  <c r="AC218" i="1057" s="1"/>
  <c r="AC124" i="1057"/>
  <c r="H212" i="1057"/>
  <c r="H100" i="1057"/>
  <c r="H140" i="1057"/>
  <c r="T202" i="1057"/>
  <c r="T90" i="1057"/>
  <c r="T110" i="1057" s="1"/>
  <c r="H101" i="1057"/>
  <c r="H213" i="1057"/>
  <c r="V212" i="1057"/>
  <c r="V100" i="1057"/>
  <c r="D169" i="1057"/>
  <c r="B56" i="1057"/>
  <c r="X130" i="1057"/>
  <c r="X164" i="1057" s="1"/>
  <c r="X123" i="1057"/>
  <c r="X53" i="1057"/>
  <c r="X54" i="1057"/>
  <c r="X125" i="1057"/>
  <c r="X69" i="1057"/>
  <c r="X129" i="1057"/>
  <c r="X163" i="1057" s="1"/>
  <c r="X49" i="1057"/>
  <c r="L49" i="1057"/>
  <c r="X56" i="1057"/>
  <c r="H70" i="1057"/>
  <c r="H117" i="1057" s="1"/>
  <c r="U77" i="1062"/>
  <c r="H221" i="1063"/>
  <c r="H70" i="1063"/>
  <c r="H89" i="1063" s="1"/>
  <c r="H109" i="1063"/>
  <c r="H221" i="1062"/>
  <c r="H109" i="1062"/>
  <c r="H70" i="1062"/>
  <c r="H117" i="1062" s="1"/>
  <c r="J171" i="1062"/>
  <c r="K14" i="1062"/>
  <c r="W14" i="1062"/>
  <c r="U172" i="1062"/>
  <c r="U58" i="1062"/>
  <c r="H207" i="1062"/>
  <c r="H95" i="1062"/>
  <c r="G93" i="1062"/>
  <c r="G205" i="1062"/>
  <c r="T121" i="1062"/>
  <c r="T111" i="1062"/>
  <c r="H215" i="1062"/>
  <c r="H103" i="1062"/>
  <c r="H184" i="1062"/>
  <c r="J180" i="1062"/>
  <c r="J129" i="1062"/>
  <c r="J163" i="1062" s="1"/>
  <c r="J123" i="1062"/>
  <c r="J181" i="1062"/>
  <c r="J130" i="1062" a="1"/>
  <c r="J130" i="1062" s="1"/>
  <c r="J164" i="1062" s="1"/>
  <c r="J125" i="1062"/>
  <c r="K10" i="1062"/>
  <c r="H198" i="1061"/>
  <c r="H197" i="1061"/>
  <c r="H196" i="1061"/>
  <c r="U236" i="1061"/>
  <c r="U105" i="1061"/>
  <c r="U218" i="1061" s="1"/>
  <c r="U124" i="1061"/>
  <c r="H149" i="1061" s="1"/>
  <c r="U103" i="1061"/>
  <c r="V208" i="1061"/>
  <c r="V96" i="1061"/>
  <c r="Z124" i="1061"/>
  <c r="Z105" i="1061"/>
  <c r="Z218" i="1061" s="1"/>
  <c r="U207" i="1061"/>
  <c r="U95" i="1061"/>
  <c r="K88" i="1061" a="1"/>
  <c r="K88" i="1061" s="1"/>
  <c r="X9" i="1061"/>
  <c r="X88" i="1061" s="1"/>
  <c r="X109" i="1061" s="1"/>
  <c r="L9" i="1061"/>
  <c r="K22" i="1062"/>
  <c r="W22" i="1062"/>
  <c r="U209" i="1061"/>
  <c r="U97" i="1061"/>
  <c r="U214" i="1061"/>
  <c r="U102" i="1061"/>
  <c r="L21" i="1061"/>
  <c r="K178" i="1061"/>
  <c r="X21" i="1061"/>
  <c r="AB124" i="1060"/>
  <c r="AB105" i="1060"/>
  <c r="AB218" i="1060" s="1"/>
  <c r="AE105" i="1061"/>
  <c r="AE218" i="1061" s="1"/>
  <c r="AE124" i="1061"/>
  <c r="I62" i="1060"/>
  <c r="G97" i="1060"/>
  <c r="G209" i="1060"/>
  <c r="W209" i="1061"/>
  <c r="W97" i="1061"/>
  <c r="T140" i="1060"/>
  <c r="H206" i="1060"/>
  <c r="H94" i="1060"/>
  <c r="Z22" i="1061"/>
  <c r="N22" i="1061"/>
  <c r="J177" i="1062"/>
  <c r="K20" i="1062"/>
  <c r="W20" i="1062"/>
  <c r="I174" i="1060"/>
  <c r="J17" i="1060"/>
  <c r="V17" i="1060"/>
  <c r="T121" i="1060"/>
  <c r="T111" i="1060"/>
  <c r="K228" i="1061"/>
  <c r="X29" i="1061"/>
  <c r="X228" i="1061" s="1"/>
  <c r="W60" i="1061"/>
  <c r="J139" i="1061"/>
  <c r="J168" i="1061"/>
  <c r="D226" i="1060"/>
  <c r="B115" i="1060"/>
  <c r="T209" i="1061"/>
  <c r="T97" i="1061"/>
  <c r="T214" i="1061"/>
  <c r="T102" i="1061"/>
  <c r="I217" i="1060"/>
  <c r="I133" i="1060"/>
  <c r="I179" i="1060"/>
  <c r="I168" i="1060"/>
  <c r="I132" i="1060"/>
  <c r="I167" i="1060"/>
  <c r="J4" i="1060"/>
  <c r="I134" i="1060"/>
  <c r="V4" i="1060"/>
  <c r="I139" i="1060"/>
  <c r="I131" i="1060"/>
  <c r="I65" i="1060"/>
  <c r="Y105" i="1060"/>
  <c r="Y218" i="1060" s="1"/>
  <c r="Y124" i="1060"/>
  <c r="U174" i="1060"/>
  <c r="I208" i="1059"/>
  <c r="I96" i="1059"/>
  <c r="AA124" i="1059"/>
  <c r="AA105" i="1059"/>
  <c r="AA218" i="1059" s="1"/>
  <c r="T211" i="1059"/>
  <c r="T99" i="1059"/>
  <c r="I211" i="1059"/>
  <c r="I99" i="1059"/>
  <c r="H212" i="1059"/>
  <c r="H100" i="1059"/>
  <c r="H213" i="1059"/>
  <c r="H101" i="1059"/>
  <c r="I172" i="1059"/>
  <c r="V15" i="1059"/>
  <c r="J15" i="1059"/>
  <c r="I58" i="1059"/>
  <c r="V180" i="1059"/>
  <c r="T208" i="1059"/>
  <c r="T96" i="1059"/>
  <c r="U176" i="1059"/>
  <c r="U139" i="1059"/>
  <c r="H185" i="1059"/>
  <c r="Z51" i="1059"/>
  <c r="N51" i="1059"/>
  <c r="G205" i="1059"/>
  <c r="G93" i="1059"/>
  <c r="T70" i="1059"/>
  <c r="U80" i="1059"/>
  <c r="V178" i="1059"/>
  <c r="V64" i="1059"/>
  <c r="T202" i="1059"/>
  <c r="T90" i="1059"/>
  <c r="T110" i="1059" s="1"/>
  <c r="T142" i="1059"/>
  <c r="T143" i="1059" s="1"/>
  <c r="T210" i="1058"/>
  <c r="T98" i="1058"/>
  <c r="H142" i="1058"/>
  <c r="H143" i="1058" s="1"/>
  <c r="H90" i="1058"/>
  <c r="H202" i="1058"/>
  <c r="H70" i="1058"/>
  <c r="H117" i="1058" s="1"/>
  <c r="M192" i="1059"/>
  <c r="M194" i="1059"/>
  <c r="M195" i="1059"/>
  <c r="M193" i="1059"/>
  <c r="Z6" i="1059"/>
  <c r="M77" i="1059"/>
  <c r="N6" i="1059"/>
  <c r="G70" i="1058"/>
  <c r="G117" i="1058" s="1"/>
  <c r="H207" i="1058"/>
  <c r="H95" i="1058"/>
  <c r="AD195" i="1058"/>
  <c r="I204" i="1058"/>
  <c r="I92" i="1058"/>
  <c r="I176" i="1058"/>
  <c r="J19" i="1058"/>
  <c r="J62" i="1058" s="1"/>
  <c r="V19" i="1058"/>
  <c r="T90" i="1058"/>
  <c r="T202" i="1058"/>
  <c r="T213" i="1058"/>
  <c r="T101" i="1058"/>
  <c r="B56" i="1059"/>
  <c r="D169" i="1059"/>
  <c r="R77" i="1058"/>
  <c r="R194" i="1058"/>
  <c r="R192" i="1058"/>
  <c r="R193" i="1058"/>
  <c r="R195" i="1058"/>
  <c r="AE6" i="1058"/>
  <c r="U65" i="1058"/>
  <c r="U167" i="1058"/>
  <c r="I131" i="1058"/>
  <c r="X80" i="1057"/>
  <c r="V215" i="1057"/>
  <c r="V103" i="1057"/>
  <c r="V185" i="1057"/>
  <c r="Y80" i="1058"/>
  <c r="U215" i="1057"/>
  <c r="U103" i="1057"/>
  <c r="J177" i="1057"/>
  <c r="I196" i="1057"/>
  <c r="I198" i="1057"/>
  <c r="I197" i="1057"/>
  <c r="W209" i="1057"/>
  <c r="W97" i="1057"/>
  <c r="AD105" i="1057"/>
  <c r="AD218" i="1057" s="1"/>
  <c r="AD124" i="1057"/>
  <c r="V93" i="1057"/>
  <c r="V205" i="1057"/>
  <c r="U105" i="1057"/>
  <c r="U218" i="1057" s="1"/>
  <c r="U124" i="1057"/>
  <c r="H149" i="1057" s="1"/>
  <c r="U236" i="1057"/>
  <c r="U209" i="1057"/>
  <c r="U97" i="1057"/>
  <c r="J167" i="1057"/>
  <c r="U71" i="1057"/>
  <c r="J109" i="1057"/>
  <c r="J221" i="1057"/>
  <c r="G141" i="1063"/>
  <c r="G148" i="1063" s="1"/>
  <c r="G146" i="1063"/>
  <c r="T71" i="1054"/>
  <c r="AF107" i="1064"/>
  <c r="T213" i="1063"/>
  <c r="T101" i="1063"/>
  <c r="H215" i="1063"/>
  <c r="H103" i="1063"/>
  <c r="V49" i="1063"/>
  <c r="J49" i="1063"/>
  <c r="I149" i="1063"/>
  <c r="J178" i="1063"/>
  <c r="W21" i="1063"/>
  <c r="K21" i="1063"/>
  <c r="I228" i="1062"/>
  <c r="J29" i="1062"/>
  <c r="V29" i="1062"/>
  <c r="V228" i="1062" s="1"/>
  <c r="I173" i="1062"/>
  <c r="J16" i="1062"/>
  <c r="V16" i="1062"/>
  <c r="H205" i="1062"/>
  <c r="H93" i="1062"/>
  <c r="L194" i="1062"/>
  <c r="L195" i="1062"/>
  <c r="L193" i="1062"/>
  <c r="L192" i="1062"/>
  <c r="L77" i="1062"/>
  <c r="M6" i="1062"/>
  <c r="Y6" i="1062"/>
  <c r="U181" i="1062"/>
  <c r="U165" i="1062"/>
  <c r="U66" i="1062"/>
  <c r="U67" i="1062"/>
  <c r="U180" i="1062"/>
  <c r="U80" i="1062"/>
  <c r="U166" i="1062"/>
  <c r="T196" i="1052"/>
  <c r="U198" i="1051"/>
  <c r="AF105" i="1064"/>
  <c r="H121" i="1064"/>
  <c r="H111" i="1064"/>
  <c r="AC194" i="1064"/>
  <c r="Q192" i="1064"/>
  <c r="Q194" i="1064"/>
  <c r="Q195" i="1064"/>
  <c r="Q193" i="1064"/>
  <c r="R6" i="1064"/>
  <c r="Q77" i="1064"/>
  <c r="AD6" i="1064"/>
  <c r="T212" i="1064"/>
  <c r="T100" i="1064"/>
  <c r="T205" i="1064"/>
  <c r="T93" i="1064"/>
  <c r="H71" i="1064"/>
  <c r="H70" i="1064"/>
  <c r="U179" i="1064"/>
  <c r="T55" i="1064"/>
  <c r="U181" i="1064"/>
  <c r="J216" i="1064" a="1"/>
  <c r="J216" i="1064" s="1"/>
  <c r="H214" i="1063"/>
  <c r="H102" i="1063"/>
  <c r="AD195" i="1063"/>
  <c r="AB107" i="1063"/>
  <c r="AF107" i="1063"/>
  <c r="G209" i="1063"/>
  <c r="G97" i="1063"/>
  <c r="G110" i="1063" s="1"/>
  <c r="AA124" i="1063"/>
  <c r="AA105" i="1063"/>
  <c r="AA218" i="1063" s="1"/>
  <c r="I236" i="1063"/>
  <c r="U77" i="1063"/>
  <c r="I56" i="1063"/>
  <c r="AD77" i="1063"/>
  <c r="U172" i="1063"/>
  <c r="U58" i="1063"/>
  <c r="U179" i="1063"/>
  <c r="H208" i="1063"/>
  <c r="H96" i="1063"/>
  <c r="H121" i="1063"/>
  <c r="H111" i="1063"/>
  <c r="T215" i="1062"/>
  <c r="T103" i="1062"/>
  <c r="V64" i="1063"/>
  <c r="G140" i="1062"/>
  <c r="V56" i="1062"/>
  <c r="H209" i="1062"/>
  <c r="H97" i="1062"/>
  <c r="AA105" i="1062"/>
  <c r="AA218" i="1062" s="1"/>
  <c r="AA124" i="1062"/>
  <c r="V11" i="1063"/>
  <c r="V10" i="1063" s="1"/>
  <c r="J11" i="1063"/>
  <c r="I108" i="1063"/>
  <c r="I195" i="1062"/>
  <c r="I193" i="1062"/>
  <c r="I180" i="1062"/>
  <c r="I194" i="1062"/>
  <c r="I77" i="1062"/>
  <c r="I181" i="1062"/>
  <c r="I166" i="1062"/>
  <c r="I192" i="1062"/>
  <c r="V6" i="1062"/>
  <c r="V179" i="1062" s="1"/>
  <c r="I165" i="1062"/>
  <c r="I169" i="1062" s="1"/>
  <c r="I178" i="1062"/>
  <c r="U195" i="1062"/>
  <c r="I171" i="1062"/>
  <c r="H196" i="1062"/>
  <c r="H198" i="1062"/>
  <c r="H197" i="1062"/>
  <c r="U179" i="1062"/>
  <c r="U131" i="1062"/>
  <c r="U167" i="1062"/>
  <c r="U169" i="1062"/>
  <c r="U217" i="1062"/>
  <c r="U139" i="1062"/>
  <c r="U132" i="1062"/>
  <c r="U133" i="1062"/>
  <c r="U65" i="1062"/>
  <c r="U134" i="1062"/>
  <c r="U168" i="1062"/>
  <c r="U62" i="1062"/>
  <c r="AA24" i="1062"/>
  <c r="O24" i="1062"/>
  <c r="AB24" i="1062" s="1"/>
  <c r="Z105" i="1062"/>
  <c r="Z218" i="1062" s="1"/>
  <c r="Z124" i="1062"/>
  <c r="U90" i="1062"/>
  <c r="U202" i="1062"/>
  <c r="I139" i="1062"/>
  <c r="G145" i="1061"/>
  <c r="G147" i="1061" s="1"/>
  <c r="H111" i="1061"/>
  <c r="H121" i="1061"/>
  <c r="J216" i="1061" a="1"/>
  <c r="J216" i="1061" s="1"/>
  <c r="L236" i="1061"/>
  <c r="T196" i="1061"/>
  <c r="V209" i="1061"/>
  <c r="V97" i="1061"/>
  <c r="H71" i="1061"/>
  <c r="H117" i="1061" s="1"/>
  <c r="I108" i="1061"/>
  <c r="I61" i="1061"/>
  <c r="I57" i="1061"/>
  <c r="J8" i="1061"/>
  <c r="I65" i="1061"/>
  <c r="I55" i="1061"/>
  <c r="I111" i="1061"/>
  <c r="I69" i="1061"/>
  <c r="I62" i="1061"/>
  <c r="I67" i="1061"/>
  <c r="I64" i="1061"/>
  <c r="I59" i="1061"/>
  <c r="I54" i="1061"/>
  <c r="I68" i="1061"/>
  <c r="I58" i="1061"/>
  <c r="V8" i="1061"/>
  <c r="I66" i="1061"/>
  <c r="I63" i="1061"/>
  <c r="I60" i="1061"/>
  <c r="I56" i="1061"/>
  <c r="I53" i="1061"/>
  <c r="I125" i="1061"/>
  <c r="V210" i="1061"/>
  <c r="V98" i="1061"/>
  <c r="T210" i="1061"/>
  <c r="T98" i="1061"/>
  <c r="V213" i="1061"/>
  <c r="V101" i="1061"/>
  <c r="AB13" i="1062"/>
  <c r="AB56" i="1062" s="1"/>
  <c r="P13" i="1062"/>
  <c r="T185" i="1060"/>
  <c r="J178" i="1061"/>
  <c r="H140" i="1060"/>
  <c r="H212" i="1060"/>
  <c r="H100" i="1060"/>
  <c r="J20" i="1060"/>
  <c r="V20" i="1060"/>
  <c r="I177" i="1060"/>
  <c r="G219" i="1060"/>
  <c r="G106" i="1060"/>
  <c r="U185" i="1060"/>
  <c r="J12" i="1060"/>
  <c r="V12" i="1060"/>
  <c r="I69" i="1060"/>
  <c r="L15" i="1061"/>
  <c r="K172" i="1061"/>
  <c r="X15" i="1061"/>
  <c r="I216" i="1060" a="1"/>
  <c r="I216" i="1060" s="1"/>
  <c r="G207" i="1060"/>
  <c r="G95" i="1060"/>
  <c r="V121" i="1061"/>
  <c r="V111" i="1061"/>
  <c r="H103" i="1060"/>
  <c r="H215" i="1060"/>
  <c r="H184" i="1060"/>
  <c r="U57" i="1060"/>
  <c r="U171" i="1060"/>
  <c r="J174" i="1061"/>
  <c r="I177" i="1062"/>
  <c r="L14" i="1061"/>
  <c r="K171" i="1061"/>
  <c r="X14" i="1061"/>
  <c r="Q194" i="1061"/>
  <c r="Q195" i="1061"/>
  <c r="Q193" i="1061"/>
  <c r="Q192" i="1061"/>
  <c r="R6" i="1061"/>
  <c r="Q77" i="1061"/>
  <c r="AD6" i="1061"/>
  <c r="L16" i="1061"/>
  <c r="K173" i="1061"/>
  <c r="X16" i="1061"/>
  <c r="J11" i="1060"/>
  <c r="V11" i="1060"/>
  <c r="I104" i="1060"/>
  <c r="W174" i="1061"/>
  <c r="J167" i="1061"/>
  <c r="J217" i="1061"/>
  <c r="AF105" i="1060"/>
  <c r="T205" i="1061"/>
  <c r="T93" i="1061"/>
  <c r="J228" i="1060"/>
  <c r="W29" i="1060"/>
  <c r="W228" i="1060" s="1"/>
  <c r="K29" i="1060"/>
  <c r="U217" i="1060"/>
  <c r="U167" i="1060"/>
  <c r="U134" i="1060"/>
  <c r="U65" i="1060"/>
  <c r="U133" i="1060"/>
  <c r="U132" i="1060"/>
  <c r="U131" i="1060"/>
  <c r="U55" i="1060" s="1"/>
  <c r="U179" i="1060"/>
  <c r="U168" i="1060"/>
  <c r="U139" i="1060"/>
  <c r="U184" i="1060"/>
  <c r="L49" i="1060"/>
  <c r="X49" i="1060"/>
  <c r="G206" i="1059"/>
  <c r="G94" i="1059"/>
  <c r="U77" i="1059"/>
  <c r="T214" i="1059"/>
  <c r="T102" i="1059"/>
  <c r="T210" i="1059"/>
  <c r="T98" i="1059"/>
  <c r="H211" i="1059"/>
  <c r="H99" i="1059"/>
  <c r="H205" i="1059"/>
  <c r="H93" i="1059"/>
  <c r="T198" i="1059"/>
  <c r="I149" i="1059"/>
  <c r="Y124" i="1059"/>
  <c r="Y105" i="1059"/>
  <c r="Y218" i="1059" s="1"/>
  <c r="V55" i="1059"/>
  <c r="U172" i="1059"/>
  <c r="U58" i="1059"/>
  <c r="I129" i="1059"/>
  <c r="I163" i="1059" s="1"/>
  <c r="I123" i="1059"/>
  <c r="I130" i="1059" a="1"/>
  <c r="I130" i="1059" s="1"/>
  <c r="I164" i="1059" s="1"/>
  <c r="J10" i="1059"/>
  <c r="X124" i="1059"/>
  <c r="X105" i="1059"/>
  <c r="X218" i="1059" s="1"/>
  <c r="AF105" i="1058"/>
  <c r="Z24" i="1060"/>
  <c r="N24" i="1060"/>
  <c r="H221" i="1059"/>
  <c r="H70" i="1059"/>
  <c r="H89" i="1059" s="1"/>
  <c r="H109" i="1059"/>
  <c r="I178" i="1059"/>
  <c r="T209" i="1058"/>
  <c r="T97" i="1058"/>
  <c r="H215" i="1058"/>
  <c r="H103" i="1058"/>
  <c r="G145" i="1058"/>
  <c r="T215" i="1058"/>
  <c r="T103" i="1058"/>
  <c r="J173" i="1059"/>
  <c r="W16" i="1059"/>
  <c r="K16" i="1059"/>
  <c r="H213" i="1058"/>
  <c r="H101" i="1058"/>
  <c r="Y80" i="1059"/>
  <c r="J177" i="1059"/>
  <c r="W20" i="1059"/>
  <c r="K20" i="1059"/>
  <c r="I111" i="1058"/>
  <c r="I101" i="1058"/>
  <c r="I213" i="1058"/>
  <c r="I60" i="1058"/>
  <c r="T110" i="1058"/>
  <c r="K51" i="1058"/>
  <c r="W51" i="1058"/>
  <c r="U176" i="1058"/>
  <c r="U62" i="1058"/>
  <c r="T92" i="1058"/>
  <c r="T204" i="1058"/>
  <c r="Y124" i="1058"/>
  <c r="Y105" i="1058"/>
  <c r="Y218" i="1058" s="1"/>
  <c r="U67" i="1058"/>
  <c r="U134" i="1058"/>
  <c r="U131" i="1058"/>
  <c r="U55" i="1058" s="1"/>
  <c r="I133" i="1058"/>
  <c r="X19" i="1057"/>
  <c r="L19" i="1057"/>
  <c r="K171" i="1057"/>
  <c r="X14" i="1057"/>
  <c r="L14" i="1057"/>
  <c r="W211" i="1057"/>
  <c r="W99" i="1057"/>
  <c r="J176" i="1057"/>
  <c r="K180" i="1058"/>
  <c r="U208" i="1057"/>
  <c r="U96" i="1057"/>
  <c r="V236" i="1057"/>
  <c r="V105" i="1057"/>
  <c r="V218" i="1057" s="1"/>
  <c r="V124" i="1057"/>
  <c r="I149" i="1057" s="1"/>
  <c r="T101" i="1057"/>
  <c r="T213" i="1057"/>
  <c r="H95" i="1057"/>
  <c r="H207" i="1057"/>
  <c r="U140" i="1057"/>
  <c r="V180" i="1057"/>
  <c r="V181" i="1057"/>
  <c r="V166" i="1057"/>
  <c r="V165" i="1057"/>
  <c r="V169" i="1057" s="1"/>
  <c r="V66" i="1057"/>
  <c r="V140" i="1057" s="1"/>
  <c r="V62" i="1057"/>
  <c r="V58" i="1057"/>
  <c r="V67" i="1057"/>
  <c r="T55" i="1057"/>
  <c r="K169" i="1057"/>
  <c r="K139" i="1057"/>
  <c r="K134" i="1057"/>
  <c r="K132" i="1057"/>
  <c r="K131" i="1057"/>
  <c r="K133" i="1057"/>
  <c r="X4" i="1057"/>
  <c r="L4" i="1057"/>
  <c r="W212" i="1057"/>
  <c r="W100" i="1057"/>
  <c r="V178" i="1057"/>
  <c r="U121" i="1057"/>
  <c r="U111" i="1057"/>
  <c r="V111" i="1057"/>
  <c r="V121" i="1057"/>
  <c r="W215" i="1057"/>
  <c r="W103" i="1057"/>
  <c r="H202" i="1057"/>
  <c r="H142" i="1057"/>
  <c r="H143" i="1057" s="1"/>
  <c r="H89" i="1057"/>
  <c r="H90" i="1057"/>
  <c r="W184" i="1057"/>
  <c r="W214" i="1057"/>
  <c r="W102" i="1057"/>
  <c r="V104" i="1057"/>
  <c r="X50" i="1057"/>
  <c r="L50" i="1057"/>
  <c r="V107" i="1057"/>
  <c r="N228" i="1064"/>
  <c r="AA29" i="1064"/>
  <c r="AA228" i="1064" s="1"/>
  <c r="O29" i="1064"/>
  <c r="U177" i="1064"/>
  <c r="U63" i="1064"/>
  <c r="K50" i="1064"/>
  <c r="W50" i="1064"/>
  <c r="Z107" i="1064"/>
  <c r="I125" i="1064"/>
  <c r="I108" i="1064"/>
  <c r="I111" i="1064"/>
  <c r="I66" i="1064"/>
  <c r="I60" i="1064"/>
  <c r="I56" i="1064"/>
  <c r="I67" i="1064"/>
  <c r="I58" i="1064"/>
  <c r="J8" i="1064"/>
  <c r="I61" i="1064"/>
  <c r="I57" i="1064"/>
  <c r="I68" i="1064"/>
  <c r="I63" i="1064"/>
  <c r="I53" i="1064"/>
  <c r="I59" i="1064"/>
  <c r="I65" i="1064"/>
  <c r="I69" i="1064"/>
  <c r="V8" i="1064"/>
  <c r="I62" i="1064"/>
  <c r="I55" i="1064"/>
  <c r="I54" i="1064"/>
  <c r="I64" i="1064"/>
  <c r="H92" i="1064"/>
  <c r="H204" i="1064"/>
  <c r="H212" i="1064"/>
  <c r="H100" i="1064"/>
  <c r="H208" i="1064"/>
  <c r="H96" i="1064"/>
  <c r="N24" i="1064"/>
  <c r="Z24" i="1064"/>
  <c r="AB105" i="1064"/>
  <c r="AB218" i="1064" s="1"/>
  <c r="AB124" i="1064"/>
  <c r="I221" i="1064"/>
  <c r="I109" i="1064"/>
  <c r="I197" i="1064"/>
  <c r="I196" i="1064"/>
  <c r="I198" i="1064"/>
  <c r="H213" i="1063"/>
  <c r="H101" i="1063"/>
  <c r="U180" i="1063"/>
  <c r="U166" i="1063"/>
  <c r="U67" i="1063"/>
  <c r="U66" i="1063"/>
  <c r="U181" i="1063"/>
  <c r="U165" i="1063"/>
  <c r="U169" i="1063" s="1"/>
  <c r="I215" i="1063"/>
  <c r="I103" i="1063"/>
  <c r="Y105" i="1063"/>
  <c r="Y218" i="1063" s="1"/>
  <c r="Y124" i="1063"/>
  <c r="V68" i="1063"/>
  <c r="V182" i="1063"/>
  <c r="T197" i="1052"/>
  <c r="AF124" i="1056"/>
  <c r="I228" i="1064"/>
  <c r="J29" i="1064"/>
  <c r="V29" i="1064"/>
  <c r="V228" i="1064" s="1"/>
  <c r="G140" i="1064"/>
  <c r="AF124" i="1064"/>
  <c r="H197" i="1064"/>
  <c r="H196" i="1064"/>
  <c r="H198" i="1064"/>
  <c r="AE124" i="1064"/>
  <c r="AE105" i="1064"/>
  <c r="AE218" i="1064" s="1"/>
  <c r="V22" i="1064"/>
  <c r="J22" i="1064"/>
  <c r="H209" i="1064"/>
  <c r="H97" i="1064"/>
  <c r="H213" i="1064"/>
  <c r="H101" i="1064"/>
  <c r="I174" i="1064"/>
  <c r="V17" i="1064"/>
  <c r="J17" i="1064"/>
  <c r="U180" i="1064"/>
  <c r="I176" i="1064"/>
  <c r="V19" i="1064"/>
  <c r="J19" i="1064"/>
  <c r="T206" i="1064"/>
  <c r="T94" i="1064"/>
  <c r="H117" i="1064"/>
  <c r="H184" i="1063"/>
  <c r="T207" i="1064"/>
  <c r="T95" i="1064"/>
  <c r="I131" i="1063"/>
  <c r="I55" i="1063" s="1"/>
  <c r="I179" i="1063"/>
  <c r="I167" i="1063"/>
  <c r="I134" i="1063"/>
  <c r="I139" i="1063"/>
  <c r="I132" i="1063"/>
  <c r="I217" i="1063"/>
  <c r="I133" i="1063"/>
  <c r="I168" i="1063"/>
  <c r="J4" i="1063"/>
  <c r="V4" i="1063"/>
  <c r="AA107" i="1063"/>
  <c r="T140" i="1063"/>
  <c r="I216" i="1063" a="1"/>
  <c r="I216" i="1063" s="1"/>
  <c r="T215" i="1063"/>
  <c r="T103" i="1063"/>
  <c r="T212" i="1063"/>
  <c r="T100" i="1063"/>
  <c r="I65" i="1063"/>
  <c r="I71" i="1063" s="1"/>
  <c r="I172" i="1063"/>
  <c r="V15" i="1063"/>
  <c r="J15" i="1063"/>
  <c r="T209" i="1063"/>
  <c r="T97" i="1063"/>
  <c r="AA24" i="1063"/>
  <c r="O24" i="1063"/>
  <c r="AB24" i="1063" s="1"/>
  <c r="U131" i="1063"/>
  <c r="U55" i="1063" s="1"/>
  <c r="N228" i="1063"/>
  <c r="AA29" i="1063"/>
  <c r="AA228" i="1063" s="1"/>
  <c r="O29" i="1063"/>
  <c r="G117" i="1062"/>
  <c r="T140" i="1062"/>
  <c r="H94" i="1062"/>
  <c r="H206" i="1062"/>
  <c r="U129" i="1063"/>
  <c r="U163" i="1063" s="1"/>
  <c r="U123" i="1063"/>
  <c r="U130" i="1063"/>
  <c r="U164" i="1063" s="1"/>
  <c r="U125" i="1063"/>
  <c r="U54" i="1063"/>
  <c r="U69" i="1063"/>
  <c r="U53" i="1063"/>
  <c r="U64" i="1062"/>
  <c r="V30" i="1062"/>
  <c r="J30" i="1062"/>
  <c r="Y124" i="1062"/>
  <c r="Y105" i="1062"/>
  <c r="Y218" i="1062" s="1"/>
  <c r="U107" i="1062"/>
  <c r="D227" i="1062"/>
  <c r="B116" i="1062"/>
  <c r="H121" i="1062"/>
  <c r="H111" i="1062"/>
  <c r="I131" i="1062"/>
  <c r="I55" i="1062" s="1"/>
  <c r="U176" i="1062"/>
  <c r="W101" i="1061"/>
  <c r="W213" i="1061"/>
  <c r="D224" i="1061"/>
  <c r="B113" i="1061"/>
  <c r="B114" i="1061" s="1"/>
  <c r="U217" i="1061"/>
  <c r="U179" i="1061"/>
  <c r="U132" i="1061"/>
  <c r="U131" i="1061"/>
  <c r="U169" i="1061"/>
  <c r="U168" i="1061"/>
  <c r="U167" i="1061"/>
  <c r="U139" i="1061"/>
  <c r="U65" i="1061"/>
  <c r="U71" i="1061" s="1"/>
  <c r="U134" i="1061"/>
  <c r="U133" i="1061"/>
  <c r="Y51" i="1061"/>
  <c r="M51" i="1061"/>
  <c r="V215" i="1061"/>
  <c r="V103" i="1061"/>
  <c r="V205" i="1061"/>
  <c r="V93" i="1061"/>
  <c r="H207" i="1061"/>
  <c r="H95" i="1061"/>
  <c r="H205" i="1061"/>
  <c r="H93" i="1061"/>
  <c r="U212" i="1061"/>
  <c r="U100" i="1061"/>
  <c r="P228" i="1061"/>
  <c r="Q29" i="1061"/>
  <c r="AC29" i="1061"/>
  <c r="AC228" i="1061" s="1"/>
  <c r="T184" i="1061"/>
  <c r="G210" i="1061"/>
  <c r="G98" i="1061"/>
  <c r="H205" i="1060"/>
  <c r="H93" i="1060"/>
  <c r="I92" i="1060"/>
  <c r="I204" i="1060"/>
  <c r="W92" i="1061"/>
  <c r="G205" i="1060"/>
  <c r="G93" i="1060"/>
  <c r="G110" i="1060" s="1"/>
  <c r="V92" i="1061"/>
  <c r="V142" i="1061"/>
  <c r="V143" i="1061" s="1"/>
  <c r="V202" i="1061"/>
  <c r="V90" i="1061"/>
  <c r="I182" i="1060"/>
  <c r="J23" i="1060"/>
  <c r="J68" i="1060" s="1"/>
  <c r="V23" i="1060"/>
  <c r="I68" i="1060"/>
  <c r="L17" i="1061"/>
  <c r="K174" i="1061"/>
  <c r="X17" i="1061"/>
  <c r="V55" i="1061"/>
  <c r="T101" i="1060"/>
  <c r="T213" i="1060"/>
  <c r="Y80" i="1060"/>
  <c r="T211" i="1060"/>
  <c r="T99" i="1060"/>
  <c r="T202" i="1060"/>
  <c r="T142" i="1060"/>
  <c r="T143" i="1060" s="1"/>
  <c r="T90" i="1060"/>
  <c r="T110" i="1060" s="1"/>
  <c r="W176" i="1061"/>
  <c r="W62" i="1061"/>
  <c r="H117" i="1060"/>
  <c r="U176" i="1060"/>
  <c r="U62" i="1060"/>
  <c r="U130" i="1060"/>
  <c r="U164" i="1060" s="1"/>
  <c r="U125" i="1060"/>
  <c r="U53" i="1060"/>
  <c r="U129" i="1060"/>
  <c r="U163" i="1060" s="1"/>
  <c r="U123" i="1060"/>
  <c r="U104" i="1060"/>
  <c r="U69" i="1060"/>
  <c r="U54" i="1060"/>
  <c r="T211" i="1061"/>
  <c r="T99" i="1061"/>
  <c r="T140" i="1061"/>
  <c r="G148" i="1059"/>
  <c r="G147" i="1059"/>
  <c r="G145" i="1059"/>
  <c r="G144" i="1059" s="1"/>
  <c r="D169" i="1060"/>
  <c r="B56" i="1060"/>
  <c r="U59" i="1060"/>
  <c r="U173" i="1060"/>
  <c r="U181" i="1059"/>
  <c r="U180" i="1059"/>
  <c r="U165" i="1059"/>
  <c r="U169" i="1059" s="1"/>
  <c r="U66" i="1059"/>
  <c r="U67" i="1059"/>
  <c r="U166" i="1059"/>
  <c r="I62" i="1059"/>
  <c r="J69" i="1059"/>
  <c r="J58" i="1059"/>
  <c r="J57" i="1059"/>
  <c r="K8" i="1059"/>
  <c r="J66" i="1059"/>
  <c r="J59" i="1059"/>
  <c r="J56" i="1059"/>
  <c r="J68" i="1059"/>
  <c r="W8" i="1059"/>
  <c r="H213" i="1060"/>
  <c r="H101" i="1060"/>
  <c r="U166" i="1060"/>
  <c r="U165" i="1060"/>
  <c r="U169" i="1060" s="1"/>
  <c r="U66" i="1060"/>
  <c r="U180" i="1060"/>
  <c r="U63" i="1060"/>
  <c r="U181" i="1060"/>
  <c r="U67" i="1060"/>
  <c r="H210" i="1059"/>
  <c r="H98" i="1059"/>
  <c r="H209" i="1059"/>
  <c r="H97" i="1059"/>
  <c r="AA30" i="1059"/>
  <c r="O30" i="1059"/>
  <c r="V236" i="1059"/>
  <c r="V217" i="1059"/>
  <c r="AF107" i="1059"/>
  <c r="H184" i="1059"/>
  <c r="V22" i="1059"/>
  <c r="J22" i="1059"/>
  <c r="D226" i="1059"/>
  <c r="B115" i="1059"/>
  <c r="W17" i="1059"/>
  <c r="K17" i="1059"/>
  <c r="T121" i="1059"/>
  <c r="T111" i="1059"/>
  <c r="U178" i="1059"/>
  <c r="U64" i="1059"/>
  <c r="U182" i="1058"/>
  <c r="U68" i="1058"/>
  <c r="V173" i="1059"/>
  <c r="V59" i="1059"/>
  <c r="G205" i="1058"/>
  <c r="G93" i="1058"/>
  <c r="AD194" i="1058"/>
  <c r="T185" i="1058"/>
  <c r="V177" i="1059"/>
  <c r="V63" i="1059"/>
  <c r="H184" i="1058"/>
  <c r="I175" i="1058"/>
  <c r="J18" i="1058"/>
  <c r="V18" i="1058"/>
  <c r="X105" i="1058"/>
  <c r="X218" i="1058" s="1"/>
  <c r="X124" i="1058"/>
  <c r="V166" i="1058"/>
  <c r="V165" i="1058"/>
  <c r="V67" i="1058"/>
  <c r="O228" i="1058"/>
  <c r="AB29" i="1058"/>
  <c r="AB228" i="1058" s="1"/>
  <c r="P29" i="1058"/>
  <c r="U66" i="1058"/>
  <c r="W105" i="1058"/>
  <c r="W218" i="1058" s="1"/>
  <c r="W124" i="1058"/>
  <c r="W107" i="1058"/>
  <c r="U168" i="1058"/>
  <c r="U132" i="1058"/>
  <c r="V77" i="1058"/>
  <c r="T214" i="1057"/>
  <c r="T102" i="1057"/>
  <c r="G148" i="1057"/>
  <c r="G147" i="1057"/>
  <c r="G145" i="1057"/>
  <c r="G144" i="1057" s="1"/>
  <c r="X18" i="1057"/>
  <c r="L18" i="1057"/>
  <c r="X12" i="1057"/>
  <c r="X165" i="1057" s="1"/>
  <c r="L12" i="1057"/>
  <c r="J175" i="1057"/>
  <c r="AE124" i="1057"/>
  <c r="AE105" i="1057"/>
  <c r="AE218" i="1057" s="1"/>
  <c r="X107" i="1058"/>
  <c r="H206" i="1057"/>
  <c r="H94" i="1057"/>
  <c r="T184" i="1057"/>
  <c r="U211" i="1057"/>
  <c r="U99" i="1057"/>
  <c r="W206" i="1057"/>
  <c r="W94" i="1057"/>
  <c r="X216" i="1057"/>
  <c r="L166" i="1057"/>
  <c r="L165" i="1057"/>
  <c r="L195" i="1057"/>
  <c r="L193" i="1057"/>
  <c r="L77" i="1057"/>
  <c r="L194" i="1057"/>
  <c r="L192" i="1057"/>
  <c r="Y6" i="1057"/>
  <c r="M6" i="1057"/>
  <c r="U210" i="1057"/>
  <c r="U98" i="1057"/>
  <c r="V176" i="1057"/>
  <c r="U214" i="1057"/>
  <c r="U102" i="1057"/>
  <c r="X194" i="1057"/>
  <c r="W185" i="1057"/>
  <c r="X104" i="1057"/>
  <c r="V56" i="1057"/>
  <c r="X51" i="1057"/>
  <c r="L51" i="1057"/>
  <c r="U107" i="1057"/>
  <c r="Y22" i="1057"/>
  <c r="M22" i="1057"/>
  <c r="AC107" i="1057"/>
  <c r="H207" i="1064"/>
  <c r="H95" i="1064"/>
  <c r="L195" i="1063"/>
  <c r="L194" i="1063"/>
  <c r="L77" i="1063"/>
  <c r="L192" i="1063"/>
  <c r="L193" i="1063"/>
  <c r="Y6" i="1063"/>
  <c r="M6" i="1063"/>
  <c r="G219" i="1063"/>
  <c r="G106" i="1063"/>
  <c r="AF124" i="1053"/>
  <c r="G110" i="1064"/>
  <c r="T141" i="1064"/>
  <c r="AC77" i="1064"/>
  <c r="T120" i="1064"/>
  <c r="T119" i="1064"/>
  <c r="T122" i="1064" s="1"/>
  <c r="U104" i="1064"/>
  <c r="V12" i="1064"/>
  <c r="J12" i="1064"/>
  <c r="I178" i="1064"/>
  <c r="V21" i="1064"/>
  <c r="J21" i="1064"/>
  <c r="I182" i="1064"/>
  <c r="V23" i="1064"/>
  <c r="J23" i="1064"/>
  <c r="V49" i="1064"/>
  <c r="J49" i="1064"/>
  <c r="T209" i="1064"/>
  <c r="T97" i="1064"/>
  <c r="H206" i="1064"/>
  <c r="H94" i="1064"/>
  <c r="H215" i="1064"/>
  <c r="H103" i="1064"/>
  <c r="U55" i="1064"/>
  <c r="U174" i="1064"/>
  <c r="U60" i="1064"/>
  <c r="I175" i="1064"/>
  <c r="V18" i="1064"/>
  <c r="J18" i="1064"/>
  <c r="U176" i="1064"/>
  <c r="U62" i="1064"/>
  <c r="K9" i="1064"/>
  <c r="J88" i="1064" a="1"/>
  <c r="J88" i="1064" s="1"/>
  <c r="W9" i="1064"/>
  <c r="W88" i="1064" s="1"/>
  <c r="W109" i="1064" s="1"/>
  <c r="AC195" i="1063"/>
  <c r="I193" i="1063"/>
  <c r="I195" i="1063"/>
  <c r="I181" i="1063"/>
  <c r="I180" i="1063"/>
  <c r="I192" i="1063"/>
  <c r="I166" i="1063"/>
  <c r="I165" i="1063"/>
  <c r="I169" i="1063" s="1"/>
  <c r="I77" i="1063"/>
  <c r="I194" i="1063"/>
  <c r="V6" i="1063"/>
  <c r="V59" i="1063" s="1"/>
  <c r="H212" i="1063"/>
  <c r="H100" i="1063"/>
  <c r="D224" i="1063"/>
  <c r="B113" i="1063"/>
  <c r="B114" i="1063" s="1"/>
  <c r="I60" i="1063"/>
  <c r="I202" i="1063"/>
  <c r="I90" i="1063"/>
  <c r="V14" i="1063"/>
  <c r="J14" i="1063"/>
  <c r="I171" i="1063"/>
  <c r="U171" i="1063"/>
  <c r="U57" i="1063"/>
  <c r="U65" i="1063"/>
  <c r="I174" i="1063"/>
  <c r="V17" i="1063"/>
  <c r="J17" i="1063"/>
  <c r="T202" i="1063"/>
  <c r="T142" i="1063"/>
  <c r="T143" i="1063" s="1"/>
  <c r="T90" i="1063"/>
  <c r="T110" i="1063" s="1"/>
  <c r="U174" i="1063"/>
  <c r="U60" i="1063"/>
  <c r="H211" i="1063"/>
  <c r="H99" i="1063"/>
  <c r="H210" i="1063"/>
  <c r="H98" i="1063"/>
  <c r="AF107" i="1062"/>
  <c r="H140" i="1062"/>
  <c r="H210" i="1062"/>
  <c r="H98" i="1062"/>
  <c r="U178" i="1062"/>
  <c r="G145" i="1062"/>
  <c r="G147" i="1062" s="1"/>
  <c r="U56" i="1063"/>
  <c r="H208" i="1062"/>
  <c r="H96" i="1062"/>
  <c r="H71" i="1062"/>
  <c r="H89" i="1062" s="1"/>
  <c r="J217" i="1062"/>
  <c r="J133" i="1062"/>
  <c r="J168" i="1062"/>
  <c r="J179" i="1062"/>
  <c r="J167" i="1062"/>
  <c r="J134" i="1062"/>
  <c r="W4" i="1062"/>
  <c r="J169" i="1062"/>
  <c r="J131" i="1062"/>
  <c r="K4" i="1062"/>
  <c r="J139" i="1062"/>
  <c r="J132" i="1062"/>
  <c r="X204" i="1062"/>
  <c r="X92" i="1062"/>
  <c r="U57" i="1062"/>
  <c r="I149" i="1062"/>
  <c r="AF107" i="1061"/>
  <c r="H212" i="1061"/>
  <c r="H100" i="1061"/>
  <c r="H209" i="1061"/>
  <c r="H97" i="1061"/>
  <c r="U210" i="1061"/>
  <c r="U98" i="1061"/>
  <c r="T111" i="1061"/>
  <c r="T121" i="1061"/>
  <c r="G94" i="1061"/>
  <c r="G206" i="1061"/>
  <c r="U204" i="1061"/>
  <c r="U92" i="1061"/>
  <c r="H90" i="1060"/>
  <c r="H202" i="1060"/>
  <c r="H89" i="1060"/>
  <c r="H142" i="1060"/>
  <c r="H143" i="1060" s="1"/>
  <c r="T209" i="1060"/>
  <c r="T97" i="1060"/>
  <c r="U212" i="1060"/>
  <c r="U100" i="1060"/>
  <c r="L22" i="1060"/>
  <c r="X22" i="1060"/>
  <c r="I96" i="1060"/>
  <c r="I208" i="1060"/>
  <c r="V171" i="1060"/>
  <c r="V57" i="1060"/>
  <c r="W206" i="1061"/>
  <c r="W94" i="1061"/>
  <c r="Y49" i="1061"/>
  <c r="M49" i="1061"/>
  <c r="AC107" i="1061"/>
  <c r="Y194" i="1060"/>
  <c r="H96" i="1061"/>
  <c r="H208" i="1061"/>
  <c r="AB13" i="1061"/>
  <c r="AB56" i="1061" s="1"/>
  <c r="P13" i="1061"/>
  <c r="X107" i="1060"/>
  <c r="J176" i="1061"/>
  <c r="I108" i="1060"/>
  <c r="T55" i="1061"/>
  <c r="V107" i="1061"/>
  <c r="AE77" i="1060"/>
  <c r="B56" i="1061"/>
  <c r="D169" i="1061"/>
  <c r="AB107" i="1060"/>
  <c r="H207" i="1060"/>
  <c r="H95" i="1060"/>
  <c r="H149" i="1060"/>
  <c r="U195" i="1059"/>
  <c r="J133" i="1059"/>
  <c r="J132" i="1059"/>
  <c r="J169" i="1059"/>
  <c r="J134" i="1059"/>
  <c r="J131" i="1059"/>
  <c r="J55" i="1059" s="1"/>
  <c r="W4" i="1059"/>
  <c r="K4" i="1059"/>
  <c r="G96" i="1059"/>
  <c r="G208" i="1059"/>
  <c r="R194" i="1059"/>
  <c r="R195" i="1059"/>
  <c r="R193" i="1059"/>
  <c r="R192" i="1059"/>
  <c r="R77" i="1059"/>
  <c r="AE6" i="1059"/>
  <c r="I194" i="1060"/>
  <c r="I192" i="1060"/>
  <c r="I181" i="1060"/>
  <c r="I166" i="1060"/>
  <c r="I165" i="1060"/>
  <c r="I169" i="1060" s="1"/>
  <c r="I195" i="1060"/>
  <c r="I77" i="1060"/>
  <c r="V6" i="1060"/>
  <c r="V56" i="1060" s="1"/>
  <c r="I193" i="1060"/>
  <c r="I180" i="1060"/>
  <c r="I57" i="1060"/>
  <c r="I64" i="1060"/>
  <c r="I140" i="1060" s="1"/>
  <c r="AA107" i="1059"/>
  <c r="I207" i="1059"/>
  <c r="I95" i="1059"/>
  <c r="H207" i="1059"/>
  <c r="H95" i="1059"/>
  <c r="G207" i="1059"/>
  <c r="G95" i="1059"/>
  <c r="Z107" i="1059"/>
  <c r="W11" i="1059"/>
  <c r="W10" i="1059" s="1"/>
  <c r="K11" i="1059"/>
  <c r="V139" i="1059"/>
  <c r="V167" i="1059"/>
  <c r="U202" i="1059"/>
  <c r="U142" i="1059"/>
  <c r="U143" i="1059" s="1"/>
  <c r="U90" i="1059"/>
  <c r="H121" i="1059"/>
  <c r="H111" i="1059"/>
  <c r="V18" i="1059"/>
  <c r="J18" i="1059"/>
  <c r="I175" i="1059"/>
  <c r="I61" i="1059"/>
  <c r="H117" i="1059"/>
  <c r="U61" i="1059"/>
  <c r="V174" i="1059"/>
  <c r="V60" i="1059"/>
  <c r="Z194" i="1058"/>
  <c r="K129" i="1058"/>
  <c r="K163" i="1058" s="1"/>
  <c r="K123" i="1058"/>
  <c r="K125" i="1058"/>
  <c r="K130" i="1058" a="1"/>
  <c r="K130" i="1058" s="1"/>
  <c r="K164" i="1058" s="1"/>
  <c r="L10" i="1058"/>
  <c r="AD80" i="1058"/>
  <c r="H210" i="1058"/>
  <c r="H98" i="1058"/>
  <c r="I177" i="1059"/>
  <c r="T140" i="1058"/>
  <c r="G140" i="1058"/>
  <c r="G147" i="1058" s="1"/>
  <c r="K50" i="1058"/>
  <c r="W50" i="1058"/>
  <c r="U175" i="1058"/>
  <c r="U61" i="1058"/>
  <c r="I71" i="1058"/>
  <c r="I102" i="1058"/>
  <c r="I214" i="1058"/>
  <c r="T55" i="1058"/>
  <c r="T142" i="1058" s="1"/>
  <c r="T143" i="1058" s="1"/>
  <c r="J165" i="1059"/>
  <c r="W12" i="1059"/>
  <c r="K12" i="1059"/>
  <c r="J166" i="1059"/>
  <c r="J11" i="1058"/>
  <c r="V11" i="1058"/>
  <c r="V10" i="1058" s="1"/>
  <c r="V179" i="1058" s="1"/>
  <c r="I139" i="1059"/>
  <c r="J22" i="1058"/>
  <c r="V22" i="1058"/>
  <c r="I166" i="1058"/>
  <c r="I177" i="1058"/>
  <c r="J20" i="1058"/>
  <c r="V20" i="1058"/>
  <c r="J228" i="1058"/>
  <c r="W29" i="1058"/>
  <c r="W228" i="1058" s="1"/>
  <c r="K29" i="1058"/>
  <c r="I172" i="1058"/>
  <c r="J15" i="1058"/>
  <c r="J58" i="1058" s="1"/>
  <c r="V15" i="1058"/>
  <c r="V124" i="1058"/>
  <c r="V105" i="1058"/>
  <c r="V218" i="1058" s="1"/>
  <c r="U139" i="1058"/>
  <c r="V131" i="1058"/>
  <c r="V167" i="1058"/>
  <c r="V139" i="1058"/>
  <c r="V133" i="1058"/>
  <c r="V134" i="1058"/>
  <c r="V132" i="1058"/>
  <c r="V169" i="1058"/>
  <c r="V65" i="1058"/>
  <c r="I134" i="1058"/>
  <c r="W213" i="1057"/>
  <c r="W101" i="1057"/>
  <c r="K182" i="1057"/>
  <c r="X23" i="1057"/>
  <c r="L23" i="1057"/>
  <c r="J130" i="1057" a="1"/>
  <c r="J130" i="1057" s="1"/>
  <c r="J164" i="1057" s="1"/>
  <c r="J125" i="1057"/>
  <c r="J180" i="1057"/>
  <c r="J129" i="1057"/>
  <c r="J163" i="1057" s="1"/>
  <c r="J123" i="1057"/>
  <c r="J181" i="1057"/>
  <c r="K10" i="1057"/>
  <c r="K149" i="1057" s="1"/>
  <c r="J13" i="1058"/>
  <c r="J56" i="1058" s="1"/>
  <c r="V13" i="1058"/>
  <c r="V56" i="1058" s="1"/>
  <c r="T111" i="1057"/>
  <c r="T121" i="1057"/>
  <c r="X77" i="1057"/>
  <c r="V96" i="1057"/>
  <c r="V208" i="1057"/>
  <c r="J174" i="1057"/>
  <c r="W124" i="1057"/>
  <c r="J149" i="1057" s="1"/>
  <c r="W236" i="1057"/>
  <c r="W105" i="1057"/>
  <c r="W218" i="1057" s="1"/>
  <c r="W93" i="1057"/>
  <c r="W205" i="1057"/>
  <c r="T185" i="1057"/>
  <c r="G98" i="1057"/>
  <c r="G210" i="1057"/>
  <c r="U205" i="1057"/>
  <c r="U93" i="1057"/>
  <c r="AB124" i="1057"/>
  <c r="AB105" i="1057"/>
  <c r="AB218" i="1057" s="1"/>
  <c r="J179" i="1057"/>
  <c r="I178" i="1058"/>
  <c r="J21" i="1058"/>
  <c r="V21" i="1058"/>
  <c r="H208" i="1057"/>
  <c r="H96" i="1057"/>
  <c r="V175" i="1057"/>
  <c r="AE107" i="1057"/>
  <c r="G70" i="1057"/>
  <c r="AC30" i="1057"/>
  <c r="Q30" i="1057"/>
  <c r="W142" i="1057"/>
  <c r="W143" i="1057" s="1"/>
  <c r="W202" i="1057"/>
  <c r="W90" i="1057"/>
  <c r="L173" i="1057"/>
  <c r="Y16" i="1057"/>
  <c r="M16" i="1057"/>
  <c r="U104" i="1057"/>
  <c r="T71" i="1057"/>
  <c r="W210" i="1057"/>
  <c r="W98" i="1057"/>
  <c r="H203" i="1056"/>
  <c r="H91" i="1056"/>
  <c r="H219" i="1055"/>
  <c r="H106" i="1055"/>
  <c r="I212" i="1055"/>
  <c r="I100" i="1055"/>
  <c r="H141" i="1055"/>
  <c r="H203" i="1053"/>
  <c r="H91" i="1053"/>
  <c r="H70" i="1053"/>
  <c r="I213" i="1054"/>
  <c r="I101" i="1054"/>
  <c r="I204" i="1055"/>
  <c r="I92" i="1055"/>
  <c r="T145" i="1054"/>
  <c r="U204" i="1053"/>
  <c r="U92" i="1053"/>
  <c r="T219" i="1053"/>
  <c r="T106" i="1053"/>
  <c r="G141" i="1055"/>
  <c r="G148" i="1055" s="1"/>
  <c r="G106" i="1054"/>
  <c r="G219" i="1054"/>
  <c r="I211" i="1055"/>
  <c r="I99" i="1055"/>
  <c r="U213" i="1055"/>
  <c r="U101" i="1055"/>
  <c r="H208" i="1056"/>
  <c r="H96" i="1056"/>
  <c r="I176" i="1056"/>
  <c r="J19" i="1056"/>
  <c r="V19" i="1056"/>
  <c r="AD195" i="1055"/>
  <c r="H203" i="1054"/>
  <c r="H91" i="1054"/>
  <c r="AC77" i="1054"/>
  <c r="AC80" i="1054"/>
  <c r="K49" i="1054"/>
  <c r="W49" i="1054"/>
  <c r="T214" i="1054"/>
  <c r="T102" i="1054"/>
  <c r="U130" i="1054"/>
  <c r="U164" i="1054" s="1"/>
  <c r="U129" i="1054"/>
  <c r="U163" i="1054" s="1"/>
  <c r="U125" i="1054"/>
  <c r="U123" i="1054"/>
  <c r="U53" i="1054"/>
  <c r="U69" i="1054"/>
  <c r="U54" i="1054"/>
  <c r="J54" i="1054"/>
  <c r="J53" i="1054"/>
  <c r="K8" i="1054"/>
  <c r="J67" i="1054"/>
  <c r="J66" i="1054"/>
  <c r="J69" i="1054"/>
  <c r="W8" i="1054"/>
  <c r="I205" i="1054"/>
  <c r="I93" i="1054"/>
  <c r="R194" i="1054"/>
  <c r="R192" i="1054"/>
  <c r="R195" i="1054"/>
  <c r="R77" i="1054"/>
  <c r="R193" i="1054"/>
  <c r="AE6" i="1054"/>
  <c r="U178" i="1054"/>
  <c r="T121" i="1054"/>
  <c r="T111" i="1054"/>
  <c r="U174" i="1054"/>
  <c r="U236" i="1054"/>
  <c r="AD30" i="1054"/>
  <c r="R30" i="1054"/>
  <c r="AE30" i="1054" s="1"/>
  <c r="U65" i="1054"/>
  <c r="G141" i="1053"/>
  <c r="G148" i="1053" s="1"/>
  <c r="T202" i="1053"/>
  <c r="T142" i="1053"/>
  <c r="T143" i="1053" s="1"/>
  <c r="T90" i="1053"/>
  <c r="T110" i="1053" s="1"/>
  <c r="H215" i="1053"/>
  <c r="H103" i="1053"/>
  <c r="I174" i="1053"/>
  <c r="AB124" i="1053"/>
  <c r="AB105" i="1053"/>
  <c r="AB218" i="1053" s="1"/>
  <c r="T208" i="1053"/>
  <c r="T96" i="1053"/>
  <c r="T210" i="1053"/>
  <c r="T98" i="1053"/>
  <c r="T214" i="1053"/>
  <c r="T102" i="1053"/>
  <c r="G205" i="1053"/>
  <c r="G93" i="1053"/>
  <c r="I104" i="1053"/>
  <c r="V11" i="1053"/>
  <c r="V10" i="1053" s="1"/>
  <c r="J11" i="1053"/>
  <c r="J171" i="1053"/>
  <c r="W14" i="1053"/>
  <c r="K14" i="1053"/>
  <c r="O24" i="1053"/>
  <c r="AB24" i="1053" s="1"/>
  <c r="AA24" i="1053"/>
  <c r="U217" i="1056"/>
  <c r="U168" i="1056"/>
  <c r="U179" i="1056"/>
  <c r="U167" i="1056"/>
  <c r="U131" i="1056"/>
  <c r="U133" i="1056"/>
  <c r="U132" i="1056"/>
  <c r="U134" i="1056"/>
  <c r="U139" i="1056"/>
  <c r="U65" i="1056"/>
  <c r="U71" i="1056" s="1"/>
  <c r="Z24" i="1055"/>
  <c r="N24" i="1055"/>
  <c r="K88" i="1055" a="1"/>
  <c r="K88" i="1055" s="1"/>
  <c r="L9" i="1055"/>
  <c r="X9" i="1055"/>
  <c r="X88" i="1055" s="1"/>
  <c r="X109" i="1055" s="1"/>
  <c r="U178" i="1055"/>
  <c r="U64" i="1055"/>
  <c r="T211" i="1054"/>
  <c r="T99" i="1054"/>
  <c r="U104" i="1054"/>
  <c r="Y124" i="1054"/>
  <c r="Y105" i="1054"/>
  <c r="Y218" i="1054" s="1"/>
  <c r="I130" i="1053" a="1"/>
  <c r="I130" i="1053" s="1"/>
  <c r="I164" i="1053" s="1"/>
  <c r="I129" i="1053"/>
  <c r="I163" i="1053" s="1"/>
  <c r="I123" i="1053"/>
  <c r="J10" i="1053"/>
  <c r="V50" i="1053"/>
  <c r="J50" i="1053"/>
  <c r="J176" i="1053"/>
  <c r="W19" i="1053"/>
  <c r="K19" i="1053"/>
  <c r="V12" i="1053"/>
  <c r="J12" i="1053"/>
  <c r="O228" i="1053"/>
  <c r="AB29" i="1053"/>
  <c r="AB228" i="1053" s="1"/>
  <c r="P29" i="1053"/>
  <c r="AA105" i="1053"/>
  <c r="AA218" i="1053" s="1"/>
  <c r="AA124" i="1053"/>
  <c r="I179" i="1053"/>
  <c r="W13" i="1053"/>
  <c r="W56" i="1053" s="1"/>
  <c r="K13" i="1053"/>
  <c r="H209" i="1056"/>
  <c r="H97" i="1056"/>
  <c r="H210" i="1056"/>
  <c r="H98" i="1056"/>
  <c r="U104" i="1055"/>
  <c r="V22" i="1055"/>
  <c r="J22" i="1055"/>
  <c r="I171" i="1055"/>
  <c r="V14" i="1055"/>
  <c r="J14" i="1055"/>
  <c r="U65" i="1055"/>
  <c r="Y124" i="1055"/>
  <c r="Y105" i="1055"/>
  <c r="Y218" i="1055" s="1"/>
  <c r="H71" i="1054"/>
  <c r="AA29" i="1054"/>
  <c r="AA228" i="1054" s="1"/>
  <c r="N228" i="1054"/>
  <c r="O29" i="1054"/>
  <c r="I202" i="1054"/>
  <c r="I90" i="1054"/>
  <c r="V13" i="1054"/>
  <c r="J13" i="1054"/>
  <c r="J56" i="1054" s="1"/>
  <c r="T203" i="1053"/>
  <c r="T91" i="1053"/>
  <c r="G210" i="1056"/>
  <c r="G98" i="1056"/>
  <c r="Y77" i="1056"/>
  <c r="T211" i="1056"/>
  <c r="T99" i="1056"/>
  <c r="X124" i="1056"/>
  <c r="X105" i="1056"/>
  <c r="X218" i="1056" s="1"/>
  <c r="H215" i="1056"/>
  <c r="H103" i="1056"/>
  <c r="I174" i="1056"/>
  <c r="J17" i="1056"/>
  <c r="V17" i="1056"/>
  <c r="J228" i="1056"/>
  <c r="W29" i="1056"/>
  <c r="W228" i="1056" s="1"/>
  <c r="K29" i="1056"/>
  <c r="I192" i="1056"/>
  <c r="I195" i="1056"/>
  <c r="I193" i="1056"/>
  <c r="I180" i="1056"/>
  <c r="I194" i="1056"/>
  <c r="I181" i="1056"/>
  <c r="I166" i="1056"/>
  <c r="I165" i="1056"/>
  <c r="I77" i="1056"/>
  <c r="V6" i="1056"/>
  <c r="Y80" i="1056"/>
  <c r="U215" i="1056"/>
  <c r="U103" i="1056"/>
  <c r="U209" i="1056"/>
  <c r="U97" i="1056"/>
  <c r="U205" i="1056"/>
  <c r="U93" i="1056"/>
  <c r="T121" i="1056"/>
  <c r="T111" i="1056"/>
  <c r="AC124" i="1056"/>
  <c r="AC105" i="1056"/>
  <c r="AC218" i="1056" s="1"/>
  <c r="AA30" i="1056"/>
  <c r="O30" i="1056"/>
  <c r="G208" i="1055"/>
  <c r="G96" i="1055"/>
  <c r="T215" i="1055"/>
  <c r="T103" i="1055"/>
  <c r="AB124" i="1055"/>
  <c r="AB105" i="1055"/>
  <c r="AB218" i="1055" s="1"/>
  <c r="T55" i="1055"/>
  <c r="U180" i="1055"/>
  <c r="I192" i="1055"/>
  <c r="I181" i="1055"/>
  <c r="I166" i="1055"/>
  <c r="I165" i="1055"/>
  <c r="I180" i="1055"/>
  <c r="I194" i="1055"/>
  <c r="I195" i="1055"/>
  <c r="I193" i="1055"/>
  <c r="I77" i="1055"/>
  <c r="V6" i="1055"/>
  <c r="J53" i="1055"/>
  <c r="J69" i="1055"/>
  <c r="J58" i="1055"/>
  <c r="J67" i="1055"/>
  <c r="J54" i="1055"/>
  <c r="J57" i="1055"/>
  <c r="K8" i="1055"/>
  <c r="J66" i="1055"/>
  <c r="J68" i="1055"/>
  <c r="W8" i="1055"/>
  <c r="T206" i="1055"/>
  <c r="T94" i="1055"/>
  <c r="I57" i="1055"/>
  <c r="T71" i="1055"/>
  <c r="H210" i="1055"/>
  <c r="H98" i="1055"/>
  <c r="I172" i="1055"/>
  <c r="V15" i="1055"/>
  <c r="J15" i="1055"/>
  <c r="U171" i="1055"/>
  <c r="U57" i="1055"/>
  <c r="U134" i="1055"/>
  <c r="U179" i="1055"/>
  <c r="Y107" i="1054"/>
  <c r="T210" i="1054"/>
  <c r="T98" i="1054"/>
  <c r="U63" i="1054"/>
  <c r="U177" i="1054"/>
  <c r="H102" i="1054"/>
  <c r="H214" i="1054"/>
  <c r="G140" i="1054"/>
  <c r="K129" i="1054"/>
  <c r="K163" i="1054" s="1"/>
  <c r="K125" i="1054"/>
  <c r="K123" i="1054"/>
  <c r="K130" i="1054" a="1"/>
  <c r="K130" i="1054" s="1"/>
  <c r="K164" i="1054" s="1"/>
  <c r="L10" i="1054"/>
  <c r="I62" i="1054"/>
  <c r="I111" i="1054"/>
  <c r="AC195" i="1054"/>
  <c r="J221" i="1054"/>
  <c r="J109" i="1054"/>
  <c r="W30" i="1054"/>
  <c r="K30" i="1054"/>
  <c r="X30" i="1054" s="1"/>
  <c r="V19" i="1054"/>
  <c r="J19" i="1054"/>
  <c r="J62" i="1054" s="1"/>
  <c r="I176" i="1054"/>
  <c r="AD80" i="1054"/>
  <c r="U216" i="1054"/>
  <c r="J228" i="1054"/>
  <c r="W29" i="1054"/>
  <c r="W228" i="1054" s="1"/>
  <c r="K29" i="1054"/>
  <c r="U204" i="1054"/>
  <c r="U92" i="1054"/>
  <c r="D169" i="1054"/>
  <c r="B56" i="1054"/>
  <c r="U217" i="1054"/>
  <c r="T140" i="1053"/>
  <c r="AF105" i="1053"/>
  <c r="I176" i="1053"/>
  <c r="H202" i="1053"/>
  <c r="H89" i="1053"/>
  <c r="H142" i="1053"/>
  <c r="H143" i="1053" s="1"/>
  <c r="H90" i="1053"/>
  <c r="H207" i="1053"/>
  <c r="H95" i="1053"/>
  <c r="U133" i="1053"/>
  <c r="AC80" i="1053"/>
  <c r="U129" i="1053"/>
  <c r="U163" i="1053" s="1"/>
  <c r="U123" i="1053"/>
  <c r="U69" i="1053"/>
  <c r="U125" i="1053"/>
  <c r="U53" i="1053"/>
  <c r="U130" i="1053"/>
  <c r="U164" i="1053" s="1"/>
  <c r="U54" i="1053"/>
  <c r="H117" i="1053"/>
  <c r="U59" i="1053"/>
  <c r="Y17" i="1053"/>
  <c r="M17" i="1053"/>
  <c r="J88" i="1056" a="1"/>
  <c r="J88" i="1056" s="1"/>
  <c r="W9" i="1056"/>
  <c r="W88" i="1056" s="1"/>
  <c r="W109" i="1056" s="1"/>
  <c r="K9" i="1056"/>
  <c r="U177" i="1055"/>
  <c r="U63" i="1055"/>
  <c r="I197" i="1055"/>
  <c r="I196" i="1055"/>
  <c r="I198" i="1055"/>
  <c r="T207" i="1056"/>
  <c r="T95" i="1056"/>
  <c r="Q192" i="1056"/>
  <c r="Q195" i="1056"/>
  <c r="Q193" i="1056"/>
  <c r="Q194" i="1056"/>
  <c r="Q77" i="1056"/>
  <c r="AD6" i="1056"/>
  <c r="R6" i="1056"/>
  <c r="H213" i="1056"/>
  <c r="H101" i="1056"/>
  <c r="H218" i="1056"/>
  <c r="AF105" i="1056"/>
  <c r="L195" i="1055"/>
  <c r="L193" i="1055"/>
  <c r="L194" i="1055"/>
  <c r="L192" i="1055"/>
  <c r="L77" i="1055"/>
  <c r="Y6" i="1055"/>
  <c r="M6" i="1055"/>
  <c r="H215" i="1055"/>
  <c r="H103" i="1055"/>
  <c r="U66" i="1054"/>
  <c r="H215" i="1054"/>
  <c r="H103" i="1054"/>
  <c r="H184" i="1054"/>
  <c r="T213" i="1054"/>
  <c r="T101" i="1054"/>
  <c r="I209" i="1054"/>
  <c r="I97" i="1054"/>
  <c r="U176" i="1054"/>
  <c r="U62" i="1054"/>
  <c r="H221" i="1056"/>
  <c r="H109" i="1056"/>
  <c r="H70" i="1056"/>
  <c r="I173" i="1056"/>
  <c r="J16" i="1056"/>
  <c r="V16" i="1056"/>
  <c r="H185" i="1055"/>
  <c r="H184" i="1055"/>
  <c r="J228" i="1055"/>
  <c r="W29" i="1055"/>
  <c r="W228" i="1055" s="1"/>
  <c r="K29" i="1055"/>
  <c r="K49" i="1055"/>
  <c r="W49" i="1055"/>
  <c r="U182" i="1055"/>
  <c r="U68" i="1055"/>
  <c r="Z124" i="1055"/>
  <c r="Z105" i="1055"/>
  <c r="Z218" i="1055" s="1"/>
  <c r="I236" i="1055"/>
  <c r="G205" i="1055"/>
  <c r="G93" i="1055"/>
  <c r="R192" i="1055"/>
  <c r="R195" i="1055"/>
  <c r="R193" i="1055"/>
  <c r="R194" i="1055"/>
  <c r="R77" i="1055"/>
  <c r="AE6" i="1055"/>
  <c r="T210" i="1055"/>
  <c r="T98" i="1055"/>
  <c r="I61" i="1055"/>
  <c r="T70" i="1055"/>
  <c r="H121" i="1055"/>
  <c r="H111" i="1055"/>
  <c r="U172" i="1055"/>
  <c r="U58" i="1055"/>
  <c r="AA30" i="1055"/>
  <c r="O30" i="1055"/>
  <c r="AB107" i="1055"/>
  <c r="I175" i="1055"/>
  <c r="V18" i="1055"/>
  <c r="J18" i="1055"/>
  <c r="U139" i="1055"/>
  <c r="U217" i="1055"/>
  <c r="T202" i="1055"/>
  <c r="T142" i="1055"/>
  <c r="T143" i="1055" s="1"/>
  <c r="T90" i="1055"/>
  <c r="T110" i="1055" s="1"/>
  <c r="U180" i="1054"/>
  <c r="AA124" i="1054"/>
  <c r="AA105" i="1054"/>
  <c r="AA218" i="1054" s="1"/>
  <c r="U61" i="1054"/>
  <c r="I217" i="1054"/>
  <c r="I167" i="1054"/>
  <c r="I133" i="1054"/>
  <c r="I139" i="1054"/>
  <c r="I179" i="1054"/>
  <c r="I134" i="1054"/>
  <c r="I131" i="1054"/>
  <c r="I55" i="1054" s="1"/>
  <c r="I142" i="1054" s="1"/>
  <c r="I143" i="1054" s="1"/>
  <c r="J4" i="1054"/>
  <c r="J65" i="1054" s="1"/>
  <c r="V4" i="1054"/>
  <c r="I168" i="1054"/>
  <c r="I132" i="1054"/>
  <c r="AD195" i="1054"/>
  <c r="T208" i="1054"/>
  <c r="T96" i="1054"/>
  <c r="H206" i="1054"/>
  <c r="H94" i="1054"/>
  <c r="H185" i="1054"/>
  <c r="T209" i="1054"/>
  <c r="T97" i="1054"/>
  <c r="I215" i="1054"/>
  <c r="I103" i="1054"/>
  <c r="I182" i="1054"/>
  <c r="V23" i="1054"/>
  <c r="J23" i="1054"/>
  <c r="Z77" i="1054"/>
  <c r="T207" i="1054"/>
  <c r="T95" i="1054"/>
  <c r="I171" i="1054"/>
  <c r="V14" i="1054"/>
  <c r="J14" i="1054"/>
  <c r="J57" i="1054" s="1"/>
  <c r="V12" i="1054"/>
  <c r="J12" i="1054"/>
  <c r="U55" i="1054"/>
  <c r="AD80" i="1053"/>
  <c r="T213" i="1053"/>
  <c r="T101" i="1053"/>
  <c r="I175" i="1053"/>
  <c r="J18" i="1053"/>
  <c r="V18" i="1053"/>
  <c r="I68" i="1053"/>
  <c r="V8" i="1053"/>
  <c r="I125" i="1053"/>
  <c r="I66" i="1053"/>
  <c r="I60" i="1053"/>
  <c r="I56" i="1053"/>
  <c r="I63" i="1053"/>
  <c r="I53" i="1053"/>
  <c r="I108" i="1053"/>
  <c r="I61" i="1053"/>
  <c r="I57" i="1053"/>
  <c r="I65" i="1053"/>
  <c r="I111" i="1053"/>
  <c r="I69" i="1053"/>
  <c r="I62" i="1053"/>
  <c r="I58" i="1053"/>
  <c r="I67" i="1053"/>
  <c r="J8" i="1053"/>
  <c r="I54" i="1053"/>
  <c r="I64" i="1053"/>
  <c r="I59" i="1053"/>
  <c r="V51" i="1053"/>
  <c r="J51" i="1053"/>
  <c r="U175" i="1053"/>
  <c r="U61" i="1053"/>
  <c r="H211" i="1053"/>
  <c r="H99" i="1053"/>
  <c r="H212" i="1053"/>
  <c r="H100" i="1053"/>
  <c r="U172" i="1053"/>
  <c r="U58" i="1053"/>
  <c r="T206" i="1053"/>
  <c r="T94" i="1053"/>
  <c r="AC194" i="1053"/>
  <c r="AC124" i="1053"/>
  <c r="AC105" i="1053"/>
  <c r="AC218" i="1053" s="1"/>
  <c r="I139" i="1053"/>
  <c r="I133" i="1053"/>
  <c r="I217" i="1053"/>
  <c r="J22" i="1053"/>
  <c r="V22" i="1053"/>
  <c r="U173" i="1053"/>
  <c r="G209" i="1056"/>
  <c r="G97" i="1056"/>
  <c r="G140" i="1056"/>
  <c r="I175" i="1056"/>
  <c r="J18" i="1056"/>
  <c r="V18" i="1056"/>
  <c r="K51" i="1055"/>
  <c r="W51" i="1055"/>
  <c r="H212" i="1054"/>
  <c r="H100" i="1054"/>
  <c r="H218" i="1054"/>
  <c r="AF105" i="1054"/>
  <c r="H198" i="1054"/>
  <c r="H197" i="1054"/>
  <c r="H196" i="1054"/>
  <c r="I206" i="1054"/>
  <c r="I94" i="1054"/>
  <c r="T91" i="1054"/>
  <c r="T203" i="1054"/>
  <c r="U182" i="1054"/>
  <c r="U68" i="1054"/>
  <c r="AF107" i="1056"/>
  <c r="G205" i="1056"/>
  <c r="G93" i="1056"/>
  <c r="Y195" i="1056"/>
  <c r="T197" i="1056"/>
  <c r="H71" i="1056"/>
  <c r="H89" i="1056" s="1"/>
  <c r="I217" i="1056"/>
  <c r="I169" i="1056"/>
  <c r="I132" i="1056"/>
  <c r="I179" i="1056"/>
  <c r="I139" i="1056"/>
  <c r="I131" i="1056"/>
  <c r="I167" i="1056"/>
  <c r="I168" i="1056"/>
  <c r="I133" i="1056"/>
  <c r="I134" i="1056"/>
  <c r="V4" i="1056"/>
  <c r="J4" i="1056"/>
  <c r="H142" i="1056"/>
  <c r="H143" i="1056" s="1"/>
  <c r="V236" i="1056"/>
  <c r="V124" i="1056"/>
  <c r="I149" i="1056" s="1"/>
  <c r="V105" i="1056"/>
  <c r="V218" i="1056" s="1"/>
  <c r="Y194" i="1056"/>
  <c r="W50" i="1056"/>
  <c r="K50" i="1056"/>
  <c r="U202" i="1056"/>
  <c r="U90" i="1056"/>
  <c r="AF105" i="1055"/>
  <c r="AF105" i="1050"/>
  <c r="AF124" i="1052"/>
  <c r="H185" i="1056"/>
  <c r="U184" i="1056"/>
  <c r="T140" i="1056"/>
  <c r="T205" i="1056"/>
  <c r="T93" i="1056"/>
  <c r="H207" i="1056"/>
  <c r="H95" i="1056"/>
  <c r="Z24" i="1056"/>
  <c r="N24" i="1056"/>
  <c r="I172" i="1056"/>
  <c r="J15" i="1056"/>
  <c r="V15" i="1056"/>
  <c r="G70" i="1056"/>
  <c r="U180" i="1056"/>
  <c r="U166" i="1056"/>
  <c r="U181" i="1056"/>
  <c r="U165" i="1056"/>
  <c r="U169" i="1056" s="1"/>
  <c r="U66" i="1056"/>
  <c r="U67" i="1056"/>
  <c r="U64" i="1056"/>
  <c r="U60" i="1056"/>
  <c r="U56" i="1056"/>
  <c r="T214" i="1056"/>
  <c r="T102" i="1056"/>
  <c r="K22" i="1056"/>
  <c r="W22" i="1056"/>
  <c r="D226" i="1055"/>
  <c r="B115" i="1055"/>
  <c r="T197" i="1055"/>
  <c r="I215" i="1055"/>
  <c r="I103" i="1055"/>
  <c r="J182" i="1055"/>
  <c r="W23" i="1055"/>
  <c r="K23" i="1055"/>
  <c r="AA105" i="1055"/>
  <c r="AA218" i="1055" s="1"/>
  <c r="AA124" i="1055"/>
  <c r="T208" i="1055"/>
  <c r="T96" i="1055"/>
  <c r="I217" i="1055"/>
  <c r="I167" i="1055"/>
  <c r="I139" i="1055"/>
  <c r="I179" i="1055"/>
  <c r="I168" i="1055"/>
  <c r="I132" i="1055"/>
  <c r="I131" i="1055"/>
  <c r="I169" i="1055"/>
  <c r="I133" i="1055"/>
  <c r="I134" i="1055"/>
  <c r="J4" i="1055"/>
  <c r="J65" i="1055" s="1"/>
  <c r="V4" i="1055"/>
  <c r="H71" i="1055"/>
  <c r="H117" i="1055" s="1"/>
  <c r="G209" i="1055"/>
  <c r="G97" i="1055"/>
  <c r="T205" i="1055"/>
  <c r="T93" i="1055"/>
  <c r="I67" i="1055"/>
  <c r="AF107" i="1055"/>
  <c r="T184" i="1055"/>
  <c r="H204" i="1055"/>
  <c r="H92" i="1055"/>
  <c r="H197" i="1055"/>
  <c r="H196" i="1055"/>
  <c r="H198" i="1055"/>
  <c r="I176" i="1055"/>
  <c r="V19" i="1055"/>
  <c r="J19" i="1055"/>
  <c r="J62" i="1055" s="1"/>
  <c r="K30" i="1055"/>
  <c r="X30" i="1055" s="1"/>
  <c r="W30" i="1055"/>
  <c r="U175" i="1055"/>
  <c r="U61" i="1055"/>
  <c r="V12" i="1055"/>
  <c r="J12" i="1055"/>
  <c r="G96" i="1054"/>
  <c r="G208" i="1054"/>
  <c r="I175" i="1054"/>
  <c r="V18" i="1054"/>
  <c r="J18" i="1054"/>
  <c r="J61" i="1054" s="1"/>
  <c r="U67" i="1054"/>
  <c r="H209" i="1054"/>
  <c r="H97" i="1054"/>
  <c r="I178" i="1054"/>
  <c r="J21" i="1054"/>
  <c r="J64" i="1054" s="1"/>
  <c r="V21" i="1054"/>
  <c r="D169" i="1055"/>
  <c r="B56" i="1055"/>
  <c r="T110" i="1054"/>
  <c r="H98" i="1054"/>
  <c r="H210" i="1054"/>
  <c r="T215" i="1054"/>
  <c r="T103" i="1054"/>
  <c r="I56" i="1054"/>
  <c r="I71" i="1054"/>
  <c r="T205" i="1054"/>
  <c r="T93" i="1054"/>
  <c r="N193" i="1054"/>
  <c r="N195" i="1054"/>
  <c r="N77" i="1054"/>
  <c r="N194" i="1054"/>
  <c r="AA6" i="1054"/>
  <c r="N192" i="1054"/>
  <c r="Y77" i="1054"/>
  <c r="X124" i="1054"/>
  <c r="X105" i="1054"/>
  <c r="X218" i="1054" s="1"/>
  <c r="T70" i="1054"/>
  <c r="I172" i="1054"/>
  <c r="V15" i="1054"/>
  <c r="J15" i="1054"/>
  <c r="J58" i="1054" s="1"/>
  <c r="N50" i="1054"/>
  <c r="Z50" i="1054"/>
  <c r="U171" i="1054"/>
  <c r="U57" i="1054"/>
  <c r="Y195" i="1054"/>
  <c r="U181" i="1054"/>
  <c r="G147" i="1054"/>
  <c r="G145" i="1054"/>
  <c r="U139" i="1054"/>
  <c r="G208" i="1053"/>
  <c r="G96" i="1053"/>
  <c r="H184" i="1053"/>
  <c r="U174" i="1053"/>
  <c r="U60" i="1053"/>
  <c r="R194" i="1053"/>
  <c r="R192" i="1053"/>
  <c r="R195" i="1053"/>
  <c r="R193" i="1053"/>
  <c r="R77" i="1053"/>
  <c r="AE6" i="1053"/>
  <c r="T71" i="1053"/>
  <c r="H204" i="1053"/>
  <c r="H92" i="1053"/>
  <c r="U236" i="1053"/>
  <c r="U124" i="1053"/>
  <c r="H149" i="1053" s="1"/>
  <c r="U105" i="1053"/>
  <c r="U218" i="1053" s="1"/>
  <c r="I194" i="1053"/>
  <c r="I192" i="1053"/>
  <c r="I180" i="1053"/>
  <c r="I195" i="1053"/>
  <c r="I181" i="1053"/>
  <c r="I193" i="1053"/>
  <c r="I166" i="1053"/>
  <c r="I165" i="1053"/>
  <c r="I169" i="1053" s="1"/>
  <c r="V6" i="1053"/>
  <c r="V64" i="1053" s="1"/>
  <c r="I77" i="1053"/>
  <c r="I177" i="1053"/>
  <c r="J20" i="1053"/>
  <c r="V20" i="1053"/>
  <c r="T205" i="1053"/>
  <c r="T93" i="1053"/>
  <c r="U131" i="1053"/>
  <c r="U55" i="1053" s="1"/>
  <c r="J178" i="1053"/>
  <c r="W21" i="1053"/>
  <c r="K21" i="1053"/>
  <c r="I172" i="1053"/>
  <c r="J15" i="1053"/>
  <c r="V15" i="1053"/>
  <c r="I131" i="1053"/>
  <c r="I55" i="1053" s="1"/>
  <c r="T215" i="1053"/>
  <c r="T103" i="1053"/>
  <c r="U178" i="1053"/>
  <c r="U64" i="1053"/>
  <c r="I182" i="1053"/>
  <c r="J23" i="1053"/>
  <c r="V23" i="1053"/>
  <c r="U104" i="1053"/>
  <c r="K88" i="1053" a="1"/>
  <c r="K88" i="1053" s="1"/>
  <c r="X9" i="1053"/>
  <c r="X88" i="1053" s="1"/>
  <c r="X109" i="1053" s="1"/>
  <c r="L9" i="1053"/>
  <c r="H214" i="1055"/>
  <c r="H102" i="1055"/>
  <c r="T209" i="1056"/>
  <c r="T97" i="1056"/>
  <c r="J30" i="1056"/>
  <c r="V30" i="1056"/>
  <c r="I182" i="1056"/>
  <c r="J23" i="1056"/>
  <c r="V23" i="1056"/>
  <c r="I171" i="1056"/>
  <c r="J14" i="1056"/>
  <c r="V14" i="1056"/>
  <c r="T55" i="1056"/>
  <c r="G145" i="1056"/>
  <c r="T213" i="1056"/>
  <c r="T101" i="1056"/>
  <c r="V129" i="1056"/>
  <c r="V163" i="1056" s="1"/>
  <c r="V123" i="1056"/>
  <c r="V130" i="1056"/>
  <c r="V164" i="1056" s="1"/>
  <c r="V125" i="1056"/>
  <c r="V53" i="1056"/>
  <c r="V69" i="1056"/>
  <c r="V54" i="1056"/>
  <c r="V104" i="1056"/>
  <c r="G145" i="1055"/>
  <c r="G146" i="1055" s="1"/>
  <c r="G144" i="1055"/>
  <c r="I177" i="1055"/>
  <c r="V20" i="1055"/>
  <c r="J20" i="1055"/>
  <c r="J121" i="1055"/>
  <c r="J111" i="1055"/>
  <c r="I71" i="1055"/>
  <c r="T212" i="1055"/>
  <c r="T100" i="1055"/>
  <c r="T214" i="1055"/>
  <c r="T102" i="1055"/>
  <c r="K50" i="1055"/>
  <c r="W50" i="1055"/>
  <c r="O228" i="1055"/>
  <c r="AB29" i="1055"/>
  <c r="AB228" i="1055" s="1"/>
  <c r="P29" i="1055"/>
  <c r="T97" i="1055"/>
  <c r="T209" i="1055"/>
  <c r="I206" i="1055"/>
  <c r="I94" i="1055"/>
  <c r="I208" i="1055"/>
  <c r="I96" i="1055"/>
  <c r="H205" i="1055"/>
  <c r="H93" i="1055"/>
  <c r="U176" i="1055"/>
  <c r="U62" i="1055"/>
  <c r="V13" i="1055"/>
  <c r="V56" i="1055" s="1"/>
  <c r="J13" i="1055"/>
  <c r="U133" i="1055"/>
  <c r="T213" i="1055"/>
  <c r="T101" i="1055"/>
  <c r="D224" i="1054"/>
  <c r="B113" i="1054"/>
  <c r="B114" i="1054" s="1"/>
  <c r="G206" i="1054"/>
  <c r="G94" i="1054"/>
  <c r="H95" i="1054"/>
  <c r="H207" i="1054"/>
  <c r="I166" i="1054"/>
  <c r="I165" i="1054"/>
  <c r="I169" i="1054" s="1"/>
  <c r="I194" i="1054"/>
  <c r="I192" i="1054"/>
  <c r="I195" i="1054"/>
  <c r="I180" i="1054"/>
  <c r="I193" i="1054"/>
  <c r="I181" i="1054"/>
  <c r="I77" i="1054"/>
  <c r="AF77" i="1054" s="1"/>
  <c r="V6" i="1054"/>
  <c r="J121" i="1054"/>
  <c r="J111" i="1054"/>
  <c r="I60" i="1054"/>
  <c r="I59" i="1054"/>
  <c r="U172" i="1054"/>
  <c r="U58" i="1054"/>
  <c r="L88" i="1054" a="1"/>
  <c r="L88" i="1054" s="1"/>
  <c r="M9" i="1054"/>
  <c r="Y9" i="1054"/>
  <c r="Y88" i="1054" s="1"/>
  <c r="Y109" i="1054" s="1"/>
  <c r="AA107" i="1054"/>
  <c r="L22" i="1054"/>
  <c r="X22" i="1054"/>
  <c r="U167" i="1054"/>
  <c r="L192" i="1053"/>
  <c r="L193" i="1053"/>
  <c r="L194" i="1053"/>
  <c r="L195" i="1053"/>
  <c r="L77" i="1053"/>
  <c r="Y6" i="1053"/>
  <c r="M6" i="1053"/>
  <c r="V236" i="1053"/>
  <c r="V105" i="1053"/>
  <c r="V218" i="1053" s="1"/>
  <c r="V124" i="1053"/>
  <c r="I149" i="1053" s="1"/>
  <c r="I228" i="1053"/>
  <c r="J29" i="1053"/>
  <c r="V29" i="1053"/>
  <c r="V228" i="1053" s="1"/>
  <c r="H208" i="1053"/>
  <c r="H96" i="1053"/>
  <c r="H210" i="1053"/>
  <c r="H98" i="1053"/>
  <c r="G70" i="1053"/>
  <c r="G117" i="1053" s="1"/>
  <c r="AB30" i="1053"/>
  <c r="P30" i="1053"/>
  <c r="U176" i="1053"/>
  <c r="U62" i="1053"/>
  <c r="AF107" i="1053"/>
  <c r="G144" i="1053"/>
  <c r="G145" i="1053"/>
  <c r="G146" i="1053" s="1"/>
  <c r="I178" i="1053"/>
  <c r="D226" i="1053"/>
  <c r="B115" i="1053"/>
  <c r="J217" i="1053"/>
  <c r="J167" i="1053"/>
  <c r="J179" i="1053"/>
  <c r="K4" i="1053"/>
  <c r="J131" i="1053"/>
  <c r="J133" i="1053"/>
  <c r="J168" i="1053"/>
  <c r="J139" i="1053"/>
  <c r="J132" i="1053"/>
  <c r="W4" i="1053"/>
  <c r="J134" i="1053"/>
  <c r="H209" i="1053"/>
  <c r="H97" i="1053"/>
  <c r="AA107" i="1053"/>
  <c r="T212" i="1053"/>
  <c r="T100" i="1053"/>
  <c r="H198" i="1053"/>
  <c r="H196" i="1053"/>
  <c r="H197" i="1053"/>
  <c r="U182" i="1053"/>
  <c r="U68" i="1053"/>
  <c r="T212" i="1056"/>
  <c r="T100" i="1056"/>
  <c r="N194" i="1056"/>
  <c r="N192" i="1056"/>
  <c r="N195" i="1056"/>
  <c r="N193" i="1056"/>
  <c r="N77" i="1056"/>
  <c r="AA6" i="1056"/>
  <c r="H203" i="1055"/>
  <c r="H91" i="1055"/>
  <c r="T207" i="1055"/>
  <c r="T95" i="1055"/>
  <c r="H207" i="1055"/>
  <c r="H95" i="1055"/>
  <c r="H211" i="1055"/>
  <c r="H99" i="1055"/>
  <c r="AD194" i="1055"/>
  <c r="U174" i="1055"/>
  <c r="U60" i="1055"/>
  <c r="U125" i="1055"/>
  <c r="U129" i="1055"/>
  <c r="U163" i="1055" s="1"/>
  <c r="U123" i="1055"/>
  <c r="U130" i="1055"/>
  <c r="U164" i="1055" s="1"/>
  <c r="U69" i="1055"/>
  <c r="U54" i="1055"/>
  <c r="U53" i="1055"/>
  <c r="H206" i="1055"/>
  <c r="H94" i="1055"/>
  <c r="U197" i="1051"/>
  <c r="T196" i="1056"/>
  <c r="H212" i="1056"/>
  <c r="H100" i="1056"/>
  <c r="N228" i="1056"/>
  <c r="O29" i="1056"/>
  <c r="AA29" i="1056"/>
  <c r="AA228" i="1056" s="1"/>
  <c r="AF124" i="1051"/>
  <c r="T215" i="1056"/>
  <c r="T103" i="1056"/>
  <c r="Z80" i="1056"/>
  <c r="AD124" i="1056"/>
  <c r="AD105" i="1056"/>
  <c r="AD218" i="1056" s="1"/>
  <c r="U211" i="1056"/>
  <c r="U99" i="1056"/>
  <c r="U207" i="1056"/>
  <c r="U95" i="1056"/>
  <c r="T202" i="1056"/>
  <c r="T142" i="1056"/>
  <c r="T143" i="1056" s="1"/>
  <c r="T90" i="1056"/>
  <c r="T110" i="1056" s="1"/>
  <c r="V56" i="1056"/>
  <c r="I202" i="1055"/>
  <c r="I90" i="1055"/>
  <c r="I178" i="1055"/>
  <c r="V21" i="1055"/>
  <c r="J21" i="1055"/>
  <c r="J64" i="1055" s="1"/>
  <c r="Y107" i="1055"/>
  <c r="T140" i="1055"/>
  <c r="I62" i="1055"/>
  <c r="I66" i="1055"/>
  <c r="H209" i="1055"/>
  <c r="H97" i="1055"/>
  <c r="U204" i="1055"/>
  <c r="U92" i="1055"/>
  <c r="T211" i="1055"/>
  <c r="T99" i="1055"/>
  <c r="I173" i="1055"/>
  <c r="V16" i="1055"/>
  <c r="J16" i="1055"/>
  <c r="U131" i="1055"/>
  <c r="U55" i="1055" s="1"/>
  <c r="H149" i="1055"/>
  <c r="Z107" i="1055"/>
  <c r="AC194" i="1054"/>
  <c r="T111" i="1055"/>
  <c r="T121" i="1055"/>
  <c r="H205" i="1054"/>
  <c r="H93" i="1054"/>
  <c r="Z105" i="1054"/>
  <c r="Z218" i="1054" s="1"/>
  <c r="Z124" i="1054"/>
  <c r="I196" i="1054"/>
  <c r="I198" i="1054"/>
  <c r="I197" i="1054"/>
  <c r="H202" i="1054"/>
  <c r="H142" i="1054"/>
  <c r="H143" i="1054" s="1"/>
  <c r="H90" i="1054"/>
  <c r="T140" i="1054"/>
  <c r="T147" i="1054" s="1"/>
  <c r="I174" i="1054"/>
  <c r="V17" i="1054"/>
  <c r="J17" i="1054"/>
  <c r="H96" i="1054"/>
  <c r="H208" i="1054"/>
  <c r="J20" i="1054"/>
  <c r="I177" i="1054"/>
  <c r="V20" i="1054"/>
  <c r="T94" i="1054"/>
  <c r="T206" i="1054"/>
  <c r="I64" i="1054"/>
  <c r="U64" i="1054"/>
  <c r="I173" i="1054"/>
  <c r="V16" i="1054"/>
  <c r="J16" i="1054"/>
  <c r="K221" i="1054"/>
  <c r="K109" i="1054"/>
  <c r="Z107" i="1054"/>
  <c r="H149" i="1054"/>
  <c r="U168" i="1054"/>
  <c r="G207" i="1053"/>
  <c r="G95" i="1053"/>
  <c r="I132" i="1053"/>
  <c r="T207" i="1053"/>
  <c r="T95" i="1053"/>
  <c r="T111" i="1053"/>
  <c r="T121" i="1053"/>
  <c r="AD77" i="1053"/>
  <c r="H213" i="1053"/>
  <c r="H101" i="1053"/>
  <c r="V174" i="1053"/>
  <c r="V60" i="1053"/>
  <c r="H205" i="1053"/>
  <c r="H93" i="1053"/>
  <c r="U177" i="1053"/>
  <c r="U63" i="1053"/>
  <c r="I221" i="1053"/>
  <c r="I109" i="1053"/>
  <c r="I134" i="1053"/>
  <c r="T211" i="1053"/>
  <c r="T99" i="1053"/>
  <c r="I173" i="1053"/>
  <c r="J16" i="1053"/>
  <c r="V16" i="1053"/>
  <c r="J221" i="1053"/>
  <c r="J109" i="1053"/>
  <c r="D169" i="1053"/>
  <c r="B56" i="1053"/>
  <c r="U210" i="1056"/>
  <c r="U98" i="1056"/>
  <c r="U206" i="1056"/>
  <c r="U94" i="1056"/>
  <c r="I221" i="1056"/>
  <c r="I109" i="1056"/>
  <c r="U168" i="1055"/>
  <c r="G206" i="1056"/>
  <c r="G94" i="1056"/>
  <c r="W51" i="1056"/>
  <c r="K51" i="1056"/>
  <c r="G207" i="1056"/>
  <c r="G95" i="1056"/>
  <c r="T204" i="1056"/>
  <c r="T92" i="1056"/>
  <c r="X107" i="1056"/>
  <c r="I130" i="1056" a="1"/>
  <c r="I130" i="1056" s="1"/>
  <c r="I164" i="1056" s="1"/>
  <c r="I123" i="1056"/>
  <c r="I121" i="1056" s="1"/>
  <c r="I129" i="1056"/>
  <c r="I163" i="1056" s="1"/>
  <c r="J10" i="1056"/>
  <c r="H214" i="1056"/>
  <c r="H102" i="1056"/>
  <c r="I178" i="1056"/>
  <c r="J21" i="1056"/>
  <c r="V21" i="1056"/>
  <c r="H121" i="1056"/>
  <c r="H111" i="1056"/>
  <c r="K11" i="1056"/>
  <c r="W11" i="1056"/>
  <c r="W10" i="1056" s="1"/>
  <c r="J166" i="1056"/>
  <c r="J165" i="1056"/>
  <c r="K12" i="1056"/>
  <c r="W12" i="1056"/>
  <c r="U111" i="1056"/>
  <c r="U121" i="1056"/>
  <c r="G219" i="1055"/>
  <c r="G106" i="1055"/>
  <c r="U67" i="1055"/>
  <c r="T197" i="1051"/>
  <c r="D224" i="1056"/>
  <c r="B113" i="1056"/>
  <c r="B114" i="1056" s="1"/>
  <c r="Z77" i="1056"/>
  <c r="H140" i="1056"/>
  <c r="T208" i="1056"/>
  <c r="T96" i="1056"/>
  <c r="I125" i="1056"/>
  <c r="I108" i="1056"/>
  <c r="I69" i="1056"/>
  <c r="I62" i="1056"/>
  <c r="I58" i="1056"/>
  <c r="I67" i="1056"/>
  <c r="I64" i="1056"/>
  <c r="I59" i="1056"/>
  <c r="I54" i="1056"/>
  <c r="I70" i="1056" s="1"/>
  <c r="I68" i="1056"/>
  <c r="I66" i="1056"/>
  <c r="I60" i="1056"/>
  <c r="I56" i="1056"/>
  <c r="I63" i="1056"/>
  <c r="I53" i="1056"/>
  <c r="I61" i="1056"/>
  <c r="I57" i="1056"/>
  <c r="V8" i="1056"/>
  <c r="J8" i="1056"/>
  <c r="I55" i="1056"/>
  <c r="I65" i="1056"/>
  <c r="Z195" i="1056"/>
  <c r="H204" i="1056"/>
  <c r="H92" i="1056"/>
  <c r="H206" i="1056"/>
  <c r="H94" i="1056"/>
  <c r="V216" i="1056"/>
  <c r="I177" i="1056"/>
  <c r="J20" i="1056"/>
  <c r="V20" i="1056"/>
  <c r="H197" i="1056"/>
  <c r="H196" i="1056"/>
  <c r="H198" i="1056"/>
  <c r="T71" i="1056"/>
  <c r="W49" i="1056"/>
  <c r="K49" i="1056"/>
  <c r="Z194" i="1056"/>
  <c r="I236" i="1056"/>
  <c r="U77" i="1056"/>
  <c r="U177" i="1056"/>
  <c r="U173" i="1056"/>
  <c r="U236" i="1056"/>
  <c r="U124" i="1056"/>
  <c r="H149" i="1056" s="1"/>
  <c r="U105" i="1056"/>
  <c r="U218" i="1056" s="1"/>
  <c r="K13" i="1056"/>
  <c r="W13" i="1056"/>
  <c r="W56" i="1056" s="1"/>
  <c r="D169" i="1056"/>
  <c r="B56" i="1056"/>
  <c r="K129" i="1055"/>
  <c r="K163" i="1055" s="1"/>
  <c r="K130" i="1055" a="1"/>
  <c r="K130" i="1055" s="1"/>
  <c r="K164" i="1055" s="1"/>
  <c r="K123" i="1055"/>
  <c r="K125" i="1055"/>
  <c r="L10" i="1055"/>
  <c r="L180" i="1055" s="1"/>
  <c r="I59" i="1055"/>
  <c r="J196" i="1055"/>
  <c r="J197" i="1055"/>
  <c r="J198" i="1055"/>
  <c r="H212" i="1055"/>
  <c r="H100" i="1055"/>
  <c r="H202" i="1055"/>
  <c r="H142" i="1055"/>
  <c r="H143" i="1055" s="1"/>
  <c r="H90" i="1055"/>
  <c r="AD80" i="1055"/>
  <c r="I174" i="1055"/>
  <c r="V17" i="1055"/>
  <c r="J17" i="1055"/>
  <c r="I104" i="1055"/>
  <c r="V11" i="1055"/>
  <c r="V10" i="1055" s="1"/>
  <c r="J11" i="1055"/>
  <c r="J108" i="1055" s="1"/>
  <c r="G117" i="1055"/>
  <c r="V215" i="1055"/>
  <c r="V103" i="1055"/>
  <c r="U173" i="1055"/>
  <c r="U59" i="1055"/>
  <c r="U167" i="1055"/>
  <c r="U236" i="1055"/>
  <c r="G210" i="1054"/>
  <c r="G98" i="1054"/>
  <c r="N24" i="1054"/>
  <c r="Z24" i="1054"/>
  <c r="H221" i="1054"/>
  <c r="H109" i="1054"/>
  <c r="H70" i="1054"/>
  <c r="H211" i="1054"/>
  <c r="H99" i="1054"/>
  <c r="H140" i="1054"/>
  <c r="AD77" i="1054"/>
  <c r="H121" i="1054"/>
  <c r="H111" i="1054"/>
  <c r="H112" i="1054" s="1"/>
  <c r="H204" i="1054"/>
  <c r="H92" i="1054"/>
  <c r="G117" i="1054"/>
  <c r="V11" i="1054"/>
  <c r="V10" i="1054" s="1"/>
  <c r="J11" i="1054"/>
  <c r="I104" i="1054"/>
  <c r="J198" i="1054"/>
  <c r="J196" i="1054"/>
  <c r="J197" i="1054"/>
  <c r="I63" i="1054"/>
  <c r="I67" i="1054"/>
  <c r="U173" i="1054"/>
  <c r="U59" i="1054"/>
  <c r="X51" i="1054"/>
  <c r="L51" i="1054"/>
  <c r="U60" i="1054"/>
  <c r="U179" i="1054"/>
  <c r="H140" i="1053"/>
  <c r="I216" i="1053" a="1"/>
  <c r="I216" i="1053" s="1"/>
  <c r="AB107" i="1053"/>
  <c r="G209" i="1053"/>
  <c r="G97" i="1053"/>
  <c r="AC107" i="1053"/>
  <c r="T209" i="1053"/>
  <c r="T97" i="1053"/>
  <c r="V49" i="1053"/>
  <c r="J49" i="1053"/>
  <c r="U181" i="1053"/>
  <c r="U166" i="1053"/>
  <c r="U165" i="1053"/>
  <c r="U169" i="1053" s="1"/>
  <c r="U180" i="1053"/>
  <c r="U67" i="1053"/>
  <c r="U66" i="1053"/>
  <c r="I167" i="1053"/>
  <c r="H94" i="1053"/>
  <c r="H206" i="1053"/>
  <c r="U171" i="1053"/>
  <c r="U57" i="1053"/>
  <c r="V171" i="1053"/>
  <c r="V57" i="1053"/>
  <c r="H112" i="1053"/>
  <c r="G205" i="1052"/>
  <c r="G93" i="1052"/>
  <c r="G70" i="1052"/>
  <c r="H203" i="1052"/>
  <c r="H91" i="1052"/>
  <c r="H204" i="1052"/>
  <c r="H92" i="1052"/>
  <c r="H111" i="1052"/>
  <c r="H121" i="1052"/>
  <c r="H211" i="1051"/>
  <c r="H99" i="1051"/>
  <c r="H140" i="1051"/>
  <c r="Z199" i="1051"/>
  <c r="U182" i="1052"/>
  <c r="U68" i="1052"/>
  <c r="H71" i="1052"/>
  <c r="H89" i="1052" s="1"/>
  <c r="H70" i="1052"/>
  <c r="H212" i="1052"/>
  <c r="H100" i="1052"/>
  <c r="L194" i="1052"/>
  <c r="L192" i="1052"/>
  <c r="L195" i="1052"/>
  <c r="L193" i="1052"/>
  <c r="L77" i="1052"/>
  <c r="Y6" i="1052"/>
  <c r="M6" i="1052"/>
  <c r="U123" i="1052"/>
  <c r="U130" i="1052"/>
  <c r="U164" i="1052" s="1"/>
  <c r="U129" i="1052"/>
  <c r="U163" i="1052" s="1"/>
  <c r="U125" i="1052"/>
  <c r="U53" i="1052"/>
  <c r="U69" i="1052"/>
  <c r="U54" i="1052"/>
  <c r="U181" i="1052"/>
  <c r="U217" i="1052"/>
  <c r="U236" i="1052"/>
  <c r="U180" i="1052"/>
  <c r="U65" i="1052"/>
  <c r="U179" i="1052"/>
  <c r="U167" i="1052"/>
  <c r="U67" i="1052"/>
  <c r="V176" i="1051"/>
  <c r="V62" i="1051"/>
  <c r="AF105" i="1052"/>
  <c r="T208" i="1052"/>
  <c r="T96" i="1052"/>
  <c r="J111" i="1052"/>
  <c r="J121" i="1052"/>
  <c r="I207" i="1052"/>
  <c r="I95" i="1052"/>
  <c r="T203" i="1052"/>
  <c r="T91" i="1052"/>
  <c r="T141" i="1051"/>
  <c r="H203" i="1051"/>
  <c r="H91" i="1051"/>
  <c r="AB199" i="1051"/>
  <c r="K22" i="1051"/>
  <c r="W22" i="1051"/>
  <c r="G208" i="1052"/>
  <c r="G96" i="1052"/>
  <c r="H209" i="1052"/>
  <c r="H97" i="1052"/>
  <c r="I205" i="1052"/>
  <c r="I93" i="1052"/>
  <c r="H213" i="1052"/>
  <c r="H101" i="1052"/>
  <c r="T70" i="1052"/>
  <c r="T117" i="1052" s="1"/>
  <c r="G209" i="1052"/>
  <c r="G97" i="1052"/>
  <c r="D224" i="1052"/>
  <c r="B113" i="1052"/>
  <c r="B114" i="1052" s="1"/>
  <c r="Z124" i="1052"/>
  <c r="Z105" i="1052"/>
  <c r="Z218" i="1052" s="1"/>
  <c r="I217" i="1052"/>
  <c r="I131" i="1052"/>
  <c r="I179" i="1052"/>
  <c r="I168" i="1052"/>
  <c r="I167" i="1052"/>
  <c r="I132" i="1052"/>
  <c r="I133" i="1052"/>
  <c r="I139" i="1052"/>
  <c r="I134" i="1052"/>
  <c r="V4" i="1052"/>
  <c r="J4" i="1052"/>
  <c r="I65" i="1052"/>
  <c r="G140" i="1052"/>
  <c r="T207" i="1052"/>
  <c r="T95" i="1052"/>
  <c r="I198" i="1052"/>
  <c r="I196" i="1052"/>
  <c r="I197" i="1052"/>
  <c r="G210" i="1052"/>
  <c r="G98" i="1052"/>
  <c r="U177" i="1051"/>
  <c r="U63" i="1051"/>
  <c r="T214" i="1052"/>
  <c r="T102" i="1052"/>
  <c r="I209" i="1052"/>
  <c r="I97" i="1052"/>
  <c r="K88" i="1052" a="1"/>
  <c r="K88" i="1052" s="1"/>
  <c r="L9" i="1052"/>
  <c r="X9" i="1052"/>
  <c r="X88" i="1052" s="1"/>
  <c r="X109" i="1052" s="1"/>
  <c r="T211" i="1052"/>
  <c r="T99" i="1052"/>
  <c r="T140" i="1052"/>
  <c r="I208" i="1052"/>
  <c r="I96" i="1052"/>
  <c r="U66" i="1052"/>
  <c r="H213" i="1051"/>
  <c r="H101" i="1051"/>
  <c r="G141" i="1051"/>
  <c r="G148" i="1051" s="1"/>
  <c r="T213" i="1052"/>
  <c r="T101" i="1052"/>
  <c r="T206" i="1052"/>
  <c r="T94" i="1052"/>
  <c r="J66" i="1052"/>
  <c r="J65" i="1052"/>
  <c r="J67" i="1052"/>
  <c r="J69" i="1052"/>
  <c r="J53" i="1052"/>
  <c r="K8" i="1052"/>
  <c r="J54" i="1052"/>
  <c r="W8" i="1052"/>
  <c r="L50" i="1052"/>
  <c r="X50" i="1052"/>
  <c r="U173" i="1052"/>
  <c r="U59" i="1052"/>
  <c r="U172" i="1052"/>
  <c r="U58" i="1052"/>
  <c r="O30" i="1051"/>
  <c r="AA30" i="1051"/>
  <c r="I228" i="1052"/>
  <c r="V29" i="1052"/>
  <c r="V228" i="1052" s="1"/>
  <c r="J29" i="1052"/>
  <c r="T205" i="1052"/>
  <c r="T93" i="1052"/>
  <c r="R195" i="1052"/>
  <c r="R193" i="1052"/>
  <c r="R194" i="1052"/>
  <c r="R192" i="1052"/>
  <c r="R77" i="1052"/>
  <c r="AE6" i="1052"/>
  <c r="H140" i="1052"/>
  <c r="W30" i="1052"/>
  <c r="K30" i="1052"/>
  <c r="X30" i="1052" s="1"/>
  <c r="J49" i="1051"/>
  <c r="V49" i="1051"/>
  <c r="I195" i="1052"/>
  <c r="I193" i="1052"/>
  <c r="I194" i="1052"/>
  <c r="I192" i="1052"/>
  <c r="I181" i="1052"/>
  <c r="I180" i="1052"/>
  <c r="I166" i="1052"/>
  <c r="I165" i="1052"/>
  <c r="I169" i="1052" s="1"/>
  <c r="I77" i="1052"/>
  <c r="V6" i="1052"/>
  <c r="I202" i="1052"/>
  <c r="I90" i="1052"/>
  <c r="T215" i="1052"/>
  <c r="T103" i="1052"/>
  <c r="I66" i="1052"/>
  <c r="I111" i="1052"/>
  <c r="G145" i="1052"/>
  <c r="H211" i="1052"/>
  <c r="H99" i="1052"/>
  <c r="H210" i="1052"/>
  <c r="H98" i="1052"/>
  <c r="Y124" i="1052"/>
  <c r="Y105" i="1052"/>
  <c r="Y218" i="1052" s="1"/>
  <c r="U132" i="1052"/>
  <c r="AE105" i="1052"/>
  <c r="AE218" i="1052" s="1"/>
  <c r="AE124" i="1052"/>
  <c r="U175" i="1052"/>
  <c r="U61" i="1052"/>
  <c r="V12" i="1052"/>
  <c r="J12" i="1052"/>
  <c r="U176" i="1052"/>
  <c r="U62" i="1052"/>
  <c r="V182" i="1051"/>
  <c r="V68" i="1051"/>
  <c r="T206" i="1051"/>
  <c r="T94" i="1051"/>
  <c r="T111" i="1051"/>
  <c r="T121" i="1051"/>
  <c r="G145" i="1051"/>
  <c r="G147" i="1051" s="1"/>
  <c r="G144" i="1051"/>
  <c r="H206" i="1051"/>
  <c r="H94" i="1051"/>
  <c r="T198" i="1051"/>
  <c r="H212" i="1051"/>
  <c r="H100" i="1051"/>
  <c r="T202" i="1051"/>
  <c r="T90" i="1051"/>
  <c r="T110" i="1051" s="1"/>
  <c r="Y105" i="1051"/>
  <c r="Y218" i="1051" s="1"/>
  <c r="Y124" i="1051"/>
  <c r="V174" i="1051"/>
  <c r="V60" i="1051"/>
  <c r="H221" i="1051"/>
  <c r="H109" i="1051"/>
  <c r="H70" i="1051"/>
  <c r="Z124" i="1051"/>
  <c r="Z105" i="1051"/>
  <c r="Z218" i="1051" s="1"/>
  <c r="V12" i="1051"/>
  <c r="J12" i="1051"/>
  <c r="AE105" i="1051"/>
  <c r="AE218" i="1051" s="1"/>
  <c r="AE124" i="1051"/>
  <c r="AE107" i="1051"/>
  <c r="U204" i="1052"/>
  <c r="U92" i="1052"/>
  <c r="Q30" i="1052"/>
  <c r="AC30" i="1052"/>
  <c r="V178" i="1051"/>
  <c r="V64" i="1051"/>
  <c r="G219" i="1051"/>
  <c r="G106" i="1051"/>
  <c r="U182" i="1051"/>
  <c r="U68" i="1051"/>
  <c r="J51" i="1051"/>
  <c r="V51" i="1051"/>
  <c r="AA24" i="1051"/>
  <c r="O24" i="1051"/>
  <c r="AB24" i="1051" s="1"/>
  <c r="G117" i="1051"/>
  <c r="H207" i="1051"/>
  <c r="H95" i="1051"/>
  <c r="W30" i="1051"/>
  <c r="K30" i="1051"/>
  <c r="X30" i="1051" s="1"/>
  <c r="V213" i="1051"/>
  <c r="V101" i="1051"/>
  <c r="U213" i="1051"/>
  <c r="U101" i="1051"/>
  <c r="U172" i="1051"/>
  <c r="U58" i="1051"/>
  <c r="T212" i="1052"/>
  <c r="T100" i="1052"/>
  <c r="I215" i="1052"/>
  <c r="I103" i="1052"/>
  <c r="T185" i="1052"/>
  <c r="H197" i="1052"/>
  <c r="H196" i="1052"/>
  <c r="H198" i="1052"/>
  <c r="H205" i="1052"/>
  <c r="H93" i="1052"/>
  <c r="U133" i="1052"/>
  <c r="I173" i="1052"/>
  <c r="V16" i="1052"/>
  <c r="J16" i="1052"/>
  <c r="J59" i="1052" s="1"/>
  <c r="V11" i="1052"/>
  <c r="V10" i="1052" s="1"/>
  <c r="J11" i="1052"/>
  <c r="I172" i="1052"/>
  <c r="V15" i="1052"/>
  <c r="J15" i="1052"/>
  <c r="J58" i="1052" s="1"/>
  <c r="V177" i="1051"/>
  <c r="V63" i="1051"/>
  <c r="H202" i="1051"/>
  <c r="H90" i="1051"/>
  <c r="H142" i="1051"/>
  <c r="H143" i="1051" s="1"/>
  <c r="U178" i="1051"/>
  <c r="U64" i="1051"/>
  <c r="H214" i="1051"/>
  <c r="H102" i="1051"/>
  <c r="AF107" i="1051"/>
  <c r="J50" i="1051"/>
  <c r="V50" i="1051"/>
  <c r="J182" i="1051"/>
  <c r="K23" i="1051"/>
  <c r="W23" i="1051"/>
  <c r="U214" i="1051"/>
  <c r="U102" i="1051"/>
  <c r="T55" i="1051"/>
  <c r="D169" i="1051"/>
  <c r="B56" i="1051"/>
  <c r="I171" i="1051"/>
  <c r="V14" i="1051"/>
  <c r="J14" i="1051"/>
  <c r="U111" i="1051"/>
  <c r="U121" i="1051"/>
  <c r="Y4" i="1051"/>
  <c r="M4" i="1051"/>
  <c r="X105" i="1051"/>
  <c r="X218" i="1051" s="1"/>
  <c r="X124" i="1051"/>
  <c r="U173" i="1051"/>
  <c r="U59" i="1051"/>
  <c r="I172" i="1051"/>
  <c r="V15" i="1051"/>
  <c r="J15" i="1051"/>
  <c r="H198" i="1051"/>
  <c r="H197" i="1051"/>
  <c r="H196" i="1051"/>
  <c r="D169" i="1052"/>
  <c r="B56" i="1052"/>
  <c r="D224" i="1051"/>
  <c r="B113" i="1051"/>
  <c r="B114" i="1051" s="1"/>
  <c r="J196" i="1052"/>
  <c r="J198" i="1052"/>
  <c r="J197" i="1052"/>
  <c r="I62" i="1052"/>
  <c r="I71" i="1052"/>
  <c r="H214" i="1052"/>
  <c r="H102" i="1052"/>
  <c r="Z24" i="1052"/>
  <c r="N24" i="1052"/>
  <c r="H207" i="1052"/>
  <c r="H95" i="1052"/>
  <c r="I177" i="1052"/>
  <c r="V20" i="1052"/>
  <c r="J20" i="1052"/>
  <c r="U165" i="1052"/>
  <c r="U169" i="1052" s="1"/>
  <c r="T214" i="1051"/>
  <c r="T102" i="1051"/>
  <c r="V175" i="1051"/>
  <c r="V61" i="1051"/>
  <c r="T210" i="1051"/>
  <c r="T98" i="1051"/>
  <c r="U176" i="1051"/>
  <c r="U62" i="1051"/>
  <c r="O228" i="1051"/>
  <c r="P29" i="1051"/>
  <c r="AB29" i="1051"/>
  <c r="AB228" i="1051" s="1"/>
  <c r="J178" i="1051"/>
  <c r="K21" i="1051"/>
  <c r="W21" i="1051"/>
  <c r="U171" i="1051"/>
  <c r="U57" i="1051"/>
  <c r="V13" i="1051"/>
  <c r="V56" i="1051" s="1"/>
  <c r="J13" i="1051"/>
  <c r="I130" i="1051" a="1"/>
  <c r="I130" i="1051" s="1"/>
  <c r="I164" i="1051" s="1"/>
  <c r="I129" i="1051"/>
  <c r="I163" i="1051" s="1"/>
  <c r="I123" i="1051"/>
  <c r="J10" i="1051"/>
  <c r="K11" i="1051"/>
  <c r="W11" i="1051"/>
  <c r="W10" i="1051" s="1"/>
  <c r="W139" i="1051" s="1"/>
  <c r="K16" i="1051"/>
  <c r="W16" i="1051"/>
  <c r="J173" i="1051"/>
  <c r="H202" i="1052"/>
  <c r="H142" i="1052"/>
  <c r="H143" i="1052" s="1"/>
  <c r="H90" i="1052"/>
  <c r="I63" i="1052"/>
  <c r="I58" i="1052"/>
  <c r="H215" i="1052"/>
  <c r="H103" i="1052"/>
  <c r="I182" i="1052"/>
  <c r="V23" i="1052"/>
  <c r="J23" i="1052"/>
  <c r="I149" i="1052"/>
  <c r="T202" i="1052"/>
  <c r="T142" i="1052"/>
  <c r="T143" i="1052" s="1"/>
  <c r="T90" i="1052"/>
  <c r="T110" i="1052" s="1"/>
  <c r="H149" i="1052"/>
  <c r="U131" i="1052"/>
  <c r="U55" i="1052" s="1"/>
  <c r="W105" i="1052"/>
  <c r="W218" i="1052" s="1"/>
  <c r="W124" i="1052"/>
  <c r="U177" i="1052"/>
  <c r="U63" i="1052"/>
  <c r="I171" i="1052"/>
  <c r="V14" i="1052"/>
  <c r="J14" i="1052"/>
  <c r="J57" i="1052" s="1"/>
  <c r="U166" i="1052"/>
  <c r="T213" i="1051"/>
  <c r="T101" i="1051"/>
  <c r="G208" i="1051"/>
  <c r="G96" i="1051"/>
  <c r="U175" i="1051"/>
  <c r="U61" i="1051"/>
  <c r="H209" i="1051"/>
  <c r="H97" i="1051"/>
  <c r="I108" i="1051"/>
  <c r="I125" i="1051"/>
  <c r="I111" i="1051"/>
  <c r="I63" i="1051"/>
  <c r="I53" i="1051"/>
  <c r="I67" i="1051"/>
  <c r="I66" i="1051"/>
  <c r="I61" i="1051"/>
  <c r="I57" i="1051"/>
  <c r="J8" i="1051"/>
  <c r="I65" i="1051"/>
  <c r="I55" i="1051"/>
  <c r="I62" i="1051"/>
  <c r="I58" i="1051"/>
  <c r="I64" i="1051"/>
  <c r="I59" i="1051"/>
  <c r="I54" i="1051"/>
  <c r="I69" i="1051"/>
  <c r="I68" i="1051"/>
  <c r="I60" i="1051"/>
  <c r="V8" i="1051"/>
  <c r="I56" i="1051"/>
  <c r="J177" i="1051"/>
  <c r="K20" i="1051"/>
  <c r="W20" i="1051"/>
  <c r="W217" i="1051"/>
  <c r="W167" i="1051"/>
  <c r="G210" i="1051"/>
  <c r="G98" i="1051"/>
  <c r="W124" i="1051"/>
  <c r="J149" i="1051" s="1"/>
  <c r="W105" i="1051"/>
  <c r="W218" i="1051" s="1"/>
  <c r="H121" i="1051"/>
  <c r="H111" i="1051"/>
  <c r="AF105" i="1051"/>
  <c r="V125" i="1051"/>
  <c r="V130" i="1051"/>
  <c r="V164" i="1051" s="1"/>
  <c r="V54" i="1051"/>
  <c r="V129" i="1051"/>
  <c r="V163" i="1051" s="1"/>
  <c r="V69" i="1051"/>
  <c r="V53" i="1051"/>
  <c r="V123" i="1051"/>
  <c r="V67" i="1051"/>
  <c r="V65" i="1051"/>
  <c r="V173" i="1051"/>
  <c r="V59" i="1051"/>
  <c r="U178" i="1052"/>
  <c r="U64" i="1052"/>
  <c r="T210" i="1052"/>
  <c r="T98" i="1052"/>
  <c r="I64" i="1052"/>
  <c r="I67" i="1052"/>
  <c r="H208" i="1052"/>
  <c r="H96" i="1052"/>
  <c r="V22" i="1052"/>
  <c r="J22" i="1052"/>
  <c r="T121" i="1052"/>
  <c r="T111" i="1052"/>
  <c r="X124" i="1052"/>
  <c r="X105" i="1052"/>
  <c r="X218" i="1052" s="1"/>
  <c r="U171" i="1052"/>
  <c r="U57" i="1052"/>
  <c r="H208" i="1051"/>
  <c r="H96" i="1051"/>
  <c r="H205" i="1051"/>
  <c r="H93" i="1051"/>
  <c r="Q192" i="1051"/>
  <c r="Q195" i="1051"/>
  <c r="Q193" i="1051"/>
  <c r="Q77" i="1051"/>
  <c r="Q194" i="1051"/>
  <c r="R6" i="1051"/>
  <c r="AD6" i="1051"/>
  <c r="J176" i="1051"/>
  <c r="K19" i="1051"/>
  <c r="W19" i="1051"/>
  <c r="U202" i="1051"/>
  <c r="U90" i="1051"/>
  <c r="U142" i="1051"/>
  <c r="U143" i="1051" s="1"/>
  <c r="M195" i="1051"/>
  <c r="M193" i="1051"/>
  <c r="M194" i="1051"/>
  <c r="M192" i="1051"/>
  <c r="Z6" i="1051"/>
  <c r="N6" i="1051"/>
  <c r="M77" i="1051"/>
  <c r="J9" i="1051"/>
  <c r="I88" i="1051" a="1"/>
  <c r="I88" i="1051" s="1"/>
  <c r="V9" i="1051"/>
  <c r="V88" i="1051" s="1"/>
  <c r="V109" i="1051" s="1"/>
  <c r="L51" i="1052"/>
  <c r="X51" i="1052"/>
  <c r="U174" i="1051"/>
  <c r="U60" i="1051"/>
  <c r="U55" i="1051"/>
  <c r="K228" i="1051"/>
  <c r="X29" i="1051"/>
  <c r="X228" i="1051" s="1"/>
  <c r="I174" i="1052"/>
  <c r="V17" i="1052"/>
  <c r="J17" i="1052"/>
  <c r="L49" i="1052"/>
  <c r="X49" i="1052"/>
  <c r="I56" i="1052"/>
  <c r="K125" i="1052"/>
  <c r="K130" i="1052" a="1"/>
  <c r="K130" i="1052" s="1"/>
  <c r="K164" i="1052" s="1"/>
  <c r="K123" i="1052"/>
  <c r="K129" i="1052"/>
  <c r="K163" i="1052" s="1"/>
  <c r="L10" i="1052"/>
  <c r="L181" i="1052" s="1"/>
  <c r="H206" i="1052"/>
  <c r="H94" i="1052"/>
  <c r="N228" i="1052"/>
  <c r="AA29" i="1052"/>
  <c r="AA228" i="1052" s="1"/>
  <c r="O29" i="1052"/>
  <c r="I178" i="1052"/>
  <c r="V21" i="1052"/>
  <c r="J21" i="1052"/>
  <c r="J64" i="1052" s="1"/>
  <c r="G206" i="1052"/>
  <c r="G94" i="1052"/>
  <c r="I175" i="1052"/>
  <c r="V18" i="1052"/>
  <c r="J18" i="1052"/>
  <c r="I176" i="1052"/>
  <c r="V19" i="1052"/>
  <c r="J19" i="1052"/>
  <c r="J62" i="1052" s="1"/>
  <c r="H92" i="1051"/>
  <c r="H204" i="1051"/>
  <c r="J175" i="1051"/>
  <c r="K18" i="1051"/>
  <c r="W18" i="1051"/>
  <c r="T215" i="1051"/>
  <c r="T103" i="1051"/>
  <c r="H71" i="1051"/>
  <c r="H89" i="1051" s="1"/>
  <c r="G206" i="1051"/>
  <c r="G94" i="1051"/>
  <c r="J174" i="1051"/>
  <c r="K17" i="1051"/>
  <c r="W17" i="1051"/>
  <c r="T71" i="1051"/>
  <c r="U60" i="1052"/>
  <c r="U174" i="1052"/>
  <c r="Y80" i="1051"/>
  <c r="V13" i="1052"/>
  <c r="V56" i="1052" s="1"/>
  <c r="J13" i="1052"/>
  <c r="J56" i="1052" s="1"/>
  <c r="H203" i="1050"/>
  <c r="H91" i="1050"/>
  <c r="U204" i="1050"/>
  <c r="U92" i="1050"/>
  <c r="T70" i="1050"/>
  <c r="I130" i="1050" a="1"/>
  <c r="I130" i="1050" s="1"/>
  <c r="I164" i="1050" s="1"/>
  <c r="I129" i="1050"/>
  <c r="I163" i="1050" s="1"/>
  <c r="I123" i="1050"/>
  <c r="J10" i="1050"/>
  <c r="I172" i="1050"/>
  <c r="J15" i="1050"/>
  <c r="V15" i="1050"/>
  <c r="D169" i="1050"/>
  <c r="B56" i="1050"/>
  <c r="AC30" i="1050"/>
  <c r="Q30" i="1050"/>
  <c r="V62" i="1050"/>
  <c r="AA105" i="1050"/>
  <c r="AA218" i="1050" s="1"/>
  <c r="AA124" i="1050"/>
  <c r="I88" i="1050" a="1"/>
  <c r="I88" i="1050" s="1"/>
  <c r="V9" i="1050"/>
  <c r="V88" i="1050" s="1"/>
  <c r="V109" i="1050" s="1"/>
  <c r="J9" i="1050"/>
  <c r="J13" i="1050"/>
  <c r="V13" i="1050"/>
  <c r="H209" i="1050"/>
  <c r="H97" i="1050"/>
  <c r="U173" i="1050"/>
  <c r="U59" i="1050"/>
  <c r="X20" i="1050"/>
  <c r="L20" i="1050"/>
  <c r="H207" i="1050"/>
  <c r="H95" i="1050"/>
  <c r="W50" i="1050"/>
  <c r="K50" i="1050"/>
  <c r="T210" i="1050"/>
  <c r="T98" i="1050"/>
  <c r="U212" i="1050"/>
  <c r="U100" i="1050"/>
  <c r="Q228" i="1050"/>
  <c r="AD29" i="1050"/>
  <c r="AD228" i="1050" s="1"/>
  <c r="R29" i="1050"/>
  <c r="I176" i="1050"/>
  <c r="I125" i="1050"/>
  <c r="I67" i="1050"/>
  <c r="I64" i="1050"/>
  <c r="I59" i="1050"/>
  <c r="I54" i="1050"/>
  <c r="I68" i="1050"/>
  <c r="I111" i="1050"/>
  <c r="I66" i="1050"/>
  <c r="I60" i="1050"/>
  <c r="I56" i="1050"/>
  <c r="I63" i="1050"/>
  <c r="I53" i="1050"/>
  <c r="I61" i="1050"/>
  <c r="I57" i="1050"/>
  <c r="I55" i="1050"/>
  <c r="I69" i="1050"/>
  <c r="V8" i="1050"/>
  <c r="I62" i="1050"/>
  <c r="J8" i="1050"/>
  <c r="I58" i="1050"/>
  <c r="I108" i="1050"/>
  <c r="I65" i="1050"/>
  <c r="H202" i="1050"/>
  <c r="H142" i="1050"/>
  <c r="H143" i="1050" s="1"/>
  <c r="H90" i="1050"/>
  <c r="H212" i="1050"/>
  <c r="H100" i="1050"/>
  <c r="I173" i="1050"/>
  <c r="J16" i="1050"/>
  <c r="V16" i="1050"/>
  <c r="W182" i="1050"/>
  <c r="W68" i="1050"/>
  <c r="T209" i="1050"/>
  <c r="T97" i="1050"/>
  <c r="H211" i="1050"/>
  <c r="H99" i="1050"/>
  <c r="H214" i="1050"/>
  <c r="H102" i="1050"/>
  <c r="I171" i="1050"/>
  <c r="J14" i="1050"/>
  <c r="V14" i="1050"/>
  <c r="U60" i="1050"/>
  <c r="V215" i="1050"/>
  <c r="V103" i="1050"/>
  <c r="AA107" i="1050"/>
  <c r="J176" i="1050"/>
  <c r="K19" i="1050"/>
  <c r="W19" i="1050"/>
  <c r="V12" i="1050"/>
  <c r="J12" i="1050"/>
  <c r="T117" i="1050"/>
  <c r="W49" i="1050"/>
  <c r="K49" i="1050"/>
  <c r="T206" i="1050"/>
  <c r="T94" i="1050"/>
  <c r="W177" i="1050"/>
  <c r="W63" i="1050"/>
  <c r="T121" i="1050"/>
  <c r="T111" i="1050"/>
  <c r="W11" i="1050"/>
  <c r="W10" i="1050" s="1"/>
  <c r="K11" i="1050"/>
  <c r="AF107" i="1050"/>
  <c r="G207" i="1050"/>
  <c r="G95" i="1050"/>
  <c r="X51" i="1050"/>
  <c r="L51" i="1050"/>
  <c r="I216" i="1050" a="1"/>
  <c r="I216" i="1050" s="1"/>
  <c r="H204" i="1050"/>
  <c r="H92" i="1050"/>
  <c r="H206" i="1050"/>
  <c r="H94" i="1050"/>
  <c r="U131" i="1050"/>
  <c r="U55" i="1050" s="1"/>
  <c r="U217" i="1050"/>
  <c r="I195" i="1050"/>
  <c r="I193" i="1050"/>
  <c r="I166" i="1050"/>
  <c r="I165" i="1050"/>
  <c r="I169" i="1050" s="1"/>
  <c r="I181" i="1050"/>
  <c r="I180" i="1050"/>
  <c r="I194" i="1050"/>
  <c r="I192" i="1050"/>
  <c r="I77" i="1050"/>
  <c r="V6" i="1050"/>
  <c r="V176" i="1050" s="1"/>
  <c r="U174" i="1050"/>
  <c r="U172" i="1050"/>
  <c r="U58" i="1050"/>
  <c r="I228" i="1050"/>
  <c r="V29" i="1050"/>
  <c r="V228" i="1050" s="1"/>
  <c r="J29" i="1050"/>
  <c r="J149" i="1050"/>
  <c r="G70" i="1050"/>
  <c r="W178" i="1050"/>
  <c r="W64" i="1050"/>
  <c r="V129" i="1050"/>
  <c r="V163" i="1050" s="1"/>
  <c r="V123" i="1050"/>
  <c r="V130" i="1050"/>
  <c r="V164" i="1050" s="1"/>
  <c r="V125" i="1050"/>
  <c r="V53" i="1050"/>
  <c r="V69" i="1050"/>
  <c r="V54" i="1050"/>
  <c r="U215" i="1050"/>
  <c r="U103" i="1050"/>
  <c r="T140" i="1050"/>
  <c r="G210" i="1050"/>
  <c r="G98" i="1050"/>
  <c r="G140" i="1050"/>
  <c r="J175" i="1050"/>
  <c r="W18" i="1050"/>
  <c r="K18" i="1050"/>
  <c r="H208" i="1050"/>
  <c r="H96" i="1050"/>
  <c r="H210" i="1050"/>
  <c r="H98" i="1050"/>
  <c r="H111" i="1050"/>
  <c r="H121" i="1050"/>
  <c r="M192" i="1050"/>
  <c r="M195" i="1050"/>
  <c r="M194" i="1050"/>
  <c r="M193" i="1050"/>
  <c r="M77" i="1050"/>
  <c r="N6" i="1050"/>
  <c r="Z6" i="1050"/>
  <c r="U236" i="1050"/>
  <c r="U167" i="1050"/>
  <c r="K22" i="1050"/>
  <c r="W22" i="1050"/>
  <c r="Z105" i="1050"/>
  <c r="Z218" i="1050" s="1"/>
  <c r="Z124" i="1050"/>
  <c r="I236" i="1050"/>
  <c r="U185" i="1050"/>
  <c r="U171" i="1050"/>
  <c r="U57" i="1050"/>
  <c r="T55" i="1050"/>
  <c r="T205" i="1050"/>
  <c r="T93" i="1050"/>
  <c r="J174" i="1050"/>
  <c r="K17" i="1050"/>
  <c r="W17" i="1050"/>
  <c r="X21" i="1050"/>
  <c r="L21" i="1050"/>
  <c r="R193" i="1050"/>
  <c r="R195" i="1050"/>
  <c r="R192" i="1050"/>
  <c r="R194" i="1050"/>
  <c r="AE6" i="1050"/>
  <c r="R77" i="1050"/>
  <c r="T214" i="1050"/>
  <c r="T102" i="1050"/>
  <c r="H213" i="1050"/>
  <c r="H101" i="1050"/>
  <c r="H198" i="1050"/>
  <c r="H196" i="1050"/>
  <c r="H197" i="1050"/>
  <c r="T208" i="1050"/>
  <c r="T96" i="1050"/>
  <c r="U62" i="1050"/>
  <c r="I217" i="1050"/>
  <c r="I167" i="1050"/>
  <c r="I179" i="1050"/>
  <c r="I134" i="1050"/>
  <c r="I139" i="1050"/>
  <c r="I131" i="1050"/>
  <c r="I133" i="1050"/>
  <c r="I168" i="1050"/>
  <c r="I132" i="1050"/>
  <c r="J4" i="1050"/>
  <c r="V4" i="1050"/>
  <c r="H205" i="1050"/>
  <c r="H93" i="1050"/>
  <c r="U184" i="1050"/>
  <c r="U61" i="1050"/>
  <c r="U125" i="1050"/>
  <c r="U123" i="1050"/>
  <c r="U130" i="1050"/>
  <c r="U164" i="1050" s="1"/>
  <c r="U53" i="1050"/>
  <c r="U129" i="1050"/>
  <c r="U163" i="1050" s="1"/>
  <c r="U69" i="1050"/>
  <c r="U54" i="1050"/>
  <c r="AF124" i="1050"/>
  <c r="H141" i="1050"/>
  <c r="K30" i="1050"/>
  <c r="X30" i="1050" s="1"/>
  <c r="W30" i="1050"/>
  <c r="AC77" i="1050"/>
  <c r="H215" i="1050"/>
  <c r="H103" i="1050"/>
  <c r="U179" i="1050"/>
  <c r="U176" i="1050"/>
  <c r="T213" i="1050"/>
  <c r="T101" i="1050"/>
  <c r="V178" i="1050"/>
  <c r="V64" i="1050"/>
  <c r="U175" i="1050"/>
  <c r="G145" i="1050"/>
  <c r="T211" i="1050"/>
  <c r="T99" i="1050"/>
  <c r="U104" i="1050"/>
  <c r="U63" i="1050"/>
  <c r="G208" i="1050"/>
  <c r="G96" i="1050"/>
  <c r="D224" i="1050"/>
  <c r="B113" i="1050"/>
  <c r="B114" i="1050" s="1"/>
  <c r="G206" i="1050"/>
  <c r="G94" i="1050"/>
  <c r="T215" i="1050"/>
  <c r="T103" i="1050"/>
  <c r="U181" i="1050"/>
  <c r="U166" i="1050"/>
  <c r="U180" i="1050"/>
  <c r="U165" i="1050"/>
  <c r="U169" i="1050" s="1"/>
  <c r="U66" i="1050"/>
  <c r="U67" i="1050"/>
  <c r="U80" i="1050"/>
  <c r="H71" i="1050"/>
  <c r="H70" i="1050"/>
  <c r="K182" i="1050"/>
  <c r="X23" i="1050"/>
  <c r="L23" i="1050"/>
  <c r="I175" i="1050"/>
  <c r="I149" i="1050"/>
  <c r="I174" i="1050"/>
  <c r="V177" i="1050"/>
  <c r="V63" i="1050"/>
  <c r="U178" i="1050"/>
  <c r="I178" i="1050"/>
  <c r="U177" i="1050"/>
  <c r="T142" i="1050"/>
  <c r="T143" i="1050" s="1"/>
  <c r="T202" i="1050"/>
  <c r="T90" i="1050"/>
  <c r="T110" i="1050" s="1"/>
  <c r="J204" i="1058" l="1"/>
  <c r="J92" i="1058"/>
  <c r="G119" i="1063"/>
  <c r="G120" i="1063"/>
  <c r="J205" i="1058"/>
  <c r="J93" i="1058"/>
  <c r="I141" i="1060"/>
  <c r="V207" i="1063"/>
  <c r="V95" i="1063"/>
  <c r="G120" i="1060"/>
  <c r="G119" i="1060"/>
  <c r="G127" i="1060"/>
  <c r="G44" i="1058"/>
  <c r="T219" i="1062"/>
  <c r="T106" i="1062"/>
  <c r="T117" i="1062"/>
  <c r="T127" i="1062" s="1"/>
  <c r="T145" i="1058"/>
  <c r="T144" i="1058" s="1"/>
  <c r="I203" i="1062"/>
  <c r="I91" i="1062"/>
  <c r="J210" i="1058"/>
  <c r="J98" i="1058"/>
  <c r="J206" i="1058"/>
  <c r="J94" i="1058"/>
  <c r="T120" i="1059"/>
  <c r="T119" i="1059"/>
  <c r="T122" i="1059" s="1"/>
  <c r="V92" i="1060"/>
  <c r="V204" i="1060"/>
  <c r="J215" i="1060"/>
  <c r="J185" i="1060"/>
  <c r="J103" i="1060"/>
  <c r="J184" i="1060"/>
  <c r="J209" i="1060"/>
  <c r="J97" i="1060"/>
  <c r="I141" i="1063"/>
  <c r="J99" i="1063"/>
  <c r="J211" i="1063"/>
  <c r="V141" i="1057"/>
  <c r="J203" i="1059"/>
  <c r="J91" i="1059"/>
  <c r="T120" i="1060"/>
  <c r="T119" i="1060"/>
  <c r="J171" i="1063"/>
  <c r="W14" i="1063"/>
  <c r="K14" i="1063"/>
  <c r="V147" i="1061"/>
  <c r="V145" i="1061"/>
  <c r="V144" i="1061"/>
  <c r="I203" i="1063"/>
  <c r="I91" i="1063"/>
  <c r="J176" i="1064"/>
  <c r="K19" i="1064"/>
  <c r="W19" i="1064"/>
  <c r="U213" i="1063"/>
  <c r="U101" i="1063"/>
  <c r="J108" i="1064"/>
  <c r="J63" i="1064"/>
  <c r="J53" i="1064"/>
  <c r="J58" i="1064"/>
  <c r="K8" i="1064"/>
  <c r="J61" i="1064"/>
  <c r="J57" i="1064"/>
  <c r="J69" i="1064"/>
  <c r="J60" i="1064"/>
  <c r="J66" i="1064"/>
  <c r="J56" i="1064"/>
  <c r="J59" i="1064"/>
  <c r="J65" i="1064"/>
  <c r="J68" i="1064"/>
  <c r="W8" i="1064"/>
  <c r="J67" i="1064"/>
  <c r="J62" i="1064"/>
  <c r="J54" i="1064"/>
  <c r="J64" i="1064"/>
  <c r="X176" i="1057"/>
  <c r="X62" i="1057"/>
  <c r="T119" i="1058"/>
  <c r="T120" i="1058"/>
  <c r="J129" i="1059"/>
  <c r="J163" i="1059" s="1"/>
  <c r="J123" i="1059"/>
  <c r="J180" i="1059"/>
  <c r="J181" i="1059"/>
  <c r="K10" i="1059"/>
  <c r="J130" i="1059" a="1"/>
  <c r="J130" i="1059" s="1"/>
  <c r="J164" i="1059" s="1"/>
  <c r="J125" i="1059"/>
  <c r="J216" i="1059" a="1"/>
  <c r="J216" i="1059" s="1"/>
  <c r="K228" i="1060"/>
  <c r="X29" i="1060"/>
  <c r="X228" i="1060" s="1"/>
  <c r="AD195" i="1061"/>
  <c r="AD80" i="1061"/>
  <c r="AD194" i="1061"/>
  <c r="AD77" i="1061"/>
  <c r="AB204" i="1062"/>
  <c r="AB92" i="1062"/>
  <c r="I142" i="1061"/>
  <c r="I143" i="1061" s="1"/>
  <c r="I90" i="1061"/>
  <c r="I202" i="1061"/>
  <c r="I71" i="1061"/>
  <c r="I70" i="1061"/>
  <c r="I89" i="1061" s="1"/>
  <c r="H112" i="1063"/>
  <c r="U206" i="1063"/>
  <c r="U94" i="1063"/>
  <c r="T203" i="1064"/>
  <c r="T91" i="1064"/>
  <c r="T142" i="1064"/>
  <c r="T143" i="1064" s="1"/>
  <c r="M195" i="1062"/>
  <c r="M193" i="1062"/>
  <c r="M192" i="1062"/>
  <c r="Z6" i="1062"/>
  <c r="M77" i="1062"/>
  <c r="M194" i="1062"/>
  <c r="N6" i="1062"/>
  <c r="J228" i="1062"/>
  <c r="K29" i="1062"/>
  <c r="W29" i="1062"/>
  <c r="W228" i="1062" s="1"/>
  <c r="N194" i="1059"/>
  <c r="N192" i="1059"/>
  <c r="N195" i="1059"/>
  <c r="N193" i="1059"/>
  <c r="AA6" i="1059"/>
  <c r="N77" i="1059"/>
  <c r="AF77" i="1059" s="1"/>
  <c r="Y21" i="1061"/>
  <c r="M21" i="1061"/>
  <c r="L88" i="1061" a="1"/>
  <c r="L88" i="1061" s="1"/>
  <c r="Y9" i="1061"/>
  <c r="Y88" i="1061" s="1"/>
  <c r="Y109" i="1061" s="1"/>
  <c r="M9" i="1061"/>
  <c r="J197" i="1062"/>
  <c r="J196" i="1062"/>
  <c r="J198" i="1062"/>
  <c r="K171" i="1062"/>
  <c r="X14" i="1062"/>
  <c r="L14" i="1062"/>
  <c r="H141" i="1057"/>
  <c r="K177" i="1057"/>
  <c r="K9" i="1059"/>
  <c r="J88" i="1059" a="1"/>
  <c r="J88" i="1059" s="1"/>
  <c r="W9" i="1059"/>
  <c r="W88" i="1059" s="1"/>
  <c r="W109" i="1059" s="1"/>
  <c r="I215" i="1059"/>
  <c r="I103" i="1059"/>
  <c r="I185" i="1059"/>
  <c r="I184" i="1059"/>
  <c r="J88" i="1060" a="1"/>
  <c r="J88" i="1060" s="1"/>
  <c r="W9" i="1060"/>
  <c r="W88" i="1060" s="1"/>
  <c r="W109" i="1060" s="1"/>
  <c r="K9" i="1060"/>
  <c r="W207" i="1061"/>
  <c r="W95" i="1061"/>
  <c r="K30" i="1061"/>
  <c r="X30" i="1061" s="1"/>
  <c r="W30" i="1061"/>
  <c r="V58" i="1062"/>
  <c r="V172" i="1062"/>
  <c r="U92" i="1062"/>
  <c r="U204" i="1062"/>
  <c r="I205" i="1062"/>
  <c r="I93" i="1062"/>
  <c r="I214" i="1062"/>
  <c r="I102" i="1062"/>
  <c r="AE80" i="1063"/>
  <c r="AE77" i="1063"/>
  <c r="AE194" i="1063"/>
  <c r="AE195" i="1063"/>
  <c r="U70" i="1064"/>
  <c r="U71" i="1064"/>
  <c r="V177" i="1064"/>
  <c r="V63" i="1064"/>
  <c r="Z13" i="1057"/>
  <c r="N13" i="1057"/>
  <c r="I219" i="1057"/>
  <c r="I106" i="1057"/>
  <c r="W203" i="1057"/>
  <c r="W91" i="1057"/>
  <c r="U93" i="1059"/>
  <c r="U205" i="1059"/>
  <c r="H219" i="1060"/>
  <c r="H106" i="1060"/>
  <c r="J181" i="1060"/>
  <c r="J129" i="1060"/>
  <c r="J163" i="1060" s="1"/>
  <c r="J123" i="1060"/>
  <c r="J180" i="1060"/>
  <c r="K10" i="1060"/>
  <c r="J130" i="1060" a="1"/>
  <c r="J130" i="1060" s="1"/>
  <c r="J164" i="1060" s="1"/>
  <c r="J125" i="1060"/>
  <c r="J216" i="1060" a="1"/>
  <c r="J216" i="1060" s="1"/>
  <c r="X92" i="1061"/>
  <c r="X204" i="1061"/>
  <c r="V146" i="1061"/>
  <c r="V148" i="1061" s="1"/>
  <c r="V141" i="1061"/>
  <c r="J175" i="1063"/>
  <c r="W18" i="1063"/>
  <c r="K18" i="1063"/>
  <c r="J181" i="1063"/>
  <c r="J180" i="1063"/>
  <c r="J130" i="1063" a="1"/>
  <c r="J130" i="1063" s="1"/>
  <c r="J164" i="1063" s="1"/>
  <c r="J125" i="1063"/>
  <c r="J123" i="1063"/>
  <c r="J129" i="1063"/>
  <c r="J163" i="1063" s="1"/>
  <c r="K10" i="1063"/>
  <c r="J216" i="1063" a="1"/>
  <c r="J216" i="1063" s="1"/>
  <c r="T203" i="1063"/>
  <c r="T91" i="1063"/>
  <c r="M51" i="1064"/>
  <c r="Y51" i="1064"/>
  <c r="D226" i="1064"/>
  <c r="B115" i="1064"/>
  <c r="U205" i="1064"/>
  <c r="U93" i="1064"/>
  <c r="O228" i="1059"/>
  <c r="AB29" i="1059"/>
  <c r="AB228" i="1059" s="1"/>
  <c r="P29" i="1059"/>
  <c r="W16" i="1060"/>
  <c r="J173" i="1060"/>
  <c r="K16" i="1060"/>
  <c r="W57" i="1060"/>
  <c r="W171" i="1060"/>
  <c r="J93" i="1060"/>
  <c r="J205" i="1060"/>
  <c r="J62" i="1060"/>
  <c r="J59" i="1060"/>
  <c r="U208" i="1062"/>
  <c r="U96" i="1062"/>
  <c r="K176" i="1062"/>
  <c r="L19" i="1062"/>
  <c r="X19" i="1062"/>
  <c r="X13" i="1063"/>
  <c r="X56" i="1063" s="1"/>
  <c r="L13" i="1063"/>
  <c r="J57" i="1063"/>
  <c r="J215" i="1063"/>
  <c r="J103" i="1063"/>
  <c r="J184" i="1063"/>
  <c r="J185" i="1063"/>
  <c r="I202" i="1057"/>
  <c r="I142" i="1057"/>
  <c r="I143" i="1057" s="1"/>
  <c r="I90" i="1057"/>
  <c r="U111" i="1058"/>
  <c r="U121" i="1058"/>
  <c r="AA24" i="1058"/>
  <c r="O24" i="1058"/>
  <c r="AB24" i="1058" s="1"/>
  <c r="J171" i="1059"/>
  <c r="W14" i="1059"/>
  <c r="K14" i="1059"/>
  <c r="W71" i="1061"/>
  <c r="X181" i="1061"/>
  <c r="Y51" i="1062"/>
  <c r="M51" i="1062"/>
  <c r="Y77" i="1064"/>
  <c r="Y195" i="1064"/>
  <c r="Y194" i="1064"/>
  <c r="Y80" i="1064"/>
  <c r="G146" i="1057"/>
  <c r="G127" i="1064"/>
  <c r="G44" i="1064"/>
  <c r="T70" i="1064"/>
  <c r="J104" i="1058"/>
  <c r="K11" i="1058"/>
  <c r="W11" i="1058"/>
  <c r="W10" i="1058" s="1"/>
  <c r="W168" i="1058" s="1"/>
  <c r="J236" i="1058"/>
  <c r="H112" i="1062"/>
  <c r="M173" i="1057"/>
  <c r="Z16" i="1057"/>
  <c r="N16" i="1057"/>
  <c r="K130" i="1057" a="1"/>
  <c r="K130" i="1057" s="1"/>
  <c r="K164" i="1057" s="1"/>
  <c r="K123" i="1057"/>
  <c r="K125" i="1057"/>
  <c r="L10" i="1057"/>
  <c r="K129" i="1057"/>
  <c r="K163" i="1057" s="1"/>
  <c r="K180" i="1057"/>
  <c r="K216" i="1057" a="1"/>
  <c r="K216" i="1057" s="1"/>
  <c r="K181" i="1057"/>
  <c r="X182" i="1057"/>
  <c r="X68" i="1057"/>
  <c r="V55" i="1058"/>
  <c r="L12" i="1059"/>
  <c r="K165" i="1059"/>
  <c r="X12" i="1059"/>
  <c r="K166" i="1059"/>
  <c r="I209" i="1059"/>
  <c r="I97" i="1059"/>
  <c r="I212" i="1060"/>
  <c r="I100" i="1060"/>
  <c r="J217" i="1059"/>
  <c r="U205" i="1062"/>
  <c r="U93" i="1062"/>
  <c r="W134" i="1062"/>
  <c r="W133" i="1062"/>
  <c r="W132" i="1062"/>
  <c r="W131" i="1062"/>
  <c r="U208" i="1063"/>
  <c r="U96" i="1063"/>
  <c r="W17" i="1063"/>
  <c r="J174" i="1063"/>
  <c r="K17" i="1063"/>
  <c r="V171" i="1063"/>
  <c r="V57" i="1063"/>
  <c r="J175" i="1064"/>
  <c r="K18" i="1064"/>
  <c r="W18" i="1064"/>
  <c r="J182" i="1064"/>
  <c r="K23" i="1064"/>
  <c r="W23" i="1064"/>
  <c r="M193" i="1063"/>
  <c r="M195" i="1063"/>
  <c r="M194" i="1063"/>
  <c r="M192" i="1063"/>
  <c r="N6" i="1063"/>
  <c r="Z6" i="1063"/>
  <c r="M77" i="1063"/>
  <c r="K175" i="1057"/>
  <c r="V180" i="1058"/>
  <c r="J103" i="1059"/>
  <c r="J215" i="1059"/>
  <c r="J185" i="1059"/>
  <c r="J184" i="1059"/>
  <c r="J67" i="1059"/>
  <c r="I210" i="1059"/>
  <c r="I98" i="1059"/>
  <c r="T141" i="1061"/>
  <c r="U121" i="1060"/>
  <c r="U111" i="1060"/>
  <c r="W210" i="1061"/>
  <c r="W98" i="1061"/>
  <c r="I103" i="1060"/>
  <c r="I215" i="1060"/>
  <c r="I184" i="1060"/>
  <c r="I185" i="1060"/>
  <c r="W30" i="1062"/>
  <c r="K30" i="1062"/>
  <c r="X30" i="1062" s="1"/>
  <c r="U111" i="1063"/>
  <c r="U121" i="1063"/>
  <c r="V176" i="1064"/>
  <c r="V62" i="1064"/>
  <c r="J228" i="1064"/>
  <c r="W29" i="1064"/>
  <c r="W228" i="1064" s="1"/>
  <c r="K29" i="1064"/>
  <c r="U214" i="1063"/>
  <c r="U102" i="1063"/>
  <c r="I70" i="1064"/>
  <c r="O24" i="1064"/>
  <c r="AB24" i="1064" s="1"/>
  <c r="AA24" i="1064"/>
  <c r="I207" i="1064"/>
  <c r="I95" i="1064"/>
  <c r="I206" i="1064"/>
  <c r="I94" i="1064"/>
  <c r="K176" i="1057"/>
  <c r="O24" i="1060"/>
  <c r="AB24" i="1060" s="1"/>
  <c r="AA24" i="1060"/>
  <c r="U203" i="1060"/>
  <c r="U91" i="1060"/>
  <c r="W12" i="1060"/>
  <c r="J166" i="1060"/>
  <c r="K12" i="1060"/>
  <c r="J165" i="1060"/>
  <c r="W20" i="1060"/>
  <c r="J177" i="1060"/>
  <c r="K20" i="1060"/>
  <c r="I204" i="1061"/>
  <c r="I92" i="1061"/>
  <c r="I207" i="1061"/>
  <c r="I95" i="1061"/>
  <c r="I203" i="1061"/>
  <c r="I91" i="1061"/>
  <c r="U98" i="1062"/>
  <c r="U210" i="1062"/>
  <c r="J104" i="1063"/>
  <c r="W11" i="1063"/>
  <c r="K11" i="1063"/>
  <c r="J236" i="1063"/>
  <c r="V204" i="1062"/>
  <c r="V92" i="1062"/>
  <c r="AD77" i="1064"/>
  <c r="AD80" i="1064"/>
  <c r="AD195" i="1064"/>
  <c r="AD194" i="1064"/>
  <c r="U214" i="1062"/>
  <c r="U102" i="1062"/>
  <c r="I55" i="1058"/>
  <c r="H89" i="1058"/>
  <c r="V133" i="1060"/>
  <c r="V134" i="1060"/>
  <c r="V132" i="1060"/>
  <c r="V131" i="1060"/>
  <c r="V60" i="1060"/>
  <c r="X213" i="1057"/>
  <c r="X101" i="1057"/>
  <c r="D170" i="1058"/>
  <c r="B57" i="1058"/>
  <c r="Q228" i="1057"/>
  <c r="AD29" i="1057"/>
  <c r="AD228" i="1057" s="1"/>
  <c r="R29" i="1057"/>
  <c r="U207" i="1058"/>
  <c r="U95" i="1058"/>
  <c r="V172" i="1060"/>
  <c r="V58" i="1060"/>
  <c r="Y77" i="1061"/>
  <c r="Y80" i="1061"/>
  <c r="Y56" i="1061"/>
  <c r="Y195" i="1061"/>
  <c r="Y194" i="1061"/>
  <c r="H145" i="1062"/>
  <c r="H147" i="1062" s="1"/>
  <c r="V131" i="1062"/>
  <c r="V55" i="1062" s="1"/>
  <c r="I208" i="1062"/>
  <c r="I96" i="1062"/>
  <c r="I211" i="1062"/>
  <c r="I99" i="1062"/>
  <c r="I140" i="1062"/>
  <c r="I112" i="1062"/>
  <c r="H89" i="1064"/>
  <c r="Y56" i="1057"/>
  <c r="J171" i="1058"/>
  <c r="K14" i="1058"/>
  <c r="W14" i="1058"/>
  <c r="T203" i="1059"/>
  <c r="T91" i="1059"/>
  <c r="T117" i="1059"/>
  <c r="T127" i="1059" s="1"/>
  <c r="I71" i="1060"/>
  <c r="I109" i="1062"/>
  <c r="I221" i="1062"/>
  <c r="I70" i="1062"/>
  <c r="I117" i="1062"/>
  <c r="V175" i="1063"/>
  <c r="V61" i="1063"/>
  <c r="I121" i="1063"/>
  <c r="I111" i="1063"/>
  <c r="J166" i="1063"/>
  <c r="J165" i="1063"/>
  <c r="W12" i="1063"/>
  <c r="K12" i="1063"/>
  <c r="K130" i="1064" a="1"/>
  <c r="K130" i="1064" s="1"/>
  <c r="K164" i="1064" s="1"/>
  <c r="K123" i="1064"/>
  <c r="K125" i="1064"/>
  <c r="K129" i="1064"/>
  <c r="K163" i="1064" s="1"/>
  <c r="L10" i="1064"/>
  <c r="K181" i="1064"/>
  <c r="K180" i="1064"/>
  <c r="K216" i="1064" a="1"/>
  <c r="K216" i="1064" s="1"/>
  <c r="W11" i="1064"/>
  <c r="K11" i="1064"/>
  <c r="J104" i="1064"/>
  <c r="J236" i="1064"/>
  <c r="V174" i="1058"/>
  <c r="V60" i="1058"/>
  <c r="W30" i="1058"/>
  <c r="K30" i="1058"/>
  <c r="X30" i="1058" s="1"/>
  <c r="L13" i="1059"/>
  <c r="X13" i="1059"/>
  <c r="X56" i="1059" s="1"/>
  <c r="J182" i="1059"/>
  <c r="W23" i="1059"/>
  <c r="K23" i="1059"/>
  <c r="J111" i="1061"/>
  <c r="J121" i="1061"/>
  <c r="K64" i="1060"/>
  <c r="K59" i="1060"/>
  <c r="K54" i="1060"/>
  <c r="K57" i="1060"/>
  <c r="L8" i="1060"/>
  <c r="K63" i="1060"/>
  <c r="K56" i="1060"/>
  <c r="K67" i="1060"/>
  <c r="K66" i="1060"/>
  <c r="K58" i="1060"/>
  <c r="K69" i="1060"/>
  <c r="X8" i="1060"/>
  <c r="K53" i="1060"/>
  <c r="J66" i="1060"/>
  <c r="J64" i="1060"/>
  <c r="J182" i="1062"/>
  <c r="K23" i="1062"/>
  <c r="W23" i="1062"/>
  <c r="W204" i="1063"/>
  <c r="W92" i="1063"/>
  <c r="J61" i="1063"/>
  <c r="U212" i="1063"/>
  <c r="U100" i="1063"/>
  <c r="I211" i="1057"/>
  <c r="I99" i="1057"/>
  <c r="I140" i="1057"/>
  <c r="I101" i="1057"/>
  <c r="I213" i="1057"/>
  <c r="U71" i="1058"/>
  <c r="U70" i="1058"/>
  <c r="X50" i="1059"/>
  <c r="L50" i="1059"/>
  <c r="B57" i="1062"/>
  <c r="D170" i="1062"/>
  <c r="W214" i="1061"/>
  <c r="W102" i="1061"/>
  <c r="U207" i="1063"/>
  <c r="U95" i="1063"/>
  <c r="M195" i="1064"/>
  <c r="M193" i="1064"/>
  <c r="M194" i="1064"/>
  <c r="M192" i="1064"/>
  <c r="N6" i="1064"/>
  <c r="Z6" i="1064"/>
  <c r="M77" i="1064"/>
  <c r="J171" i="1064"/>
  <c r="K14" i="1064"/>
  <c r="W14" i="1064"/>
  <c r="H110" i="1055"/>
  <c r="T117" i="1055"/>
  <c r="T127" i="1055" s="1"/>
  <c r="Y173" i="1057"/>
  <c r="Y59" i="1057"/>
  <c r="G106" i="1057"/>
  <c r="G219" i="1057"/>
  <c r="V168" i="1058"/>
  <c r="K228" i="1058"/>
  <c r="X29" i="1058"/>
  <c r="X228" i="1058" s="1"/>
  <c r="W166" i="1059"/>
  <c r="W165" i="1059"/>
  <c r="I93" i="1060"/>
  <c r="I205" i="1060"/>
  <c r="K179" i="1059"/>
  <c r="K168" i="1059"/>
  <c r="K132" i="1059"/>
  <c r="K131" i="1059"/>
  <c r="K55" i="1059" s="1"/>
  <c r="K217" i="1059"/>
  <c r="K169" i="1059"/>
  <c r="K167" i="1059"/>
  <c r="K134" i="1059"/>
  <c r="K139" i="1059"/>
  <c r="X4" i="1059"/>
  <c r="L4" i="1059"/>
  <c r="K133" i="1059"/>
  <c r="H141" i="1062"/>
  <c r="H148" i="1062" s="1"/>
  <c r="V174" i="1063"/>
  <c r="V60" i="1063"/>
  <c r="V175" i="1064"/>
  <c r="V61" i="1064"/>
  <c r="V182" i="1064"/>
  <c r="V68" i="1064"/>
  <c r="Y194" i="1063"/>
  <c r="Y80" i="1063"/>
  <c r="Y77" i="1063"/>
  <c r="Y195" i="1063"/>
  <c r="M51" i="1057"/>
  <c r="Y51" i="1057"/>
  <c r="U213" i="1058"/>
  <c r="U101" i="1058"/>
  <c r="V175" i="1058"/>
  <c r="V61" i="1058"/>
  <c r="W22" i="1059"/>
  <c r="K22" i="1059"/>
  <c r="P30" i="1059"/>
  <c r="AB30" i="1059"/>
  <c r="K67" i="1059"/>
  <c r="K64" i="1059"/>
  <c r="K63" i="1059"/>
  <c r="K57" i="1059"/>
  <c r="L8" i="1059"/>
  <c r="K66" i="1059"/>
  <c r="K65" i="1059"/>
  <c r="K59" i="1059"/>
  <c r="K54" i="1059"/>
  <c r="K53" i="1059"/>
  <c r="K56" i="1059"/>
  <c r="K108" i="1059"/>
  <c r="K60" i="1059"/>
  <c r="K69" i="1059"/>
  <c r="X8" i="1059"/>
  <c r="K68" i="1059"/>
  <c r="U95" i="1060"/>
  <c r="U207" i="1060"/>
  <c r="U196" i="1060"/>
  <c r="U198" i="1060"/>
  <c r="U197" i="1060"/>
  <c r="V182" i="1060"/>
  <c r="V68" i="1060"/>
  <c r="Z51" i="1061"/>
  <c r="N51" i="1061"/>
  <c r="D228" i="1062"/>
  <c r="B117" i="1062"/>
  <c r="U197" i="1063"/>
  <c r="U196" i="1063"/>
  <c r="U198" i="1063"/>
  <c r="O228" i="1063"/>
  <c r="AB29" i="1063"/>
  <c r="AB228" i="1063" s="1"/>
  <c r="P29" i="1063"/>
  <c r="J172" i="1063"/>
  <c r="W15" i="1063"/>
  <c r="K15" i="1063"/>
  <c r="I212" i="1064"/>
  <c r="I100" i="1064"/>
  <c r="I202" i="1064"/>
  <c r="I142" i="1064"/>
  <c r="I143" i="1064" s="1"/>
  <c r="I90" i="1064"/>
  <c r="I214" i="1064"/>
  <c r="I102" i="1064"/>
  <c r="M50" i="1057"/>
  <c r="Y50" i="1057"/>
  <c r="T91" i="1057"/>
  <c r="T203" i="1057"/>
  <c r="I208" i="1058"/>
  <c r="I96" i="1058"/>
  <c r="I121" i="1059"/>
  <c r="I111" i="1059"/>
  <c r="Y49" i="1060"/>
  <c r="M49" i="1060"/>
  <c r="V10" i="1060"/>
  <c r="V167" i="1060" s="1"/>
  <c r="I149" i="1060"/>
  <c r="U205" i="1060"/>
  <c r="U93" i="1060"/>
  <c r="I208" i="1061"/>
  <c r="I96" i="1061"/>
  <c r="I212" i="1061"/>
  <c r="I100" i="1061"/>
  <c r="V129" i="1063"/>
  <c r="V163" i="1063" s="1"/>
  <c r="V123" i="1063"/>
  <c r="V69" i="1063"/>
  <c r="V125" i="1063"/>
  <c r="V53" i="1063"/>
  <c r="V130" i="1063"/>
  <c r="V164" i="1063" s="1"/>
  <c r="V54" i="1063"/>
  <c r="V104" i="1063"/>
  <c r="V216" i="1063"/>
  <c r="G146" i="1062"/>
  <c r="G141" i="1062"/>
  <c r="G148" i="1062" s="1"/>
  <c r="H219" i="1064"/>
  <c r="H106" i="1064"/>
  <c r="U213" i="1062"/>
  <c r="U101" i="1062"/>
  <c r="K178" i="1063"/>
  <c r="X21" i="1063"/>
  <c r="L21" i="1063"/>
  <c r="Z80" i="1059"/>
  <c r="Z77" i="1059"/>
  <c r="Z195" i="1059"/>
  <c r="Z194" i="1059"/>
  <c r="V212" i="1059"/>
  <c r="V100" i="1059"/>
  <c r="AA51" i="1059"/>
  <c r="O51" i="1059"/>
  <c r="I206" i="1059"/>
  <c r="I94" i="1059"/>
  <c r="W17" i="1060"/>
  <c r="J174" i="1060"/>
  <c r="K17" i="1060"/>
  <c r="I210" i="1060"/>
  <c r="I98" i="1060"/>
  <c r="K221" i="1061"/>
  <c r="K109" i="1061"/>
  <c r="G110" i="1062"/>
  <c r="H219" i="1062"/>
  <c r="H106" i="1062"/>
  <c r="H219" i="1057"/>
  <c r="H106" i="1057"/>
  <c r="H110" i="1057" s="1"/>
  <c r="X202" i="1057"/>
  <c r="X90" i="1057"/>
  <c r="X166" i="1057"/>
  <c r="U91" i="1059"/>
  <c r="U203" i="1059"/>
  <c r="G44" i="1059"/>
  <c r="X217" i="1061"/>
  <c r="X139" i="1061"/>
  <c r="X134" i="1061"/>
  <c r="X65" i="1061"/>
  <c r="X133" i="1061"/>
  <c r="X132" i="1061"/>
  <c r="X168" i="1061"/>
  <c r="X167" i="1061"/>
  <c r="X131" i="1061"/>
  <c r="X179" i="1061"/>
  <c r="G86" i="1060"/>
  <c r="T44" i="1060"/>
  <c r="T86" i="1060" s="1"/>
  <c r="T89" i="1060" s="1"/>
  <c r="W15" i="1060"/>
  <c r="K15" i="1060"/>
  <c r="J172" i="1060"/>
  <c r="Z80" i="1060"/>
  <c r="Z194" i="1060"/>
  <c r="Z77" i="1060"/>
  <c r="Z195" i="1060"/>
  <c r="T142" i="1061"/>
  <c r="T143" i="1061" s="1"/>
  <c r="Y50" i="1062"/>
  <c r="M50" i="1062"/>
  <c r="K15" i="1062"/>
  <c r="J172" i="1062"/>
  <c r="W15" i="1062"/>
  <c r="U209" i="1063"/>
  <c r="U97" i="1063"/>
  <c r="I71" i="1062"/>
  <c r="I206" i="1062"/>
  <c r="I94" i="1062"/>
  <c r="J217" i="1064"/>
  <c r="J139" i="1064"/>
  <c r="J168" i="1064"/>
  <c r="J179" i="1064"/>
  <c r="J134" i="1064"/>
  <c r="J133" i="1064"/>
  <c r="J132" i="1064"/>
  <c r="J131" i="1064"/>
  <c r="J55" i="1064" s="1"/>
  <c r="J167" i="1064"/>
  <c r="W4" i="1064"/>
  <c r="K4" i="1064"/>
  <c r="Z11" i="1057"/>
  <c r="M104" i="1057"/>
  <c r="N11" i="1057"/>
  <c r="V173" i="1058"/>
  <c r="V59" i="1058"/>
  <c r="I121" i="1060"/>
  <c r="I111" i="1060"/>
  <c r="U215" i="1062"/>
  <c r="U103" i="1062"/>
  <c r="U184" i="1062"/>
  <c r="U185" i="1062"/>
  <c r="D170" i="1063"/>
  <c r="B57" i="1063"/>
  <c r="W9" i="1062"/>
  <c r="W88" i="1062" s="1"/>
  <c r="W109" i="1062" s="1"/>
  <c r="K9" i="1062"/>
  <c r="J88" i="1062" a="1"/>
  <c r="J88" i="1062" s="1"/>
  <c r="R195" i="1062"/>
  <c r="R193" i="1062"/>
  <c r="R194" i="1062"/>
  <c r="R192" i="1062"/>
  <c r="AE6" i="1062"/>
  <c r="R77" i="1062"/>
  <c r="V64" i="1062"/>
  <c r="I197" i="1063"/>
  <c r="I196" i="1063"/>
  <c r="I198" i="1063"/>
  <c r="V125" i="1064"/>
  <c r="V69" i="1064"/>
  <c r="V130" i="1064"/>
  <c r="V164" i="1064" s="1"/>
  <c r="V123" i="1064"/>
  <c r="V54" i="1064"/>
  <c r="V53" i="1064"/>
  <c r="V129" i="1064"/>
  <c r="V163" i="1064" s="1"/>
  <c r="V216" i="1064"/>
  <c r="V104" i="1064"/>
  <c r="V181" i="1064"/>
  <c r="V166" i="1064"/>
  <c r="V180" i="1064"/>
  <c r="V165" i="1064"/>
  <c r="V67" i="1064"/>
  <c r="V66" i="1064"/>
  <c r="V195" i="1064"/>
  <c r="V77" i="1064"/>
  <c r="V80" i="1064"/>
  <c r="V194" i="1064"/>
  <c r="V236" i="1064"/>
  <c r="V207" i="1057"/>
  <c r="V95" i="1057"/>
  <c r="R195" i="1057"/>
  <c r="R193" i="1057"/>
  <c r="R194" i="1057"/>
  <c r="R77" i="1057"/>
  <c r="AE6" i="1057"/>
  <c r="R192" i="1057"/>
  <c r="J174" i="1058"/>
  <c r="K17" i="1058"/>
  <c r="W17" i="1058"/>
  <c r="K49" i="1059"/>
  <c r="W49" i="1059"/>
  <c r="W204" i="1059"/>
  <c r="W92" i="1059"/>
  <c r="V182" i="1059"/>
  <c r="V68" i="1059"/>
  <c r="I143" i="1059"/>
  <c r="J197" i="1061"/>
  <c r="J196" i="1061"/>
  <c r="J198" i="1061"/>
  <c r="J204" i="1060"/>
  <c r="J92" i="1060"/>
  <c r="J67" i="1060"/>
  <c r="W166" i="1062"/>
  <c r="W165" i="1062"/>
  <c r="W169" i="1062" s="1"/>
  <c r="J207" i="1063"/>
  <c r="J95" i="1063"/>
  <c r="J204" i="1063"/>
  <c r="J92" i="1063"/>
  <c r="U55" i="1057"/>
  <c r="U70" i="1057" s="1"/>
  <c r="I214" i="1057"/>
  <c r="I102" i="1057"/>
  <c r="U198" i="1058"/>
  <c r="U197" i="1058"/>
  <c r="U196" i="1058"/>
  <c r="J60" i="1058"/>
  <c r="L88" i="1058" a="1"/>
  <c r="L88" i="1058" s="1"/>
  <c r="Y9" i="1058"/>
  <c r="Y88" i="1058" s="1"/>
  <c r="Y109" i="1058" s="1"/>
  <c r="M9" i="1058"/>
  <c r="V171" i="1059"/>
  <c r="V57" i="1059"/>
  <c r="V202" i="1059"/>
  <c r="V142" i="1059"/>
  <c r="V143" i="1059" s="1"/>
  <c r="V90" i="1059"/>
  <c r="V62" i="1060"/>
  <c r="V176" i="1060"/>
  <c r="W90" i="1061"/>
  <c r="W202" i="1061"/>
  <c r="M13" i="1060"/>
  <c r="Y13" i="1060"/>
  <c r="Y56" i="1060" s="1"/>
  <c r="U211" i="1063"/>
  <c r="U99" i="1063"/>
  <c r="U140" i="1063"/>
  <c r="U215" i="1063"/>
  <c r="U103" i="1063"/>
  <c r="U184" i="1063"/>
  <c r="U185" i="1063"/>
  <c r="V171" i="1064"/>
  <c r="V57" i="1064"/>
  <c r="V178" i="1058"/>
  <c r="V64" i="1058"/>
  <c r="J121" i="1057"/>
  <c r="J111" i="1057"/>
  <c r="V217" i="1058"/>
  <c r="X50" i="1058"/>
  <c r="L50" i="1058"/>
  <c r="L130" i="1058" a="1"/>
  <c r="L130" i="1058" s="1"/>
  <c r="L164" i="1058" s="1"/>
  <c r="L123" i="1058"/>
  <c r="L125" i="1058"/>
  <c r="L129" i="1058"/>
  <c r="L163" i="1058" s="1"/>
  <c r="M10" i="1058"/>
  <c r="L181" i="1058"/>
  <c r="L216" i="1058" a="1"/>
  <c r="L216" i="1058" s="1"/>
  <c r="L180" i="1058"/>
  <c r="V208" i="1059"/>
  <c r="V96" i="1059"/>
  <c r="J175" i="1059"/>
  <c r="W18" i="1059"/>
  <c r="K18" i="1059"/>
  <c r="W217" i="1059"/>
  <c r="W169" i="1059"/>
  <c r="W167" i="1059"/>
  <c r="W179" i="1059"/>
  <c r="W132" i="1059"/>
  <c r="W168" i="1059"/>
  <c r="W134" i="1059"/>
  <c r="W139" i="1059"/>
  <c r="W65" i="1059"/>
  <c r="W133" i="1059"/>
  <c r="W131" i="1059"/>
  <c r="J168" i="1059"/>
  <c r="N49" i="1061"/>
  <c r="Z49" i="1061"/>
  <c r="H145" i="1060"/>
  <c r="H144" i="1060" s="1"/>
  <c r="H147" i="1060"/>
  <c r="T120" i="1063"/>
  <c r="T119" i="1063"/>
  <c r="I142" i="1063"/>
  <c r="I143" i="1063" s="1"/>
  <c r="G119" i="1064"/>
  <c r="G120" i="1064"/>
  <c r="P228" i="1058"/>
  <c r="Q29" i="1058"/>
  <c r="AC29" i="1058"/>
  <c r="AC228" i="1058" s="1"/>
  <c r="K18" i="1058"/>
  <c r="J175" i="1058"/>
  <c r="W18" i="1058"/>
  <c r="U215" i="1058"/>
  <c r="U103" i="1058"/>
  <c r="U184" i="1058"/>
  <c r="U185" i="1058"/>
  <c r="U102" i="1060"/>
  <c r="U214" i="1060"/>
  <c r="J204" i="1059"/>
  <c r="J92" i="1059"/>
  <c r="J205" i="1059"/>
  <c r="J93" i="1059"/>
  <c r="U214" i="1059"/>
  <c r="U102" i="1059"/>
  <c r="B57" i="1060"/>
  <c r="D170" i="1060"/>
  <c r="U90" i="1060"/>
  <c r="U142" i="1060"/>
  <c r="U143" i="1060" s="1"/>
  <c r="U202" i="1060"/>
  <c r="W23" i="1060"/>
  <c r="K23" i="1060"/>
  <c r="K68" i="1060" s="1"/>
  <c r="J182" i="1060"/>
  <c r="U55" i="1061"/>
  <c r="U212" i="1062"/>
  <c r="U100" i="1062"/>
  <c r="V172" i="1063"/>
  <c r="V58" i="1063"/>
  <c r="T141" i="1063"/>
  <c r="I71" i="1064"/>
  <c r="I89" i="1064" s="1"/>
  <c r="I211" i="1064"/>
  <c r="I99" i="1064"/>
  <c r="I140" i="1064"/>
  <c r="U211" i="1064"/>
  <c r="U99" i="1064"/>
  <c r="U140" i="1064"/>
  <c r="H148" i="1057"/>
  <c r="H147" i="1057"/>
  <c r="H145" i="1057"/>
  <c r="H146" i="1057" s="1"/>
  <c r="H144" i="1057"/>
  <c r="V214" i="1057"/>
  <c r="V102" i="1057"/>
  <c r="U141" i="1057"/>
  <c r="K173" i="1059"/>
  <c r="L16" i="1059"/>
  <c r="X16" i="1059"/>
  <c r="I198" i="1059"/>
  <c r="I197" i="1059"/>
  <c r="I196" i="1059"/>
  <c r="W11" i="1060"/>
  <c r="J236" i="1060"/>
  <c r="K11" i="1060"/>
  <c r="J104" i="1060"/>
  <c r="I211" i="1061"/>
  <c r="I99" i="1061"/>
  <c r="I140" i="1061"/>
  <c r="J65" i="1061"/>
  <c r="J55" i="1061"/>
  <c r="J69" i="1061"/>
  <c r="J62" i="1061"/>
  <c r="J58" i="1061"/>
  <c r="J67" i="1061"/>
  <c r="J64" i="1061"/>
  <c r="J59" i="1061"/>
  <c r="J54" i="1061"/>
  <c r="J68" i="1061"/>
  <c r="W8" i="1061"/>
  <c r="J66" i="1061"/>
  <c r="J60" i="1061"/>
  <c r="J56" i="1061"/>
  <c r="J63" i="1061"/>
  <c r="J108" i="1061"/>
  <c r="J61" i="1061"/>
  <c r="J53" i="1061"/>
  <c r="K8" i="1061"/>
  <c r="J57" i="1061"/>
  <c r="U55" i="1062"/>
  <c r="I92" i="1063"/>
  <c r="I204" i="1063"/>
  <c r="H148" i="1058"/>
  <c r="H147" i="1058"/>
  <c r="H145" i="1058"/>
  <c r="H146" i="1058" s="1"/>
  <c r="H144" i="1058"/>
  <c r="W15" i="1059"/>
  <c r="K15" i="1059"/>
  <c r="J172" i="1059"/>
  <c r="J179" i="1060"/>
  <c r="J168" i="1060"/>
  <c r="J132" i="1060"/>
  <c r="W4" i="1060"/>
  <c r="J131" i="1060"/>
  <c r="J55" i="1060" s="1"/>
  <c r="J133" i="1060"/>
  <c r="J217" i="1060"/>
  <c r="J167" i="1060"/>
  <c r="J169" i="1060"/>
  <c r="K4" i="1060"/>
  <c r="K65" i="1060" s="1"/>
  <c r="J139" i="1060"/>
  <c r="J134" i="1060"/>
  <c r="W208" i="1061"/>
  <c r="W96" i="1061"/>
  <c r="K125" i="1062"/>
  <c r="K123" i="1062"/>
  <c r="K129" i="1062"/>
  <c r="K163" i="1062" s="1"/>
  <c r="K130" i="1062" a="1"/>
  <c r="K130" i="1062" s="1"/>
  <c r="K164" i="1062" s="1"/>
  <c r="L10" i="1062"/>
  <c r="K216" i="1062" a="1"/>
  <c r="K216" i="1062" s="1"/>
  <c r="K180" i="1062"/>
  <c r="K181" i="1062"/>
  <c r="X204" i="1057"/>
  <c r="X92" i="1057"/>
  <c r="X111" i="1057"/>
  <c r="X121" i="1057"/>
  <c r="X214" i="1057"/>
  <c r="X102" i="1057"/>
  <c r="L172" i="1057"/>
  <c r="Y15" i="1057"/>
  <c r="M15" i="1057"/>
  <c r="X50" i="1061"/>
  <c r="L50" i="1061"/>
  <c r="X63" i="1061"/>
  <c r="X177" i="1061"/>
  <c r="N195" i="1060"/>
  <c r="N193" i="1060"/>
  <c r="N194" i="1060"/>
  <c r="N192" i="1060"/>
  <c r="N77" i="1060"/>
  <c r="AA6" i="1060"/>
  <c r="M194" i="1061"/>
  <c r="M192" i="1061"/>
  <c r="Z6" i="1061"/>
  <c r="M193" i="1061"/>
  <c r="M166" i="1061"/>
  <c r="M195" i="1061"/>
  <c r="M77" i="1061"/>
  <c r="N6" i="1061"/>
  <c r="V139" i="1062"/>
  <c r="V57" i="1062"/>
  <c r="I207" i="1062"/>
  <c r="I95" i="1062"/>
  <c r="I210" i="1062"/>
  <c r="I98" i="1062"/>
  <c r="J176" i="1063"/>
  <c r="W19" i="1063"/>
  <c r="K19" i="1063"/>
  <c r="H110" i="1064"/>
  <c r="V217" i="1064"/>
  <c r="V179" i="1064"/>
  <c r="V132" i="1064"/>
  <c r="V167" i="1064"/>
  <c r="V168" i="1064"/>
  <c r="V133" i="1064"/>
  <c r="V169" i="1064"/>
  <c r="V139" i="1064"/>
  <c r="V134" i="1064"/>
  <c r="V131" i="1064"/>
  <c r="V65" i="1064"/>
  <c r="D227" i="1057"/>
  <c r="B116" i="1057"/>
  <c r="AA194" i="1058"/>
  <c r="AA80" i="1058"/>
  <c r="AA77" i="1058"/>
  <c r="AA195" i="1058"/>
  <c r="J173" i="1058"/>
  <c r="K16" i="1058"/>
  <c r="W16" i="1058"/>
  <c r="I198" i="1060"/>
  <c r="I197" i="1060"/>
  <c r="I196" i="1060"/>
  <c r="Y12" i="1061"/>
  <c r="Y165" i="1061" s="1"/>
  <c r="M12" i="1061"/>
  <c r="K178" i="1060"/>
  <c r="X21" i="1060"/>
  <c r="L21" i="1060"/>
  <c r="W9" i="1063"/>
  <c r="W88" i="1063" s="1"/>
  <c r="W109" i="1063" s="1"/>
  <c r="K9" i="1063"/>
  <c r="J88" i="1063" a="1"/>
  <c r="J88" i="1063" s="1"/>
  <c r="AD194" i="1062"/>
  <c r="AD80" i="1062"/>
  <c r="AD195" i="1062"/>
  <c r="AD77" i="1062"/>
  <c r="V175" i="1062"/>
  <c r="V61" i="1062"/>
  <c r="V178" i="1062"/>
  <c r="V56" i="1063"/>
  <c r="J197" i="1064"/>
  <c r="J196" i="1064"/>
  <c r="J198" i="1064"/>
  <c r="J172" i="1064"/>
  <c r="K15" i="1064"/>
  <c r="W15" i="1064"/>
  <c r="H112" i="1057"/>
  <c r="K228" i="1059"/>
  <c r="X29" i="1059"/>
  <c r="X228" i="1059" s="1"/>
  <c r="T127" i="1060"/>
  <c r="K129" i="1061"/>
  <c r="K163" i="1061" s="1"/>
  <c r="K123" i="1061"/>
  <c r="K130" i="1061" a="1"/>
  <c r="K130" i="1061" s="1"/>
  <c r="K164" i="1061" s="1"/>
  <c r="K125" i="1061"/>
  <c r="L10" i="1061"/>
  <c r="K181" i="1061"/>
  <c r="K180" i="1061"/>
  <c r="K216" i="1061" a="1"/>
  <c r="K216" i="1061" s="1"/>
  <c r="P228" i="1060"/>
  <c r="AC29" i="1060"/>
  <c r="AC228" i="1060" s="1"/>
  <c r="Q29" i="1060"/>
  <c r="J60" i="1060"/>
  <c r="H148" i="1061"/>
  <c r="H147" i="1061"/>
  <c r="H145" i="1061"/>
  <c r="H146" i="1061" s="1"/>
  <c r="H144" i="1061"/>
  <c r="X12" i="1062"/>
  <c r="L12" i="1062"/>
  <c r="K166" i="1062"/>
  <c r="K165" i="1062"/>
  <c r="J108" i="1063"/>
  <c r="J66" i="1063"/>
  <c r="AB30" i="1063"/>
  <c r="P30" i="1063"/>
  <c r="I215" i="1057"/>
  <c r="I103" i="1057"/>
  <c r="I184" i="1057"/>
  <c r="I185" i="1057"/>
  <c r="I206" i="1057"/>
  <c r="I94" i="1057"/>
  <c r="J101" i="1058"/>
  <c r="J213" i="1058"/>
  <c r="V121" i="1059"/>
  <c r="V111" i="1059"/>
  <c r="U211" i="1059"/>
  <c r="U99" i="1059"/>
  <c r="U140" i="1059"/>
  <c r="Z51" i="1060"/>
  <c r="N51" i="1060"/>
  <c r="H112" i="1060"/>
  <c r="X204" i="1060"/>
  <c r="X92" i="1060"/>
  <c r="X67" i="1061"/>
  <c r="U210" i="1063"/>
  <c r="U98" i="1063"/>
  <c r="U209" i="1064"/>
  <c r="U97" i="1064"/>
  <c r="J213" i="1059"/>
  <c r="J101" i="1059"/>
  <c r="L174" i="1061"/>
  <c r="Y17" i="1061"/>
  <c r="M17" i="1061"/>
  <c r="X217" i="1057"/>
  <c r="X134" i="1057"/>
  <c r="X132" i="1057"/>
  <c r="X131" i="1057"/>
  <c r="X167" i="1057"/>
  <c r="X169" i="1057"/>
  <c r="X139" i="1057"/>
  <c r="X65" i="1057"/>
  <c r="X133" i="1057"/>
  <c r="X179" i="1057"/>
  <c r="X168" i="1057"/>
  <c r="H89" i="1055"/>
  <c r="J178" i="1058"/>
  <c r="K21" i="1058"/>
  <c r="W21" i="1058"/>
  <c r="I149" i="1058"/>
  <c r="G146" i="1058"/>
  <c r="G141" i="1058"/>
  <c r="V175" i="1059"/>
  <c r="V61" i="1059"/>
  <c r="J179" i="1059"/>
  <c r="D170" i="1061"/>
  <c r="B57" i="1061"/>
  <c r="AC13" i="1061"/>
  <c r="AC56" i="1061" s="1"/>
  <c r="Q13" i="1061"/>
  <c r="J221" i="1064"/>
  <c r="J109" i="1064"/>
  <c r="J178" i="1064"/>
  <c r="W21" i="1064"/>
  <c r="K21" i="1064"/>
  <c r="V92" i="1057"/>
  <c r="V204" i="1057"/>
  <c r="V181" i="1058"/>
  <c r="K174" i="1059"/>
  <c r="L17" i="1059"/>
  <c r="X17" i="1059"/>
  <c r="J53" i="1059"/>
  <c r="J63" i="1059"/>
  <c r="U213" i="1059"/>
  <c r="U101" i="1059"/>
  <c r="T148" i="1060"/>
  <c r="T145" i="1060"/>
  <c r="T147" i="1060" s="1"/>
  <c r="Q228" i="1061"/>
  <c r="AD29" i="1061"/>
  <c r="AD228" i="1061" s="1"/>
  <c r="R29" i="1061"/>
  <c r="U202" i="1063"/>
  <c r="U142" i="1063"/>
  <c r="U143" i="1063" s="1"/>
  <c r="U90" i="1063"/>
  <c r="H127" i="1064"/>
  <c r="J174" i="1064"/>
  <c r="K17" i="1064"/>
  <c r="W17" i="1064"/>
  <c r="I203" i="1064"/>
  <c r="I91" i="1064"/>
  <c r="I215" i="1064"/>
  <c r="I103" i="1064"/>
  <c r="I184" i="1064"/>
  <c r="I185" i="1064"/>
  <c r="I204" i="1064"/>
  <c r="I92" i="1064"/>
  <c r="X50" i="1064"/>
  <c r="L50" i="1064"/>
  <c r="K168" i="1057"/>
  <c r="V206" i="1057"/>
  <c r="V94" i="1057"/>
  <c r="L171" i="1057"/>
  <c r="Y14" i="1057"/>
  <c r="M14" i="1057"/>
  <c r="U91" i="1058"/>
  <c r="U203" i="1058"/>
  <c r="U210" i="1058"/>
  <c r="U98" i="1058"/>
  <c r="W173" i="1059"/>
  <c r="W59" i="1059"/>
  <c r="U206" i="1059"/>
  <c r="U94" i="1059"/>
  <c r="X59" i="1061"/>
  <c r="X173" i="1061"/>
  <c r="X57" i="1061"/>
  <c r="X171" i="1061"/>
  <c r="X58" i="1061"/>
  <c r="X172" i="1061"/>
  <c r="H141" i="1060"/>
  <c r="H148" i="1060" s="1"/>
  <c r="H146" i="1060"/>
  <c r="I101" i="1061"/>
  <c r="I213" i="1061"/>
  <c r="I214" i="1061"/>
  <c r="I102" i="1061"/>
  <c r="I205" i="1061"/>
  <c r="I93" i="1061"/>
  <c r="U70" i="1062"/>
  <c r="U71" i="1062"/>
  <c r="V212" i="1063"/>
  <c r="V100" i="1063"/>
  <c r="R192" i="1064"/>
  <c r="R195" i="1064"/>
  <c r="R193" i="1064"/>
  <c r="R194" i="1064"/>
  <c r="R77" i="1064"/>
  <c r="AE6" i="1064"/>
  <c r="V173" i="1062"/>
  <c r="V59" i="1062"/>
  <c r="AE80" i="1058"/>
  <c r="AE195" i="1058"/>
  <c r="AE194" i="1058"/>
  <c r="AE77" i="1058"/>
  <c r="H219" i="1058"/>
  <c r="H106" i="1058"/>
  <c r="H110" i="1058" s="1"/>
  <c r="V172" i="1059"/>
  <c r="V58" i="1059"/>
  <c r="T141" i="1060"/>
  <c r="Y49" i="1057"/>
  <c r="M49" i="1057"/>
  <c r="X172" i="1057"/>
  <c r="X58" i="1057"/>
  <c r="U93" i="1058"/>
  <c r="U205" i="1058"/>
  <c r="I215" i="1058"/>
  <c r="I103" i="1058"/>
  <c r="I185" i="1058"/>
  <c r="I184" i="1058"/>
  <c r="I70" i="1058"/>
  <c r="L21" i="1059"/>
  <c r="X21" i="1059"/>
  <c r="K178" i="1059"/>
  <c r="V175" i="1060"/>
  <c r="V61" i="1060"/>
  <c r="V211" i="1062"/>
  <c r="V99" i="1062"/>
  <c r="T119" i="1061"/>
  <c r="T122" i="1061" s="1"/>
  <c r="T120" i="1061"/>
  <c r="V217" i="1062"/>
  <c r="V171" i="1062"/>
  <c r="J69" i="1062"/>
  <c r="J62" i="1062"/>
  <c r="J58" i="1062"/>
  <c r="J67" i="1062"/>
  <c r="J108" i="1062"/>
  <c r="J64" i="1062"/>
  <c r="J59" i="1062"/>
  <c r="J54" i="1062"/>
  <c r="J68" i="1062"/>
  <c r="J65" i="1062"/>
  <c r="J61" i="1062"/>
  <c r="J55" i="1062"/>
  <c r="J63" i="1062"/>
  <c r="J57" i="1062"/>
  <c r="J53" i="1062"/>
  <c r="J60" i="1062"/>
  <c r="J56" i="1062"/>
  <c r="W8" i="1062"/>
  <c r="J66" i="1062"/>
  <c r="K8" i="1062"/>
  <c r="I209" i="1062"/>
  <c r="I97" i="1062"/>
  <c r="V176" i="1063"/>
  <c r="V62" i="1063"/>
  <c r="J177" i="1063"/>
  <c r="W20" i="1063"/>
  <c r="K20" i="1063"/>
  <c r="H148" i="1063"/>
  <c r="H144" i="1063"/>
  <c r="H145" i="1063"/>
  <c r="H146" i="1063" s="1"/>
  <c r="H148" i="1064"/>
  <c r="H145" i="1064"/>
  <c r="H146" i="1064" s="1"/>
  <c r="U121" i="1064"/>
  <c r="U111" i="1064"/>
  <c r="U112" i="1064" s="1"/>
  <c r="Y129" i="1057"/>
  <c r="Y163" i="1057" s="1"/>
  <c r="Y123" i="1057"/>
  <c r="Y130" i="1057"/>
  <c r="Y164" i="1057" s="1"/>
  <c r="Y125" i="1057"/>
  <c r="Y69" i="1057"/>
  <c r="Y54" i="1057"/>
  <c r="Y53" i="1057"/>
  <c r="Y104" i="1057"/>
  <c r="Y216" i="1057"/>
  <c r="J165" i="1058"/>
  <c r="J169" i="1058" s="1"/>
  <c r="J166" i="1058"/>
  <c r="K12" i="1058"/>
  <c r="W12" i="1058"/>
  <c r="W132" i="1058" s="1"/>
  <c r="U204" i="1059"/>
  <c r="U92" i="1059"/>
  <c r="W55" i="1061"/>
  <c r="U140" i="1062"/>
  <c r="K173" i="1063"/>
  <c r="X16" i="1063"/>
  <c r="L16" i="1063"/>
  <c r="J228" i="1063"/>
  <c r="K29" i="1063"/>
  <c r="W29" i="1063"/>
  <c r="W228" i="1063" s="1"/>
  <c r="V172" i="1064"/>
  <c r="V58" i="1064"/>
  <c r="G147" i="1064"/>
  <c r="AD194" i="1057"/>
  <c r="AD195" i="1057"/>
  <c r="AD77" i="1057"/>
  <c r="AD80" i="1057"/>
  <c r="V182" i="1058"/>
  <c r="V68" i="1058"/>
  <c r="G146" i="1059"/>
  <c r="Y50" i="1060"/>
  <c r="M50" i="1060"/>
  <c r="X175" i="1061"/>
  <c r="X61" i="1061"/>
  <c r="J65" i="1060"/>
  <c r="J108" i="1060"/>
  <c r="J60" i="1063"/>
  <c r="J67" i="1063"/>
  <c r="U212" i="1058"/>
  <c r="U100" i="1058"/>
  <c r="J108" i="1057"/>
  <c r="J69" i="1057"/>
  <c r="J62" i="1057"/>
  <c r="J58" i="1057"/>
  <c r="J53" i="1057"/>
  <c r="J67" i="1057"/>
  <c r="J64" i="1057"/>
  <c r="J59" i="1057"/>
  <c r="J54" i="1057"/>
  <c r="J68" i="1057"/>
  <c r="W8" i="1057"/>
  <c r="J63" i="1057"/>
  <c r="J66" i="1057"/>
  <c r="J60" i="1057"/>
  <c r="J56" i="1057"/>
  <c r="J61" i="1057"/>
  <c r="J57" i="1057"/>
  <c r="K8" i="1057"/>
  <c r="J65" i="1057"/>
  <c r="J55" i="1057"/>
  <c r="I208" i="1057"/>
  <c r="I96" i="1057"/>
  <c r="I210" i="1057"/>
  <c r="I98" i="1057"/>
  <c r="L174" i="1057"/>
  <c r="Y17" i="1057"/>
  <c r="M17" i="1057"/>
  <c r="U206" i="1058"/>
  <c r="U94" i="1058"/>
  <c r="K108" i="1058"/>
  <c r="K68" i="1058"/>
  <c r="K61" i="1058"/>
  <c r="K57" i="1058"/>
  <c r="K66" i="1058"/>
  <c r="K65" i="1058"/>
  <c r="K67" i="1058"/>
  <c r="K64" i="1058"/>
  <c r="K59" i="1058"/>
  <c r="K54" i="1058"/>
  <c r="X8" i="1058"/>
  <c r="K60" i="1058"/>
  <c r="K53" i="1058"/>
  <c r="L8" i="1058"/>
  <c r="K69" i="1058"/>
  <c r="J59" i="1058"/>
  <c r="K221" i="1058"/>
  <c r="K109" i="1058"/>
  <c r="V198" i="1059"/>
  <c r="V197" i="1059"/>
  <c r="V196" i="1059"/>
  <c r="J176" i="1060"/>
  <c r="W19" i="1060"/>
  <c r="K19" i="1060"/>
  <c r="W121" i="1061"/>
  <c r="W111" i="1061"/>
  <c r="X182" i="1061"/>
  <c r="X68" i="1061"/>
  <c r="I213" i="1063"/>
  <c r="I101" i="1063"/>
  <c r="J173" i="1064"/>
  <c r="K16" i="1064"/>
  <c r="W16" i="1064"/>
  <c r="U212" i="1064"/>
  <c r="U100" i="1064"/>
  <c r="U207" i="1064"/>
  <c r="U95" i="1064"/>
  <c r="W70" i="1057"/>
  <c r="I140" i="1058"/>
  <c r="U209" i="1058"/>
  <c r="U97" i="1058"/>
  <c r="V205" i="1060"/>
  <c r="V93" i="1060"/>
  <c r="D226" i="1063"/>
  <c r="B115" i="1063"/>
  <c r="Y181" i="1057"/>
  <c r="Y166" i="1057"/>
  <c r="Y180" i="1057"/>
  <c r="Y77" i="1057"/>
  <c r="Y67" i="1057"/>
  <c r="Y66" i="1057"/>
  <c r="Y195" i="1057"/>
  <c r="Y80" i="1057"/>
  <c r="Y194" i="1057"/>
  <c r="Y236" i="1057"/>
  <c r="V95" i="1059"/>
  <c r="V207" i="1059"/>
  <c r="H112" i="1051"/>
  <c r="J197" i="1057"/>
  <c r="J196" i="1057"/>
  <c r="J198" i="1057"/>
  <c r="T203" i="1058"/>
  <c r="T91" i="1058"/>
  <c r="T70" i="1058"/>
  <c r="H117" i="1054"/>
  <c r="G117" i="1057"/>
  <c r="V236" i="1058"/>
  <c r="K22" i="1058"/>
  <c r="W22" i="1058"/>
  <c r="T146" i="1058"/>
  <c r="T141" i="1058"/>
  <c r="T148" i="1058" s="1"/>
  <c r="G110" i="1059"/>
  <c r="G127" i="1059" s="1"/>
  <c r="H112" i="1059"/>
  <c r="L11" i="1059"/>
  <c r="X11" i="1059"/>
  <c r="X10" i="1059" s="1"/>
  <c r="K104" i="1059"/>
  <c r="K236" i="1059"/>
  <c r="V166" i="1060"/>
  <c r="V165" i="1060"/>
  <c r="V169" i="1060" s="1"/>
  <c r="V66" i="1060"/>
  <c r="V180" i="1060"/>
  <c r="V181" i="1060"/>
  <c r="V67" i="1060"/>
  <c r="V80" i="1060"/>
  <c r="V195" i="1060"/>
  <c r="V236" i="1060"/>
  <c r="V194" i="1060"/>
  <c r="V77" i="1060"/>
  <c r="AE77" i="1059"/>
  <c r="AE195" i="1059"/>
  <c r="AE194" i="1059"/>
  <c r="AE80" i="1059"/>
  <c r="J139" i="1059"/>
  <c r="AB204" i="1061"/>
  <c r="AB92" i="1061"/>
  <c r="Y22" i="1060"/>
  <c r="M22" i="1060"/>
  <c r="T148" i="1063"/>
  <c r="T147" i="1063"/>
  <c r="T145" i="1063"/>
  <c r="T146" i="1063" s="1"/>
  <c r="T144" i="1063"/>
  <c r="U205" i="1063"/>
  <c r="U93" i="1063"/>
  <c r="V181" i="1063"/>
  <c r="V165" i="1063"/>
  <c r="V166" i="1063"/>
  <c r="V66" i="1063"/>
  <c r="V180" i="1063"/>
  <c r="V67" i="1063"/>
  <c r="V77" i="1063"/>
  <c r="V195" i="1063"/>
  <c r="V80" i="1063"/>
  <c r="V236" i="1063"/>
  <c r="V194" i="1063"/>
  <c r="K88" i="1064" a="1"/>
  <c r="K88" i="1064" s="1"/>
  <c r="L9" i="1064"/>
  <c r="X9" i="1064"/>
  <c r="X88" i="1064" s="1"/>
  <c r="X109" i="1064" s="1"/>
  <c r="U208" i="1064"/>
  <c r="U96" i="1064"/>
  <c r="V178" i="1064"/>
  <c r="V64" i="1064"/>
  <c r="Y12" i="1057"/>
  <c r="Y165" i="1057" s="1"/>
  <c r="M12" i="1057"/>
  <c r="W60" i="1059"/>
  <c r="W174" i="1059"/>
  <c r="U99" i="1060"/>
  <c r="U211" i="1060"/>
  <c r="U140" i="1060"/>
  <c r="J61" i="1059"/>
  <c r="J54" i="1059"/>
  <c r="J64" i="1059"/>
  <c r="V203" i="1061"/>
  <c r="V91" i="1061"/>
  <c r="V70" i="1061"/>
  <c r="T141" i="1062"/>
  <c r="U203" i="1063"/>
  <c r="U91" i="1063"/>
  <c r="V217" i="1063"/>
  <c r="V139" i="1063"/>
  <c r="V134" i="1063"/>
  <c r="V168" i="1063"/>
  <c r="V133" i="1063"/>
  <c r="V132" i="1063"/>
  <c r="V179" i="1063"/>
  <c r="V167" i="1063"/>
  <c r="V169" i="1063"/>
  <c r="V131" i="1063"/>
  <c r="V65" i="1063"/>
  <c r="V174" i="1064"/>
  <c r="V60" i="1064"/>
  <c r="K22" i="1064"/>
  <c r="W22" i="1064"/>
  <c r="I210" i="1064"/>
  <c r="I98" i="1064"/>
  <c r="I205" i="1064"/>
  <c r="I93" i="1064"/>
  <c r="I208" i="1064"/>
  <c r="I96" i="1064"/>
  <c r="O228" i="1064"/>
  <c r="AB29" i="1064"/>
  <c r="AB228" i="1064" s="1"/>
  <c r="P29" i="1064"/>
  <c r="W117" i="1057"/>
  <c r="K179" i="1057"/>
  <c r="V210" i="1057"/>
  <c r="V98" i="1057"/>
  <c r="X57" i="1057"/>
  <c r="X171" i="1057"/>
  <c r="R192" i="1061"/>
  <c r="R77" i="1061"/>
  <c r="R195" i="1061"/>
  <c r="AE6" i="1061"/>
  <c r="R194" i="1061"/>
  <c r="R193" i="1061"/>
  <c r="I210" i="1061"/>
  <c r="I98" i="1061"/>
  <c r="I209" i="1061"/>
  <c r="I97" i="1061"/>
  <c r="V178" i="1063"/>
  <c r="J173" i="1062"/>
  <c r="K16" i="1062"/>
  <c r="W16" i="1062"/>
  <c r="X20" i="1062"/>
  <c r="L20" i="1062"/>
  <c r="K177" i="1062"/>
  <c r="U206" i="1062"/>
  <c r="U94" i="1062"/>
  <c r="D170" i="1057"/>
  <c r="B57" i="1057"/>
  <c r="T120" i="1057"/>
  <c r="T119" i="1057"/>
  <c r="W178" i="1059"/>
  <c r="W64" i="1059"/>
  <c r="T141" i="1059"/>
  <c r="L217" i="1061"/>
  <c r="L132" i="1061"/>
  <c r="Y4" i="1061"/>
  <c r="L131" i="1061"/>
  <c r="L169" i="1061"/>
  <c r="L168" i="1061"/>
  <c r="L167" i="1061"/>
  <c r="L139" i="1061"/>
  <c r="M4" i="1061"/>
  <c r="L179" i="1061"/>
  <c r="L134" i="1061"/>
  <c r="L133" i="1061"/>
  <c r="I97" i="1060"/>
  <c r="I209" i="1060"/>
  <c r="V177" i="1062"/>
  <c r="L177" i="1061"/>
  <c r="Y20" i="1061"/>
  <c r="M20" i="1061"/>
  <c r="Q30" i="1060"/>
  <c r="AC30" i="1060"/>
  <c r="Y49" i="1062"/>
  <c r="M49" i="1062"/>
  <c r="I213" i="1062"/>
  <c r="I101" i="1062"/>
  <c r="I212" i="1062"/>
  <c r="I100" i="1062"/>
  <c r="V177" i="1063"/>
  <c r="V63" i="1063"/>
  <c r="V173" i="1063"/>
  <c r="U197" i="1064"/>
  <c r="U198" i="1064"/>
  <c r="U196" i="1064"/>
  <c r="L88" i="1057" a="1"/>
  <c r="L88" i="1057" s="1"/>
  <c r="Y9" i="1057"/>
  <c r="Y88" i="1057" s="1"/>
  <c r="Y109" i="1057" s="1"/>
  <c r="M9" i="1057"/>
  <c r="J176" i="1059"/>
  <c r="W19" i="1059"/>
  <c r="K19" i="1059"/>
  <c r="K62" i="1059" s="1"/>
  <c r="H148" i="1059"/>
  <c r="H147" i="1059"/>
  <c r="H145" i="1059"/>
  <c r="H146" i="1059" s="1"/>
  <c r="H144" i="1059"/>
  <c r="J178" i="1060"/>
  <c r="U141" i="1061"/>
  <c r="T203" i="1062"/>
  <c r="T91" i="1062"/>
  <c r="T142" i="1062"/>
  <c r="T143" i="1062" s="1"/>
  <c r="I221" i="1063"/>
  <c r="I109" i="1063"/>
  <c r="I70" i="1063"/>
  <c r="I117" i="1063"/>
  <c r="K18" i="1062"/>
  <c r="J175" i="1062"/>
  <c r="W18" i="1062"/>
  <c r="W173" i="1063"/>
  <c r="W59" i="1063"/>
  <c r="J121" i="1064"/>
  <c r="J111" i="1064"/>
  <c r="W112" i="1057"/>
  <c r="V144" i="1057"/>
  <c r="V145" i="1057"/>
  <c r="V146" i="1057" s="1"/>
  <c r="V148" i="1057" s="1"/>
  <c r="V147" i="1057"/>
  <c r="L178" i="1057"/>
  <c r="Y21" i="1057"/>
  <c r="M21" i="1057"/>
  <c r="X49" i="1058"/>
  <c r="L49" i="1058"/>
  <c r="J182" i="1058"/>
  <c r="K23" i="1058"/>
  <c r="W23" i="1058"/>
  <c r="U215" i="1059"/>
  <c r="U103" i="1059"/>
  <c r="U184" i="1059"/>
  <c r="U185" i="1059"/>
  <c r="U70" i="1059"/>
  <c r="U112" i="1059" s="1"/>
  <c r="I207" i="1060"/>
  <c r="I95" i="1060"/>
  <c r="X125" i="1061"/>
  <c r="X53" i="1061"/>
  <c r="X129" i="1061"/>
  <c r="X163" i="1061" s="1"/>
  <c r="X123" i="1061"/>
  <c r="X69" i="1061"/>
  <c r="X130" i="1061"/>
  <c r="X164" i="1061" s="1"/>
  <c r="X54" i="1061"/>
  <c r="X104" i="1061"/>
  <c r="X216" i="1061"/>
  <c r="K175" i="1061"/>
  <c r="J69" i="1060"/>
  <c r="J53" i="1060"/>
  <c r="H219" i="1061"/>
  <c r="H106" i="1061"/>
  <c r="H110" i="1061" s="1"/>
  <c r="U112" i="1062"/>
  <c r="U209" i="1062"/>
  <c r="U97" i="1062"/>
  <c r="J53" i="1063"/>
  <c r="K108" i="1063"/>
  <c r="K67" i="1063"/>
  <c r="K64" i="1063"/>
  <c r="K69" i="1063"/>
  <c r="K68" i="1063"/>
  <c r="L8" i="1063"/>
  <c r="K58" i="1063"/>
  <c r="K60" i="1063"/>
  <c r="K63" i="1063"/>
  <c r="K61" i="1063"/>
  <c r="K57" i="1063"/>
  <c r="K62" i="1063"/>
  <c r="K66" i="1063"/>
  <c r="X8" i="1063"/>
  <c r="K59" i="1063"/>
  <c r="K54" i="1063"/>
  <c r="K56" i="1063"/>
  <c r="K53" i="1063"/>
  <c r="J58" i="1063"/>
  <c r="X95" i="1057"/>
  <c r="X207" i="1057"/>
  <c r="V71" i="1057"/>
  <c r="V70" i="1057"/>
  <c r="V117" i="1057" s="1"/>
  <c r="I205" i="1057"/>
  <c r="I93" i="1057"/>
  <c r="I71" i="1057"/>
  <c r="I89" i="1057" s="1"/>
  <c r="X174" i="1057"/>
  <c r="X60" i="1057"/>
  <c r="J64" i="1058"/>
  <c r="U208" i="1059"/>
  <c r="U96" i="1059"/>
  <c r="I71" i="1059"/>
  <c r="X176" i="1061"/>
  <c r="X62" i="1061"/>
  <c r="W196" i="1061"/>
  <c r="W197" i="1061"/>
  <c r="W198" i="1061"/>
  <c r="X66" i="1061"/>
  <c r="G44" i="1061"/>
  <c r="V174" i="1062"/>
  <c r="V60" i="1062"/>
  <c r="G144" i="1063"/>
  <c r="W50" i="1063"/>
  <c r="K50" i="1063"/>
  <c r="W22" i="1063"/>
  <c r="K22" i="1063"/>
  <c r="V173" i="1064"/>
  <c r="V59" i="1064"/>
  <c r="W140" i="1061"/>
  <c r="T122" i="1062"/>
  <c r="U145" i="1059"/>
  <c r="U147" i="1059"/>
  <c r="V214" i="1058"/>
  <c r="V102" i="1058"/>
  <c r="U212" i="1059"/>
  <c r="U100" i="1059"/>
  <c r="G127" i="1062"/>
  <c r="G44" i="1062"/>
  <c r="G110" i="1054"/>
  <c r="V177" i="1058"/>
  <c r="V63" i="1058"/>
  <c r="K111" i="1058"/>
  <c r="K121" i="1058"/>
  <c r="W125" i="1059"/>
  <c r="W123" i="1059"/>
  <c r="W54" i="1059"/>
  <c r="W130" i="1059"/>
  <c r="W164" i="1059" s="1"/>
  <c r="W69" i="1059"/>
  <c r="W53" i="1059"/>
  <c r="W129" i="1059"/>
  <c r="W163" i="1059" s="1"/>
  <c r="W66" i="1059"/>
  <c r="W181" i="1059"/>
  <c r="W67" i="1059"/>
  <c r="W104" i="1059"/>
  <c r="W216" i="1059"/>
  <c r="W180" i="1059"/>
  <c r="W236" i="1059"/>
  <c r="AF77" i="1060"/>
  <c r="H110" i="1060"/>
  <c r="H127" i="1060" s="1"/>
  <c r="K217" i="1062"/>
  <c r="K168" i="1062"/>
  <c r="K132" i="1062"/>
  <c r="K179" i="1062"/>
  <c r="K167" i="1062"/>
  <c r="X4" i="1062"/>
  <c r="K134" i="1062"/>
  <c r="K169" i="1062"/>
  <c r="K131" i="1062"/>
  <c r="K133" i="1062"/>
  <c r="L4" i="1062"/>
  <c r="K139" i="1062"/>
  <c r="U204" i="1063"/>
  <c r="U92" i="1063"/>
  <c r="U210" i="1064"/>
  <c r="U98" i="1064"/>
  <c r="V211" i="1059"/>
  <c r="V99" i="1059"/>
  <c r="J174" i="1059"/>
  <c r="I140" i="1059"/>
  <c r="J60" i="1059"/>
  <c r="J207" i="1059"/>
  <c r="J95" i="1059"/>
  <c r="J206" i="1059"/>
  <c r="J94" i="1059"/>
  <c r="U70" i="1060"/>
  <c r="U117" i="1060" s="1"/>
  <c r="U71" i="1060"/>
  <c r="U98" i="1060"/>
  <c r="U210" i="1060"/>
  <c r="X60" i="1061"/>
  <c r="X174" i="1061"/>
  <c r="U71" i="1063"/>
  <c r="U70" i="1063"/>
  <c r="I209" i="1064"/>
  <c r="I97" i="1064"/>
  <c r="I213" i="1064"/>
  <c r="I101" i="1064"/>
  <c r="L167" i="1057"/>
  <c r="L169" i="1057"/>
  <c r="L139" i="1057"/>
  <c r="L134" i="1057"/>
  <c r="L217" i="1057"/>
  <c r="L133" i="1057"/>
  <c r="L179" i="1057"/>
  <c r="L131" i="1057"/>
  <c r="L168" i="1057"/>
  <c r="M4" i="1057"/>
  <c r="L132" i="1057"/>
  <c r="Y4" i="1057"/>
  <c r="K217" i="1057"/>
  <c r="V213" i="1057"/>
  <c r="V101" i="1057"/>
  <c r="K177" i="1059"/>
  <c r="L20" i="1059"/>
  <c r="X20" i="1059"/>
  <c r="V203" i="1059"/>
  <c r="V91" i="1059"/>
  <c r="L173" i="1061"/>
  <c r="Y16" i="1061"/>
  <c r="M16" i="1061"/>
  <c r="L171" i="1061"/>
  <c r="Y14" i="1061"/>
  <c r="M14" i="1061"/>
  <c r="V112" i="1061"/>
  <c r="L172" i="1061"/>
  <c r="Y15" i="1061"/>
  <c r="M15" i="1061"/>
  <c r="I206" i="1061"/>
  <c r="I94" i="1061"/>
  <c r="V181" i="1062"/>
  <c r="V166" i="1062"/>
  <c r="V165" i="1062"/>
  <c r="V169" i="1062" s="1"/>
  <c r="V66" i="1062"/>
  <c r="V180" i="1062"/>
  <c r="V67" i="1062"/>
  <c r="V62" i="1062"/>
  <c r="V194" i="1062"/>
  <c r="V77" i="1062"/>
  <c r="V80" i="1062"/>
  <c r="V195" i="1062"/>
  <c r="V176" i="1062"/>
  <c r="V236" i="1062"/>
  <c r="V176" i="1058"/>
  <c r="V62" i="1058"/>
  <c r="T219" i="1059"/>
  <c r="T106" i="1059"/>
  <c r="I55" i="1060"/>
  <c r="X178" i="1061"/>
  <c r="X64" i="1061"/>
  <c r="H219" i="1063"/>
  <c r="H106" i="1063"/>
  <c r="H110" i="1063" s="1"/>
  <c r="X196" i="1057"/>
  <c r="X197" i="1057"/>
  <c r="X198" i="1057"/>
  <c r="L177" i="1057"/>
  <c r="Y20" i="1057"/>
  <c r="M20" i="1057"/>
  <c r="K217" i="1058"/>
  <c r="K133" i="1058"/>
  <c r="K179" i="1058"/>
  <c r="K168" i="1058"/>
  <c r="K132" i="1058"/>
  <c r="K131" i="1058"/>
  <c r="K55" i="1058" s="1"/>
  <c r="K167" i="1058"/>
  <c r="K134" i="1058"/>
  <c r="K139" i="1058"/>
  <c r="L4" i="1058"/>
  <c r="X4" i="1058"/>
  <c r="J178" i="1059"/>
  <c r="V167" i="1062"/>
  <c r="V130" i="1062"/>
  <c r="V164" i="1062" s="1"/>
  <c r="V53" i="1062"/>
  <c r="V129" i="1062"/>
  <c r="V163" i="1062" s="1"/>
  <c r="V69" i="1062"/>
  <c r="V125" i="1062"/>
  <c r="V54" i="1062"/>
  <c r="V123" i="1062"/>
  <c r="V216" i="1062"/>
  <c r="V104" i="1062"/>
  <c r="I215" i="1062"/>
  <c r="I103" i="1062"/>
  <c r="I184" i="1062"/>
  <c r="I185" i="1062"/>
  <c r="K182" i="1063"/>
  <c r="X23" i="1063"/>
  <c r="L23" i="1063"/>
  <c r="U213" i="1064"/>
  <c r="U101" i="1064"/>
  <c r="U206" i="1064"/>
  <c r="U94" i="1064"/>
  <c r="T70" i="1057"/>
  <c r="U208" i="1058"/>
  <c r="U96" i="1058"/>
  <c r="H112" i="1058"/>
  <c r="V176" i="1059"/>
  <c r="V62" i="1059"/>
  <c r="I90" i="1060"/>
  <c r="I202" i="1060"/>
  <c r="W13" i="1064"/>
  <c r="W56" i="1064" s="1"/>
  <c r="K13" i="1064"/>
  <c r="X178" i="1057"/>
  <c r="X64" i="1057"/>
  <c r="V59" i="1060"/>
  <c r="V173" i="1060"/>
  <c r="L175" i="1061"/>
  <c r="Y18" i="1061"/>
  <c r="M18" i="1061"/>
  <c r="J63" i="1060"/>
  <c r="J54" i="1063"/>
  <c r="J64" i="1063"/>
  <c r="J140" i="1063" s="1"/>
  <c r="J62" i="1063"/>
  <c r="V203" i="1057"/>
  <c r="V91" i="1057"/>
  <c r="I209" i="1057"/>
  <c r="I97" i="1057"/>
  <c r="I207" i="1057"/>
  <c r="I95" i="1057"/>
  <c r="I92" i="1057"/>
  <c r="I204" i="1057"/>
  <c r="K174" i="1057"/>
  <c r="U211" i="1058"/>
  <c r="U99" i="1058"/>
  <c r="U140" i="1058"/>
  <c r="U202" i="1058"/>
  <c r="U89" i="1058"/>
  <c r="U142" i="1058"/>
  <c r="U143" i="1058" s="1"/>
  <c r="U90" i="1058"/>
  <c r="J61" i="1058"/>
  <c r="J214" i="1058"/>
  <c r="J102" i="1058"/>
  <c r="J90" i="1058"/>
  <c r="J202" i="1058"/>
  <c r="L176" i="1061"/>
  <c r="Y19" i="1061"/>
  <c r="M19" i="1061"/>
  <c r="L182" i="1061"/>
  <c r="Y23" i="1061"/>
  <c r="M23" i="1061"/>
  <c r="X165" i="1061"/>
  <c r="X169" i="1061" s="1"/>
  <c r="J174" i="1062"/>
  <c r="K17" i="1062"/>
  <c r="W17" i="1062"/>
  <c r="L178" i="1062"/>
  <c r="Y21" i="1062"/>
  <c r="M21" i="1062"/>
  <c r="AD30" i="1064"/>
  <c r="R30" i="1064"/>
  <c r="AE30" i="1064" s="1"/>
  <c r="I149" i="1064"/>
  <c r="I117" i="1057"/>
  <c r="G110" i="1057"/>
  <c r="I117" i="1064"/>
  <c r="H117" i="1063"/>
  <c r="U71" i="1059"/>
  <c r="AD30" i="1057"/>
  <c r="R30" i="1057"/>
  <c r="AE30" i="1057" s="1"/>
  <c r="K13" i="1058"/>
  <c r="W13" i="1058"/>
  <c r="W56" i="1058" s="1"/>
  <c r="L182" i="1057"/>
  <c r="Y23" i="1057"/>
  <c r="M23" i="1057"/>
  <c r="J172" i="1058"/>
  <c r="K15" i="1058"/>
  <c r="K58" i="1058" s="1"/>
  <c r="W15" i="1058"/>
  <c r="J165" i="1064"/>
  <c r="J169" i="1064" s="1"/>
  <c r="J166" i="1064"/>
  <c r="W12" i="1064"/>
  <c r="K12" i="1064"/>
  <c r="X175" i="1057"/>
  <c r="X61" i="1057"/>
  <c r="D227" i="1059"/>
  <c r="B116" i="1059"/>
  <c r="W148" i="1057"/>
  <c r="W145" i="1057"/>
  <c r="W146" i="1057" s="1"/>
  <c r="V204" i="1058"/>
  <c r="V92" i="1058"/>
  <c r="V172" i="1058"/>
  <c r="V58" i="1058"/>
  <c r="J177" i="1058"/>
  <c r="K20" i="1058"/>
  <c r="K63" i="1058" s="1"/>
  <c r="W20" i="1058"/>
  <c r="V130" i="1058"/>
  <c r="V164" i="1058" s="1"/>
  <c r="V125" i="1058"/>
  <c r="V129" i="1058"/>
  <c r="V163" i="1058" s="1"/>
  <c r="V123" i="1058"/>
  <c r="V69" i="1058"/>
  <c r="V54" i="1058"/>
  <c r="V53" i="1058"/>
  <c r="V216" i="1058"/>
  <c r="V104" i="1058"/>
  <c r="K198" i="1058"/>
  <c r="K197" i="1058"/>
  <c r="K196" i="1058"/>
  <c r="U209" i="1059"/>
  <c r="U97" i="1059"/>
  <c r="J167" i="1059"/>
  <c r="T203" i="1061"/>
  <c r="T91" i="1061"/>
  <c r="I208" i="1063"/>
  <c r="I96" i="1063"/>
  <c r="U203" i="1064"/>
  <c r="U91" i="1064"/>
  <c r="W49" i="1064"/>
  <c r="K49" i="1064"/>
  <c r="Z22" i="1057"/>
  <c r="N22" i="1057"/>
  <c r="M194" i="1057"/>
  <c r="M192" i="1057"/>
  <c r="M166" i="1057"/>
  <c r="M165" i="1057"/>
  <c r="M193" i="1057"/>
  <c r="Z6" i="1057"/>
  <c r="M77" i="1057"/>
  <c r="N6" i="1057"/>
  <c r="M195" i="1057"/>
  <c r="M236" i="1057"/>
  <c r="L175" i="1057"/>
  <c r="Y18" i="1057"/>
  <c r="M18" i="1057"/>
  <c r="J149" i="1058"/>
  <c r="V66" i="1058"/>
  <c r="U101" i="1060"/>
  <c r="U213" i="1060"/>
  <c r="J108" i="1059"/>
  <c r="J65" i="1059"/>
  <c r="J62" i="1059"/>
  <c r="D226" i="1061"/>
  <c r="B115" i="1061"/>
  <c r="J217" i="1063"/>
  <c r="J179" i="1063"/>
  <c r="J167" i="1063"/>
  <c r="J169" i="1063"/>
  <c r="J139" i="1063"/>
  <c r="J131" i="1063"/>
  <c r="J132" i="1063"/>
  <c r="J133" i="1063"/>
  <c r="J168" i="1063"/>
  <c r="K4" i="1063"/>
  <c r="K65" i="1063" s="1"/>
  <c r="J134" i="1063"/>
  <c r="W4" i="1063"/>
  <c r="U117" i="1064"/>
  <c r="G141" i="1064"/>
  <c r="G148" i="1064" s="1"/>
  <c r="G146" i="1064"/>
  <c r="V215" i="1063"/>
  <c r="V103" i="1063"/>
  <c r="V184" i="1063"/>
  <c r="V185" i="1063"/>
  <c r="I112" i="1064"/>
  <c r="K167" i="1057"/>
  <c r="L176" i="1057"/>
  <c r="Y19" i="1057"/>
  <c r="M19" i="1057"/>
  <c r="U214" i="1058"/>
  <c r="U102" i="1058"/>
  <c r="X51" i="1058"/>
  <c r="L51" i="1058"/>
  <c r="W177" i="1059"/>
  <c r="W63" i="1059"/>
  <c r="U117" i="1058"/>
  <c r="H219" i="1059"/>
  <c r="H106" i="1059"/>
  <c r="K149" i="1059"/>
  <c r="AC13" i="1062"/>
  <c r="AC56" i="1062" s="1"/>
  <c r="Q13" i="1062"/>
  <c r="I215" i="1061"/>
  <c r="I103" i="1061"/>
  <c r="I185" i="1061"/>
  <c r="I184" i="1061"/>
  <c r="I112" i="1061"/>
  <c r="H112" i="1061"/>
  <c r="H112" i="1064"/>
  <c r="Y56" i="1062"/>
  <c r="Y194" i="1062"/>
  <c r="Y80" i="1062"/>
  <c r="Y77" i="1062"/>
  <c r="Y195" i="1062"/>
  <c r="W49" i="1063"/>
  <c r="K49" i="1063"/>
  <c r="D170" i="1059"/>
  <c r="B57" i="1059"/>
  <c r="J176" i="1058"/>
  <c r="K19" i="1058"/>
  <c r="K62" i="1058" s="1"/>
  <c r="W19" i="1058"/>
  <c r="G219" i="1058"/>
  <c r="G106" i="1058"/>
  <c r="T147" i="1059"/>
  <c r="T148" i="1059"/>
  <c r="T145" i="1059"/>
  <c r="T144" i="1059" s="1"/>
  <c r="J149" i="1059"/>
  <c r="D227" i="1060"/>
  <c r="B116" i="1060"/>
  <c r="T112" i="1060"/>
  <c r="O22" i="1061"/>
  <c r="AA22" i="1061"/>
  <c r="X22" i="1062"/>
  <c r="L22" i="1062"/>
  <c r="J111" i="1062"/>
  <c r="J121" i="1062"/>
  <c r="W171" i="1062"/>
  <c r="W57" i="1062"/>
  <c r="T142" i="1057"/>
  <c r="T143" i="1057" s="1"/>
  <c r="X177" i="1057"/>
  <c r="X63" i="1057"/>
  <c r="J131" i="1058"/>
  <c r="J133" i="1058"/>
  <c r="I221" i="1059"/>
  <c r="I70" i="1059"/>
  <c r="I89" i="1059" s="1"/>
  <c r="I109" i="1059"/>
  <c r="I117" i="1059"/>
  <c r="I221" i="1060"/>
  <c r="I109" i="1060"/>
  <c r="I70" i="1060"/>
  <c r="I117" i="1060"/>
  <c r="J175" i="1060"/>
  <c r="W18" i="1060"/>
  <c r="K18" i="1060"/>
  <c r="H110" i="1062"/>
  <c r="H127" i="1062" s="1"/>
  <c r="V65" i="1062"/>
  <c r="U207" i="1062"/>
  <c r="U95" i="1062"/>
  <c r="K11" i="1062"/>
  <c r="W11" i="1062"/>
  <c r="W10" i="1062" s="1"/>
  <c r="W177" i="1062" s="1"/>
  <c r="J104" i="1062"/>
  <c r="J236" i="1062"/>
  <c r="I142" i="1062"/>
  <c r="I143" i="1062" s="1"/>
  <c r="I89" i="1062"/>
  <c r="I90" i="1062"/>
  <c r="I202" i="1062"/>
  <c r="I204" i="1062"/>
  <c r="I92" i="1062"/>
  <c r="W51" i="1063"/>
  <c r="K51" i="1063"/>
  <c r="W182" i="1063"/>
  <c r="W68" i="1063"/>
  <c r="D170" i="1064"/>
  <c r="B57" i="1064"/>
  <c r="U202" i="1064"/>
  <c r="U142" i="1064"/>
  <c r="U143" i="1064" s="1"/>
  <c r="U90" i="1064"/>
  <c r="U89" i="1064"/>
  <c r="J177" i="1064"/>
  <c r="W20" i="1064"/>
  <c r="K20" i="1064"/>
  <c r="K221" i="1057"/>
  <c r="K109" i="1057"/>
  <c r="T141" i="1057"/>
  <c r="V171" i="1058"/>
  <c r="V57" i="1058"/>
  <c r="P228" i="1062"/>
  <c r="AC29" i="1062"/>
  <c r="AC228" i="1062" s="1"/>
  <c r="Q29" i="1062"/>
  <c r="I214" i="1063"/>
  <c r="I102" i="1063"/>
  <c r="I206" i="1063"/>
  <c r="I94" i="1063"/>
  <c r="V204" i="1064"/>
  <c r="V92" i="1064"/>
  <c r="K178" i="1057"/>
  <c r="Y11" i="1061"/>
  <c r="M11" i="1061"/>
  <c r="M236" i="1061" s="1"/>
  <c r="L104" i="1061"/>
  <c r="L14" i="1060"/>
  <c r="X14" i="1060"/>
  <c r="K171" i="1060"/>
  <c r="J58" i="1060"/>
  <c r="J54" i="1060"/>
  <c r="J71" i="1060" s="1"/>
  <c r="G110" i="1061"/>
  <c r="V182" i="1062"/>
  <c r="V68" i="1062"/>
  <c r="J65" i="1063"/>
  <c r="J69" i="1063"/>
  <c r="I212" i="1057"/>
  <c r="I100" i="1057"/>
  <c r="I203" i="1057"/>
  <c r="I91" i="1057"/>
  <c r="J68" i="1058"/>
  <c r="J108" i="1058"/>
  <c r="J63" i="1058"/>
  <c r="D226" i="1058"/>
  <c r="B115" i="1058"/>
  <c r="K176" i="1061"/>
  <c r="G146" i="1061"/>
  <c r="G141" i="1061"/>
  <c r="K178" i="1062"/>
  <c r="G127" i="1063"/>
  <c r="G44" i="1063"/>
  <c r="U215" i="1064"/>
  <c r="U103" i="1064"/>
  <c r="U185" i="1064"/>
  <c r="U184" i="1064"/>
  <c r="U70" i="1061"/>
  <c r="T70" i="1063"/>
  <c r="T70" i="1061"/>
  <c r="J209" i="1054"/>
  <c r="J97" i="1054"/>
  <c r="G120" i="1054"/>
  <c r="G119" i="1054"/>
  <c r="J206" i="1054"/>
  <c r="J94" i="1054"/>
  <c r="J212" i="1054"/>
  <c r="J100" i="1054"/>
  <c r="J210" i="1055"/>
  <c r="J98" i="1055"/>
  <c r="I145" i="1054"/>
  <c r="J204" i="1054"/>
  <c r="J92" i="1054"/>
  <c r="J205" i="1054"/>
  <c r="J93" i="1054"/>
  <c r="J210" i="1054"/>
  <c r="J98" i="1054"/>
  <c r="I203" i="1053"/>
  <c r="I91" i="1053"/>
  <c r="I70" i="1053"/>
  <c r="I117" i="1053" s="1"/>
  <c r="G44" i="1053"/>
  <c r="I219" i="1056"/>
  <c r="I106" i="1056"/>
  <c r="J212" i="1055"/>
  <c r="J100" i="1055"/>
  <c r="V212" i="1053"/>
  <c r="V100" i="1053"/>
  <c r="U207" i="1055"/>
  <c r="U95" i="1055"/>
  <c r="J174" i="1055"/>
  <c r="W17" i="1055"/>
  <c r="K17" i="1055"/>
  <c r="D170" i="1056"/>
  <c r="B57" i="1056"/>
  <c r="J108" i="1056"/>
  <c r="J67" i="1056"/>
  <c r="J64" i="1056"/>
  <c r="J59" i="1056"/>
  <c r="J54" i="1056"/>
  <c r="J68" i="1056"/>
  <c r="J66" i="1056"/>
  <c r="J60" i="1056"/>
  <c r="J56" i="1056"/>
  <c r="J63" i="1056"/>
  <c r="J53" i="1056"/>
  <c r="J61" i="1056"/>
  <c r="J57" i="1056"/>
  <c r="J58" i="1056"/>
  <c r="W8" i="1056"/>
  <c r="J69" i="1056"/>
  <c r="J65" i="1056"/>
  <c r="K8" i="1056"/>
  <c r="J62" i="1056"/>
  <c r="I208" i="1056"/>
  <c r="I96" i="1056"/>
  <c r="I210" i="1056"/>
  <c r="I98" i="1056"/>
  <c r="H141" i="1056"/>
  <c r="W165" i="1056"/>
  <c r="W166" i="1056"/>
  <c r="J173" i="1053"/>
  <c r="W16" i="1053"/>
  <c r="K16" i="1053"/>
  <c r="H89" i="1054"/>
  <c r="J173" i="1055"/>
  <c r="W16" i="1055"/>
  <c r="K16" i="1055"/>
  <c r="V178" i="1055"/>
  <c r="V64" i="1055"/>
  <c r="T120" i="1056"/>
  <c r="T119" i="1056"/>
  <c r="H127" i="1055"/>
  <c r="AA195" i="1056"/>
  <c r="AA80" i="1056"/>
  <c r="AA194" i="1056"/>
  <c r="AA77" i="1056"/>
  <c r="G147" i="1053"/>
  <c r="U210" i="1053"/>
  <c r="U98" i="1053"/>
  <c r="V111" i="1056"/>
  <c r="V121" i="1056"/>
  <c r="W30" i="1056"/>
  <c r="K30" i="1056"/>
  <c r="X30" i="1056" s="1"/>
  <c r="K221" i="1053"/>
  <c r="K109" i="1053"/>
  <c r="U203" i="1053"/>
  <c r="U91" i="1053"/>
  <c r="AE77" i="1053"/>
  <c r="AE194" i="1053"/>
  <c r="AE80" i="1053"/>
  <c r="AE195" i="1053"/>
  <c r="AA194" i="1054"/>
  <c r="AA80" i="1054"/>
  <c r="AA195" i="1054"/>
  <c r="AA77" i="1054"/>
  <c r="X22" i="1056"/>
  <c r="L22" i="1056"/>
  <c r="U214" i="1056"/>
  <c r="U102" i="1056"/>
  <c r="G219" i="1056"/>
  <c r="G106" i="1056"/>
  <c r="I71" i="1053"/>
  <c r="I89" i="1053" s="1"/>
  <c r="I208" i="1053"/>
  <c r="I96" i="1053"/>
  <c r="J182" i="1054"/>
  <c r="K23" i="1054"/>
  <c r="W23" i="1054"/>
  <c r="J175" i="1055"/>
  <c r="W18" i="1055"/>
  <c r="K18" i="1055"/>
  <c r="H112" i="1055"/>
  <c r="AE194" i="1055"/>
  <c r="AE80" i="1055"/>
  <c r="AE77" i="1055"/>
  <c r="AE195" i="1055"/>
  <c r="U213" i="1054"/>
  <c r="U101" i="1054"/>
  <c r="K228" i="1054"/>
  <c r="X29" i="1054"/>
  <c r="X228" i="1054" s="1"/>
  <c r="V176" i="1054"/>
  <c r="V62" i="1054"/>
  <c r="I205" i="1055"/>
  <c r="I93" i="1055"/>
  <c r="K61" i="1055"/>
  <c r="K69" i="1055"/>
  <c r="K67" i="1055"/>
  <c r="K68" i="1055"/>
  <c r="K54" i="1055"/>
  <c r="K53" i="1055"/>
  <c r="L8" i="1055"/>
  <c r="K66" i="1055"/>
  <c r="K60" i="1055"/>
  <c r="X8" i="1055"/>
  <c r="J206" i="1055"/>
  <c r="J94" i="1055"/>
  <c r="W50" i="1053"/>
  <c r="K50" i="1053"/>
  <c r="T117" i="1053"/>
  <c r="T127" i="1053" s="1"/>
  <c r="U212" i="1055"/>
  <c r="U100" i="1055"/>
  <c r="T145" i="1053"/>
  <c r="T147" i="1053" s="1"/>
  <c r="J202" i="1054"/>
  <c r="J90" i="1054"/>
  <c r="G117" i="1056"/>
  <c r="I70" i="1054"/>
  <c r="U207" i="1054"/>
  <c r="U95" i="1054"/>
  <c r="W11" i="1054"/>
  <c r="K11" i="1054"/>
  <c r="J236" i="1054"/>
  <c r="J104" i="1054"/>
  <c r="H141" i="1054"/>
  <c r="H148" i="1054" s="1"/>
  <c r="O24" i="1054"/>
  <c r="AB24" i="1054" s="1"/>
  <c r="AA24" i="1054"/>
  <c r="V174" i="1055"/>
  <c r="V60" i="1055"/>
  <c r="K111" i="1055"/>
  <c r="K121" i="1055"/>
  <c r="I213" i="1056"/>
  <c r="I101" i="1056"/>
  <c r="X12" i="1056"/>
  <c r="L12" i="1056"/>
  <c r="K166" i="1056"/>
  <c r="K165" i="1056"/>
  <c r="V178" i="1056"/>
  <c r="V64" i="1056"/>
  <c r="W20" i="1054"/>
  <c r="K20" i="1054"/>
  <c r="J177" i="1054"/>
  <c r="V173" i="1055"/>
  <c r="V59" i="1055"/>
  <c r="O228" i="1056"/>
  <c r="AB29" i="1056"/>
  <c r="AB228" i="1056" s="1"/>
  <c r="P29" i="1056"/>
  <c r="W13" i="1055"/>
  <c r="W56" i="1055" s="1"/>
  <c r="K13" i="1055"/>
  <c r="G147" i="1055"/>
  <c r="V196" i="1056"/>
  <c r="V197" i="1056"/>
  <c r="V198" i="1056"/>
  <c r="T203" i="1056"/>
  <c r="T91" i="1056"/>
  <c r="T219" i="1054"/>
  <c r="T106" i="1054"/>
  <c r="T120" i="1054"/>
  <c r="T119" i="1054"/>
  <c r="I55" i="1055"/>
  <c r="U213" i="1056"/>
  <c r="U101" i="1056"/>
  <c r="L51" i="1055"/>
  <c r="X51" i="1055"/>
  <c r="U209" i="1053"/>
  <c r="U97" i="1053"/>
  <c r="J66" i="1053"/>
  <c r="J60" i="1053"/>
  <c r="J56" i="1053"/>
  <c r="J63" i="1053"/>
  <c r="J53" i="1053"/>
  <c r="J108" i="1053"/>
  <c r="J61" i="1053"/>
  <c r="J57" i="1053"/>
  <c r="J65" i="1053"/>
  <c r="J55" i="1053"/>
  <c r="J69" i="1053"/>
  <c r="J67" i="1053"/>
  <c r="J54" i="1053"/>
  <c r="K8" i="1053"/>
  <c r="J68" i="1053"/>
  <c r="W8" i="1053"/>
  <c r="J64" i="1053"/>
  <c r="J58" i="1053"/>
  <c r="J62" i="1053"/>
  <c r="J59" i="1053"/>
  <c r="I213" i="1053"/>
  <c r="I101" i="1053"/>
  <c r="V68" i="1054"/>
  <c r="V182" i="1054"/>
  <c r="V217" i="1054"/>
  <c r="V179" i="1054"/>
  <c r="V168" i="1054"/>
  <c r="V133" i="1054"/>
  <c r="V132" i="1054"/>
  <c r="V167" i="1054"/>
  <c r="V134" i="1054"/>
  <c r="V131" i="1054"/>
  <c r="V65" i="1054"/>
  <c r="V139" i="1054"/>
  <c r="V175" i="1055"/>
  <c r="V61" i="1055"/>
  <c r="H219" i="1056"/>
  <c r="H106" i="1056"/>
  <c r="H110" i="1056" s="1"/>
  <c r="L181" i="1055"/>
  <c r="J221" i="1056"/>
  <c r="J109" i="1056"/>
  <c r="U202" i="1053"/>
  <c r="U142" i="1053"/>
  <c r="U143" i="1053" s="1"/>
  <c r="U90" i="1053"/>
  <c r="I112" i="1054"/>
  <c r="G146" i="1054"/>
  <c r="G141" i="1054"/>
  <c r="J172" i="1055"/>
  <c r="W15" i="1055"/>
  <c r="K15" i="1055"/>
  <c r="K58" i="1055" s="1"/>
  <c r="J61" i="1055"/>
  <c r="W22" i="1055"/>
  <c r="K22" i="1055"/>
  <c r="X13" i="1053"/>
  <c r="X56" i="1053" s="1"/>
  <c r="L13" i="1053"/>
  <c r="U55" i="1056"/>
  <c r="AE195" i="1054"/>
  <c r="AE80" i="1054"/>
  <c r="AE77" i="1054"/>
  <c r="AE194" i="1054"/>
  <c r="U71" i="1054"/>
  <c r="U89" i="1054" s="1"/>
  <c r="U70" i="1054"/>
  <c r="U117" i="1054" s="1"/>
  <c r="W49" i="1053"/>
  <c r="K49" i="1053"/>
  <c r="V129" i="1054"/>
  <c r="V163" i="1054" s="1"/>
  <c r="V123" i="1054"/>
  <c r="V125" i="1054"/>
  <c r="V54" i="1054"/>
  <c r="V53" i="1054"/>
  <c r="V130" i="1054"/>
  <c r="V164" i="1054" s="1"/>
  <c r="V69" i="1054"/>
  <c r="V104" i="1054"/>
  <c r="V216" i="1054"/>
  <c r="W204" i="1056"/>
  <c r="W92" i="1056"/>
  <c r="I111" i="1056"/>
  <c r="I215" i="1056"/>
  <c r="I103" i="1056"/>
  <c r="I185" i="1056"/>
  <c r="I184" i="1056"/>
  <c r="J178" i="1056"/>
  <c r="K21" i="1056"/>
  <c r="W21" i="1056"/>
  <c r="X51" i="1056"/>
  <c r="L51" i="1056"/>
  <c r="D170" i="1053"/>
  <c r="B57" i="1053"/>
  <c r="J173" i="1054"/>
  <c r="W16" i="1054"/>
  <c r="K16" i="1054"/>
  <c r="H145" i="1054"/>
  <c r="H147" i="1054" s="1"/>
  <c r="T145" i="1056"/>
  <c r="T147" i="1056" s="1"/>
  <c r="U121" i="1055"/>
  <c r="U111" i="1055"/>
  <c r="D227" i="1053"/>
  <c r="B116" i="1053"/>
  <c r="Q30" i="1053"/>
  <c r="AC30" i="1053"/>
  <c r="J228" i="1053"/>
  <c r="K29" i="1053"/>
  <c r="W29" i="1053"/>
  <c r="W228" i="1053" s="1"/>
  <c r="M192" i="1053"/>
  <c r="M195" i="1053"/>
  <c r="M194" i="1053"/>
  <c r="M77" i="1053"/>
  <c r="M193" i="1053"/>
  <c r="Z6" i="1053"/>
  <c r="N6" i="1053"/>
  <c r="M88" i="1054" a="1"/>
  <c r="M88" i="1054" s="1"/>
  <c r="Z9" i="1054"/>
  <c r="Z88" i="1054" s="1"/>
  <c r="Z109" i="1054" s="1"/>
  <c r="N9" i="1054"/>
  <c r="V204" i="1055"/>
  <c r="V92" i="1055"/>
  <c r="V182" i="1053"/>
  <c r="V68" i="1053"/>
  <c r="V172" i="1053"/>
  <c r="V58" i="1053"/>
  <c r="U208" i="1053"/>
  <c r="U96" i="1053"/>
  <c r="U205" i="1054"/>
  <c r="U93" i="1054"/>
  <c r="J176" i="1055"/>
  <c r="W19" i="1055"/>
  <c r="K19" i="1055"/>
  <c r="V172" i="1056"/>
  <c r="V58" i="1056"/>
  <c r="X50" i="1056"/>
  <c r="L50" i="1056"/>
  <c r="H147" i="1056"/>
  <c r="H145" i="1056"/>
  <c r="H146" i="1056" s="1"/>
  <c r="H148" i="1056"/>
  <c r="H144" i="1056"/>
  <c r="U215" i="1054"/>
  <c r="U103" i="1054"/>
  <c r="U184" i="1054"/>
  <c r="U185" i="1054"/>
  <c r="V175" i="1056"/>
  <c r="V61" i="1056"/>
  <c r="I205" i="1053"/>
  <c r="I93" i="1053"/>
  <c r="J171" i="1054"/>
  <c r="W14" i="1054"/>
  <c r="K14" i="1054"/>
  <c r="U215" i="1055"/>
  <c r="U103" i="1055"/>
  <c r="U185" i="1055"/>
  <c r="U184" i="1055"/>
  <c r="R192" i="1056"/>
  <c r="R195" i="1056"/>
  <c r="R193" i="1056"/>
  <c r="R194" i="1056"/>
  <c r="R77" i="1056"/>
  <c r="AF77" i="1056" s="1"/>
  <c r="AE6" i="1056"/>
  <c r="N17" i="1053"/>
  <c r="Z17" i="1053"/>
  <c r="T146" i="1053"/>
  <c r="T141" i="1053"/>
  <c r="T148" i="1053" s="1"/>
  <c r="I98" i="1054"/>
  <c r="I210" i="1054"/>
  <c r="V172" i="1055"/>
  <c r="V58" i="1055"/>
  <c r="J205" i="1055"/>
  <c r="J93" i="1055"/>
  <c r="T203" i="1055"/>
  <c r="T91" i="1055"/>
  <c r="V174" i="1056"/>
  <c r="V60" i="1056"/>
  <c r="W204" i="1053"/>
  <c r="W92" i="1053"/>
  <c r="P228" i="1053"/>
  <c r="AC29" i="1053"/>
  <c r="AC228" i="1053" s="1"/>
  <c r="Q29" i="1053"/>
  <c r="AA24" i="1055"/>
  <c r="O24" i="1055"/>
  <c r="AB24" i="1055" s="1"/>
  <c r="K171" i="1053"/>
  <c r="X14" i="1053"/>
  <c r="L14" i="1053"/>
  <c r="J213" i="1054"/>
  <c r="J101" i="1054"/>
  <c r="V176" i="1056"/>
  <c r="V62" i="1056"/>
  <c r="G110" i="1051"/>
  <c r="G146" i="1051"/>
  <c r="H225" i="1053"/>
  <c r="H114" i="1053"/>
  <c r="H115" i="1053" s="1"/>
  <c r="H116" i="1053" s="1"/>
  <c r="H113" i="1053"/>
  <c r="I214" i="1054"/>
  <c r="I102" i="1054"/>
  <c r="G44" i="1054"/>
  <c r="G127" i="1054"/>
  <c r="K196" i="1055"/>
  <c r="K198" i="1055"/>
  <c r="K197" i="1055"/>
  <c r="X13" i="1056"/>
  <c r="X56" i="1056" s="1"/>
  <c r="L13" i="1056"/>
  <c r="I205" i="1056"/>
  <c r="I93" i="1056"/>
  <c r="I71" i="1056"/>
  <c r="I117" i="1056" s="1"/>
  <c r="U211" i="1053"/>
  <c r="U99" i="1053"/>
  <c r="U140" i="1053"/>
  <c r="V59" i="1054"/>
  <c r="V173" i="1054"/>
  <c r="I213" i="1055"/>
  <c r="I101" i="1055"/>
  <c r="U196" i="1055"/>
  <c r="U198" i="1055"/>
  <c r="U197" i="1055"/>
  <c r="U215" i="1053"/>
  <c r="U103" i="1053"/>
  <c r="U185" i="1053"/>
  <c r="U184" i="1053"/>
  <c r="Y195" i="1053"/>
  <c r="Y77" i="1053"/>
  <c r="Y194" i="1053"/>
  <c r="Y80" i="1053"/>
  <c r="L221" i="1054"/>
  <c r="L109" i="1054"/>
  <c r="V166" i="1054"/>
  <c r="V165" i="1054"/>
  <c r="V169" i="1054" s="1"/>
  <c r="V180" i="1054"/>
  <c r="V181" i="1054"/>
  <c r="V67" i="1054"/>
  <c r="V80" i="1054"/>
  <c r="V66" i="1054"/>
  <c r="V195" i="1054"/>
  <c r="V194" i="1054"/>
  <c r="V236" i="1054"/>
  <c r="V77" i="1054"/>
  <c r="D226" i="1054"/>
  <c r="B115" i="1054"/>
  <c r="U210" i="1055"/>
  <c r="U98" i="1055"/>
  <c r="L50" i="1055"/>
  <c r="X50" i="1055"/>
  <c r="J177" i="1055"/>
  <c r="W20" i="1055"/>
  <c r="K20" i="1055"/>
  <c r="V171" i="1056"/>
  <c r="V57" i="1056"/>
  <c r="J182" i="1053"/>
  <c r="W23" i="1053"/>
  <c r="K23" i="1053"/>
  <c r="J172" i="1053"/>
  <c r="W15" i="1053"/>
  <c r="K15" i="1053"/>
  <c r="V177" i="1053"/>
  <c r="V63" i="1053"/>
  <c r="I204" i="1054"/>
  <c r="I92" i="1054"/>
  <c r="J166" i="1055"/>
  <c r="J165" i="1055"/>
  <c r="W12" i="1055"/>
  <c r="K12" i="1055"/>
  <c r="V176" i="1055"/>
  <c r="V62" i="1055"/>
  <c r="U204" i="1056"/>
  <c r="U92" i="1056"/>
  <c r="J172" i="1056"/>
  <c r="K15" i="1056"/>
  <c r="W15" i="1056"/>
  <c r="J217" i="1056"/>
  <c r="J169" i="1056"/>
  <c r="J179" i="1056"/>
  <c r="J131" i="1056"/>
  <c r="J55" i="1056" s="1"/>
  <c r="J168" i="1056"/>
  <c r="J139" i="1056"/>
  <c r="J167" i="1056"/>
  <c r="J133" i="1056"/>
  <c r="J132" i="1056"/>
  <c r="J134" i="1056"/>
  <c r="W4" i="1056"/>
  <c r="K4" i="1056"/>
  <c r="J175" i="1056"/>
  <c r="K18" i="1056"/>
  <c r="W18" i="1056"/>
  <c r="U206" i="1053"/>
  <c r="U94" i="1053"/>
  <c r="W51" i="1053"/>
  <c r="K51" i="1053"/>
  <c r="I214" i="1053"/>
  <c r="I102" i="1053"/>
  <c r="I209" i="1053"/>
  <c r="I97" i="1053"/>
  <c r="V171" i="1054"/>
  <c r="V57" i="1054"/>
  <c r="J217" i="1054"/>
  <c r="J179" i="1054"/>
  <c r="J168" i="1054"/>
  <c r="J132" i="1054"/>
  <c r="J167" i="1054"/>
  <c r="J134" i="1054"/>
  <c r="J131" i="1054"/>
  <c r="J133" i="1054"/>
  <c r="W4" i="1054"/>
  <c r="K4" i="1054"/>
  <c r="J139" i="1054"/>
  <c r="U97" i="1054"/>
  <c r="U209" i="1054"/>
  <c r="T120" i="1055"/>
  <c r="T119" i="1055"/>
  <c r="T122" i="1055" s="1"/>
  <c r="T219" i="1055"/>
  <c r="T106" i="1055"/>
  <c r="M195" i="1055"/>
  <c r="M193" i="1055"/>
  <c r="M194" i="1055"/>
  <c r="M192" i="1055"/>
  <c r="M77" i="1055"/>
  <c r="Z6" i="1055"/>
  <c r="N6" i="1055"/>
  <c r="AD195" i="1056"/>
  <c r="AD194" i="1056"/>
  <c r="AD80" i="1056"/>
  <c r="AD77" i="1056"/>
  <c r="U211" i="1055"/>
  <c r="U99" i="1055"/>
  <c r="U140" i="1055"/>
  <c r="H145" i="1053"/>
  <c r="L130" i="1054" a="1"/>
  <c r="L130" i="1054" s="1"/>
  <c r="L164" i="1054" s="1"/>
  <c r="M10" i="1054"/>
  <c r="L123" i="1054"/>
  <c r="L129" i="1054"/>
  <c r="L163" i="1054" s="1"/>
  <c r="L125" i="1054"/>
  <c r="L216" i="1054" a="1"/>
  <c r="L216" i="1054" s="1"/>
  <c r="L181" i="1054"/>
  <c r="L180" i="1054"/>
  <c r="J174" i="1056"/>
  <c r="K17" i="1056"/>
  <c r="W17" i="1056"/>
  <c r="J181" i="1053"/>
  <c r="J180" i="1053"/>
  <c r="J130" i="1053" a="1"/>
  <c r="J130" i="1053" s="1"/>
  <c r="J164" i="1053" s="1"/>
  <c r="J125" i="1053"/>
  <c r="J129" i="1053"/>
  <c r="J163" i="1053" s="1"/>
  <c r="J123" i="1053"/>
  <c r="K10" i="1053"/>
  <c r="J216" i="1053" a="1"/>
  <c r="J216" i="1053" s="1"/>
  <c r="J174" i="1053"/>
  <c r="L88" i="1055" a="1"/>
  <c r="L88" i="1055" s="1"/>
  <c r="M9" i="1055"/>
  <c r="Y9" i="1055"/>
  <c r="Y88" i="1055" s="1"/>
  <c r="Y109" i="1055" s="1"/>
  <c r="W171" i="1053"/>
  <c r="W57" i="1053"/>
  <c r="J214" i="1054"/>
  <c r="J102" i="1054"/>
  <c r="J68" i="1054"/>
  <c r="U202" i="1054"/>
  <c r="U142" i="1054"/>
  <c r="U143" i="1054" s="1"/>
  <c r="U90" i="1054"/>
  <c r="X49" i="1054"/>
  <c r="L49" i="1054"/>
  <c r="J176" i="1056"/>
  <c r="K19" i="1056"/>
  <c r="W19" i="1056"/>
  <c r="V205" i="1053"/>
  <c r="V93" i="1053"/>
  <c r="U101" i="1053"/>
  <c r="U213" i="1053"/>
  <c r="H141" i="1053"/>
  <c r="H148" i="1053" s="1"/>
  <c r="I211" i="1054"/>
  <c r="I99" i="1054"/>
  <c r="I140" i="1054"/>
  <c r="G44" i="1055"/>
  <c r="H119" i="1055"/>
  <c r="H122" i="1055" s="1"/>
  <c r="H120" i="1055"/>
  <c r="I209" i="1056"/>
  <c r="I97" i="1056"/>
  <c r="I207" i="1056"/>
  <c r="I95" i="1056"/>
  <c r="D226" i="1056"/>
  <c r="B115" i="1056"/>
  <c r="W130" i="1056"/>
  <c r="W164" i="1056" s="1"/>
  <c r="W125" i="1056"/>
  <c r="W123" i="1056"/>
  <c r="W129" i="1056"/>
  <c r="W163" i="1056" s="1"/>
  <c r="W53" i="1056"/>
  <c r="W69" i="1056"/>
  <c r="W54" i="1056"/>
  <c r="W236" i="1056"/>
  <c r="W180" i="1056"/>
  <c r="W181" i="1056"/>
  <c r="W104" i="1056"/>
  <c r="W216" i="1056"/>
  <c r="W66" i="1056"/>
  <c r="W67" i="1056"/>
  <c r="V208" i="1053"/>
  <c r="V96" i="1053"/>
  <c r="I212" i="1054"/>
  <c r="I100" i="1054"/>
  <c r="J174" i="1054"/>
  <c r="W17" i="1054"/>
  <c r="K17" i="1054"/>
  <c r="I210" i="1055"/>
  <c r="I98" i="1055"/>
  <c r="G219" i="1053"/>
  <c r="G106" i="1053"/>
  <c r="U206" i="1054"/>
  <c r="U94" i="1054"/>
  <c r="V177" i="1055"/>
  <c r="V63" i="1055"/>
  <c r="J171" i="1056"/>
  <c r="K14" i="1056"/>
  <c r="W14" i="1056"/>
  <c r="J177" i="1053"/>
  <c r="W20" i="1053"/>
  <c r="K20" i="1053"/>
  <c r="D170" i="1055"/>
  <c r="B57" i="1055"/>
  <c r="U214" i="1054"/>
  <c r="U102" i="1054"/>
  <c r="V217" i="1055"/>
  <c r="V179" i="1055"/>
  <c r="V168" i="1055"/>
  <c r="V131" i="1055"/>
  <c r="V55" i="1055" s="1"/>
  <c r="V139" i="1055"/>
  <c r="V132" i="1055"/>
  <c r="V134" i="1055"/>
  <c r="V167" i="1055"/>
  <c r="V133" i="1055"/>
  <c r="V65" i="1055"/>
  <c r="U208" i="1056"/>
  <c r="U96" i="1056"/>
  <c r="T141" i="1056"/>
  <c r="T148" i="1056" s="1"/>
  <c r="V217" i="1056"/>
  <c r="V179" i="1056"/>
  <c r="V168" i="1056"/>
  <c r="V132" i="1056"/>
  <c r="V167" i="1056"/>
  <c r="V133" i="1056"/>
  <c r="V131" i="1056"/>
  <c r="V134" i="1056"/>
  <c r="V139" i="1056"/>
  <c r="V65" i="1056"/>
  <c r="I206" i="1053"/>
  <c r="I94" i="1053"/>
  <c r="I215" i="1053"/>
  <c r="I103" i="1053"/>
  <c r="I184" i="1053"/>
  <c r="I185" i="1053"/>
  <c r="U203" i="1054"/>
  <c r="U91" i="1054"/>
  <c r="I203" i="1054"/>
  <c r="I91" i="1054"/>
  <c r="T145" i="1055"/>
  <c r="T147" i="1055" s="1"/>
  <c r="P30" i="1055"/>
  <c r="AB30" i="1055"/>
  <c r="I209" i="1055"/>
  <c r="I97" i="1055"/>
  <c r="J149" i="1056"/>
  <c r="Y80" i="1055"/>
  <c r="Y77" i="1055"/>
  <c r="Y194" i="1055"/>
  <c r="Y195" i="1055"/>
  <c r="U111" i="1053"/>
  <c r="U121" i="1053"/>
  <c r="H126" i="1053"/>
  <c r="D170" i="1054"/>
  <c r="B57" i="1054"/>
  <c r="J215" i="1055"/>
  <c r="J103" i="1055"/>
  <c r="J185" i="1055"/>
  <c r="J184" i="1055"/>
  <c r="J71" i="1055"/>
  <c r="AB30" i="1056"/>
  <c r="P30" i="1056"/>
  <c r="V181" i="1056"/>
  <c r="V180" i="1056"/>
  <c r="V165" i="1056"/>
  <c r="V169" i="1056" s="1"/>
  <c r="V166" i="1056"/>
  <c r="V66" i="1056"/>
  <c r="V67" i="1056"/>
  <c r="V195" i="1056"/>
  <c r="V80" i="1056"/>
  <c r="V194" i="1056"/>
  <c r="V77" i="1056"/>
  <c r="O228" i="1054"/>
  <c r="AB29" i="1054"/>
  <c r="AB228" i="1054" s="1"/>
  <c r="P29" i="1054"/>
  <c r="I121" i="1053"/>
  <c r="K221" i="1055"/>
  <c r="K109" i="1055"/>
  <c r="V62" i="1053"/>
  <c r="T117" i="1054"/>
  <c r="T127" i="1054" s="1"/>
  <c r="J71" i="1054"/>
  <c r="U121" i="1054"/>
  <c r="U111" i="1054"/>
  <c r="I140" i="1055"/>
  <c r="H219" i="1053"/>
  <c r="H106" i="1053"/>
  <c r="H110" i="1053" s="1"/>
  <c r="U214" i="1053"/>
  <c r="U102" i="1053"/>
  <c r="H219" i="1054"/>
  <c r="H106" i="1054"/>
  <c r="H110" i="1054" s="1"/>
  <c r="W11" i="1055"/>
  <c r="K11" i="1055"/>
  <c r="K108" i="1055" s="1"/>
  <c r="J104" i="1055"/>
  <c r="J236" i="1055"/>
  <c r="H147" i="1055"/>
  <c r="H145" i="1055"/>
  <c r="H146" i="1055" s="1"/>
  <c r="H148" i="1055"/>
  <c r="X49" i="1056"/>
  <c r="L49" i="1056"/>
  <c r="V177" i="1056"/>
  <c r="V63" i="1056"/>
  <c r="I202" i="1056"/>
  <c r="I90" i="1056"/>
  <c r="I89" i="1056"/>
  <c r="I142" i="1056"/>
  <c r="I143" i="1056" s="1"/>
  <c r="I212" i="1056"/>
  <c r="I100" i="1056"/>
  <c r="X11" i="1056"/>
  <c r="X10" i="1056" s="1"/>
  <c r="L11" i="1056"/>
  <c r="K236" i="1056"/>
  <c r="K104" i="1056"/>
  <c r="U212" i="1054"/>
  <c r="U100" i="1054"/>
  <c r="V174" i="1054"/>
  <c r="V60" i="1054"/>
  <c r="T146" i="1055"/>
  <c r="T141" i="1055"/>
  <c r="T148" i="1055" s="1"/>
  <c r="U208" i="1055"/>
  <c r="U96" i="1055"/>
  <c r="K179" i="1053"/>
  <c r="K139" i="1053"/>
  <c r="K217" i="1053"/>
  <c r="K167" i="1053"/>
  <c r="K168" i="1053"/>
  <c r="L4" i="1053"/>
  <c r="X4" i="1053"/>
  <c r="V202" i="1056"/>
  <c r="V90" i="1056"/>
  <c r="U212" i="1053"/>
  <c r="U100" i="1053"/>
  <c r="K178" i="1053"/>
  <c r="X21" i="1053"/>
  <c r="L21" i="1053"/>
  <c r="O50" i="1054"/>
  <c r="AA50" i="1054"/>
  <c r="J175" i="1054"/>
  <c r="W18" i="1054"/>
  <c r="K18" i="1054"/>
  <c r="U209" i="1055"/>
  <c r="U97" i="1055"/>
  <c r="I214" i="1055"/>
  <c r="I102" i="1055"/>
  <c r="J217" i="1055"/>
  <c r="J167" i="1055"/>
  <c r="J179" i="1055"/>
  <c r="J134" i="1055"/>
  <c r="J131" i="1055"/>
  <c r="J168" i="1055"/>
  <c r="J169" i="1055"/>
  <c r="J139" i="1055"/>
  <c r="J132" i="1055"/>
  <c r="J133" i="1055"/>
  <c r="K4" i="1055"/>
  <c r="K65" i="1055" s="1"/>
  <c r="W4" i="1055"/>
  <c r="K182" i="1055"/>
  <c r="L23" i="1055"/>
  <c r="X23" i="1055"/>
  <c r="D227" i="1055"/>
  <c r="B116" i="1055"/>
  <c r="U212" i="1056"/>
  <c r="U100" i="1056"/>
  <c r="U140" i="1056"/>
  <c r="O24" i="1056"/>
  <c r="AB24" i="1056" s="1"/>
  <c r="AA24" i="1056"/>
  <c r="G141" i="1056"/>
  <c r="G148" i="1056" s="1"/>
  <c r="G146" i="1056"/>
  <c r="I207" i="1053"/>
  <c r="I95" i="1053"/>
  <c r="I210" i="1053"/>
  <c r="I98" i="1053"/>
  <c r="I202" i="1053"/>
  <c r="I142" i="1053"/>
  <c r="I143" i="1053" s="1"/>
  <c r="I90" i="1053"/>
  <c r="V175" i="1053"/>
  <c r="V61" i="1053"/>
  <c r="J166" i="1054"/>
  <c r="W12" i="1054"/>
  <c r="J165" i="1054"/>
  <c r="J169" i="1054" s="1"/>
  <c r="K12" i="1054"/>
  <c r="L49" i="1055"/>
  <c r="X49" i="1055"/>
  <c r="V173" i="1056"/>
  <c r="V59" i="1056"/>
  <c r="U210" i="1054"/>
  <c r="U98" i="1054"/>
  <c r="U207" i="1053"/>
  <c r="U95" i="1053"/>
  <c r="U198" i="1053"/>
  <c r="U196" i="1053"/>
  <c r="U197" i="1053"/>
  <c r="I117" i="1054"/>
  <c r="K111" i="1054"/>
  <c r="K121" i="1054"/>
  <c r="J60" i="1055"/>
  <c r="J59" i="1055"/>
  <c r="J202" i="1055"/>
  <c r="J90" i="1055"/>
  <c r="W13" i="1054"/>
  <c r="W56" i="1054" s="1"/>
  <c r="K13" i="1054"/>
  <c r="J166" i="1053"/>
  <c r="J165" i="1053"/>
  <c r="J169" i="1053" s="1"/>
  <c r="W12" i="1053"/>
  <c r="K12" i="1053"/>
  <c r="K131" i="1053" s="1"/>
  <c r="X19" i="1053"/>
  <c r="L19" i="1053"/>
  <c r="K176" i="1053"/>
  <c r="I198" i="1053"/>
  <c r="I196" i="1053"/>
  <c r="I197" i="1053"/>
  <c r="V176" i="1053"/>
  <c r="J60" i="1054"/>
  <c r="J59" i="1054"/>
  <c r="H117" i="1056"/>
  <c r="G147" i="1052"/>
  <c r="U205" i="1053"/>
  <c r="U93" i="1053"/>
  <c r="U208" i="1054"/>
  <c r="U96" i="1054"/>
  <c r="H225" i="1054"/>
  <c r="H113" i="1054"/>
  <c r="H114" i="1054" s="1"/>
  <c r="H115" i="1054" s="1"/>
  <c r="H116" i="1054" s="1"/>
  <c r="V125" i="1055"/>
  <c r="V129" i="1055"/>
  <c r="V163" i="1055" s="1"/>
  <c r="V123" i="1055"/>
  <c r="V69" i="1055"/>
  <c r="V130" i="1055"/>
  <c r="V164" i="1055" s="1"/>
  <c r="V54" i="1055"/>
  <c r="V53" i="1055"/>
  <c r="V104" i="1055"/>
  <c r="V216" i="1055"/>
  <c r="I207" i="1055"/>
  <c r="I95" i="1055"/>
  <c r="J177" i="1056"/>
  <c r="K20" i="1056"/>
  <c r="W20" i="1056"/>
  <c r="I211" i="1056"/>
  <c r="I99" i="1056"/>
  <c r="I140" i="1056"/>
  <c r="I214" i="1056"/>
  <c r="I102" i="1056"/>
  <c r="J180" i="1056"/>
  <c r="J181" i="1056"/>
  <c r="J130" i="1056" a="1"/>
  <c r="J130" i="1056" s="1"/>
  <c r="J164" i="1056" s="1"/>
  <c r="J123" i="1056"/>
  <c r="J129" i="1056"/>
  <c r="J163" i="1056" s="1"/>
  <c r="J125" i="1056"/>
  <c r="K10" i="1056"/>
  <c r="J216" i="1056" a="1"/>
  <c r="J216" i="1056" s="1"/>
  <c r="U202" i="1055"/>
  <c r="U142" i="1055"/>
  <c r="U143" i="1055" s="1"/>
  <c r="U90" i="1055"/>
  <c r="M22" i="1054"/>
  <c r="Y22" i="1054"/>
  <c r="I95" i="1054"/>
  <c r="I207" i="1054"/>
  <c r="G147" i="1056"/>
  <c r="V182" i="1056"/>
  <c r="V68" i="1056"/>
  <c r="M9" i="1053"/>
  <c r="L88" i="1053" a="1"/>
  <c r="L88" i="1053" s="1"/>
  <c r="Y9" i="1053"/>
  <c r="Y88" i="1053" s="1"/>
  <c r="Y109" i="1053" s="1"/>
  <c r="J172" i="1054"/>
  <c r="W15" i="1054"/>
  <c r="K15" i="1054"/>
  <c r="V64" i="1054"/>
  <c r="V178" i="1054"/>
  <c r="V175" i="1054"/>
  <c r="V61" i="1054"/>
  <c r="W182" i="1055"/>
  <c r="W68" i="1055"/>
  <c r="W22" i="1053"/>
  <c r="K22" i="1053"/>
  <c r="I211" i="1053"/>
  <c r="I99" i="1053"/>
  <c r="I140" i="1053"/>
  <c r="J175" i="1053"/>
  <c r="W18" i="1053"/>
  <c r="K18" i="1053"/>
  <c r="U94" i="1055"/>
  <c r="U206" i="1055"/>
  <c r="K228" i="1055"/>
  <c r="X29" i="1055"/>
  <c r="X228" i="1055" s="1"/>
  <c r="J173" i="1056"/>
  <c r="K16" i="1056"/>
  <c r="W16" i="1056"/>
  <c r="U211" i="1054"/>
  <c r="U99" i="1054"/>
  <c r="U140" i="1054"/>
  <c r="J56" i="1055"/>
  <c r="J63" i="1055"/>
  <c r="K228" i="1056"/>
  <c r="X29" i="1056"/>
  <c r="X228" i="1056" s="1"/>
  <c r="V56" i="1054"/>
  <c r="J171" i="1055"/>
  <c r="W14" i="1055"/>
  <c r="K14" i="1055"/>
  <c r="V133" i="1053"/>
  <c r="V131" i="1053"/>
  <c r="V55" i="1053" s="1"/>
  <c r="V132" i="1053"/>
  <c r="V134" i="1053"/>
  <c r="W11" i="1053"/>
  <c r="K11" i="1053"/>
  <c r="J236" i="1053"/>
  <c r="J104" i="1053"/>
  <c r="J63" i="1054"/>
  <c r="J108" i="1054"/>
  <c r="U196" i="1054"/>
  <c r="U198" i="1054"/>
  <c r="U197" i="1054"/>
  <c r="Y51" i="1054"/>
  <c r="M51" i="1054"/>
  <c r="L125" i="1055"/>
  <c r="L130" i="1055" a="1"/>
  <c r="L130" i="1055" s="1"/>
  <c r="L164" i="1055" s="1"/>
  <c r="L129" i="1055"/>
  <c r="L163" i="1055" s="1"/>
  <c r="L123" i="1055"/>
  <c r="M10" i="1055"/>
  <c r="M180" i="1055" s="1"/>
  <c r="L216" i="1055" a="1"/>
  <c r="L216" i="1055" s="1"/>
  <c r="I203" i="1056"/>
  <c r="I91" i="1056"/>
  <c r="I204" i="1056"/>
  <c r="I92" i="1056"/>
  <c r="I206" i="1056"/>
  <c r="I94" i="1056"/>
  <c r="U214" i="1055"/>
  <c r="U102" i="1055"/>
  <c r="H112" i="1056"/>
  <c r="I197" i="1056"/>
  <c r="I196" i="1056"/>
  <c r="I198" i="1056"/>
  <c r="V173" i="1053"/>
  <c r="V59" i="1053"/>
  <c r="G110" i="1053"/>
  <c r="G127" i="1053" s="1"/>
  <c r="V63" i="1054"/>
  <c r="V177" i="1054"/>
  <c r="T146" i="1054"/>
  <c r="T141" i="1054"/>
  <c r="T148" i="1054" s="1"/>
  <c r="I149" i="1054"/>
  <c r="U203" i="1055"/>
  <c r="U91" i="1055"/>
  <c r="J178" i="1055"/>
  <c r="W21" i="1055"/>
  <c r="K21" i="1055"/>
  <c r="K64" i="1055" s="1"/>
  <c r="V204" i="1056"/>
  <c r="V92" i="1056"/>
  <c r="I149" i="1055"/>
  <c r="U70" i="1055"/>
  <c r="U117" i="1055" s="1"/>
  <c r="U71" i="1055"/>
  <c r="W133" i="1053"/>
  <c r="W132" i="1053"/>
  <c r="W134" i="1053"/>
  <c r="W131" i="1053"/>
  <c r="I208" i="1054"/>
  <c r="I96" i="1054"/>
  <c r="P228" i="1055"/>
  <c r="Q29" i="1055"/>
  <c r="AC29" i="1055"/>
  <c r="AC228" i="1055" s="1"/>
  <c r="J182" i="1056"/>
  <c r="K23" i="1056"/>
  <c r="W23" i="1056"/>
  <c r="V181" i="1053"/>
  <c r="V180" i="1053"/>
  <c r="V165" i="1053"/>
  <c r="V169" i="1053" s="1"/>
  <c r="V166" i="1053"/>
  <c r="V67" i="1053"/>
  <c r="V66" i="1053"/>
  <c r="V65" i="1053"/>
  <c r="V217" i="1053"/>
  <c r="V167" i="1053"/>
  <c r="V80" i="1053"/>
  <c r="V194" i="1053"/>
  <c r="V139" i="1053"/>
  <c r="V77" i="1053"/>
  <c r="V195" i="1053"/>
  <c r="V179" i="1053"/>
  <c r="V172" i="1054"/>
  <c r="V58" i="1054"/>
  <c r="J178" i="1054"/>
  <c r="W21" i="1054"/>
  <c r="K21" i="1054"/>
  <c r="G110" i="1056"/>
  <c r="V178" i="1053"/>
  <c r="I212" i="1053"/>
  <c r="I100" i="1053"/>
  <c r="I204" i="1053"/>
  <c r="I92" i="1053"/>
  <c r="K88" i="1056" a="1"/>
  <c r="K88" i="1056" s="1"/>
  <c r="X9" i="1056"/>
  <c r="X88" i="1056" s="1"/>
  <c r="X109" i="1056" s="1"/>
  <c r="L9" i="1056"/>
  <c r="U70" i="1053"/>
  <c r="U71" i="1053"/>
  <c r="K19" i="1054"/>
  <c r="J176" i="1054"/>
  <c r="W19" i="1054"/>
  <c r="K196" i="1054"/>
  <c r="K197" i="1054"/>
  <c r="K198" i="1054"/>
  <c r="U205" i="1055"/>
  <c r="U93" i="1055"/>
  <c r="J213" i="1055"/>
  <c r="J101" i="1055"/>
  <c r="J214" i="1055"/>
  <c r="J102" i="1055"/>
  <c r="V166" i="1055"/>
  <c r="V181" i="1055"/>
  <c r="V180" i="1055"/>
  <c r="V165" i="1055"/>
  <c r="V169" i="1055" s="1"/>
  <c r="V67" i="1055"/>
  <c r="V66" i="1055"/>
  <c r="V77" i="1055"/>
  <c r="V236" i="1055"/>
  <c r="V80" i="1055"/>
  <c r="V194" i="1055"/>
  <c r="V195" i="1055"/>
  <c r="V171" i="1055"/>
  <c r="V57" i="1055"/>
  <c r="G110" i="1055"/>
  <c r="G127" i="1055" s="1"/>
  <c r="V56" i="1053"/>
  <c r="V129" i="1053"/>
  <c r="V163" i="1053" s="1"/>
  <c r="V123" i="1053"/>
  <c r="V69" i="1053"/>
  <c r="V54" i="1053"/>
  <c r="V130" i="1053"/>
  <c r="V164" i="1053" s="1"/>
  <c r="V125" i="1053"/>
  <c r="V53" i="1053"/>
  <c r="V104" i="1053"/>
  <c r="V216" i="1053"/>
  <c r="V168" i="1053"/>
  <c r="T120" i="1053"/>
  <c r="T119" i="1053"/>
  <c r="K108" i="1054"/>
  <c r="K69" i="1054"/>
  <c r="K62" i="1054"/>
  <c r="K58" i="1054"/>
  <c r="K68" i="1054"/>
  <c r="K66" i="1054"/>
  <c r="K60" i="1054"/>
  <c r="K56" i="1054"/>
  <c r="K59" i="1054"/>
  <c r="K53" i="1054"/>
  <c r="L8" i="1054"/>
  <c r="K64" i="1054"/>
  <c r="K63" i="1054"/>
  <c r="K67" i="1054"/>
  <c r="X8" i="1054"/>
  <c r="K54" i="1054"/>
  <c r="K65" i="1054"/>
  <c r="K61" i="1054"/>
  <c r="K57" i="1054"/>
  <c r="T70" i="1056"/>
  <c r="T117" i="1056" s="1"/>
  <c r="T127" i="1056" s="1"/>
  <c r="J206" i="1052"/>
  <c r="J94" i="1052"/>
  <c r="G120" i="1051"/>
  <c r="G119" i="1051"/>
  <c r="J212" i="1052"/>
  <c r="J100" i="1052"/>
  <c r="J210" i="1052"/>
  <c r="J98" i="1052"/>
  <c r="J204" i="1052"/>
  <c r="J92" i="1052"/>
  <c r="J205" i="1052"/>
  <c r="J93" i="1052"/>
  <c r="J207" i="1052"/>
  <c r="J95" i="1052"/>
  <c r="T119" i="1052"/>
  <c r="T120" i="1052"/>
  <c r="J149" i="1052"/>
  <c r="H145" i="1052"/>
  <c r="H147" i="1052" s="1"/>
  <c r="I121" i="1051"/>
  <c r="L21" i="1051"/>
  <c r="X21" i="1051"/>
  <c r="J177" i="1052"/>
  <c r="K20" i="1052"/>
  <c r="W20" i="1052"/>
  <c r="J172" i="1051"/>
  <c r="K15" i="1051"/>
  <c r="W15" i="1051"/>
  <c r="V171" i="1051"/>
  <c r="V57" i="1051"/>
  <c r="K50" i="1051"/>
  <c r="W50" i="1051"/>
  <c r="V212" i="1051"/>
  <c r="V100" i="1051"/>
  <c r="U210" i="1052"/>
  <c r="U98" i="1052"/>
  <c r="U206" i="1052"/>
  <c r="U94" i="1052"/>
  <c r="K221" i="1052"/>
  <c r="K109" i="1052"/>
  <c r="L22" i="1051"/>
  <c r="X22" i="1051"/>
  <c r="V210" i="1051"/>
  <c r="V98" i="1051"/>
  <c r="U111" i="1052"/>
  <c r="U121" i="1052"/>
  <c r="I204" i="1052"/>
  <c r="I92" i="1052"/>
  <c r="W176" i="1051"/>
  <c r="W62" i="1051"/>
  <c r="V177" i="1052"/>
  <c r="V63" i="1052"/>
  <c r="B115" i="1051"/>
  <c r="D226" i="1051"/>
  <c r="V172" i="1051"/>
  <c r="V58" i="1051"/>
  <c r="Z4" i="1051"/>
  <c r="N4" i="1051"/>
  <c r="H145" i="1051"/>
  <c r="H147" i="1051" s="1"/>
  <c r="K51" i="1051"/>
  <c r="W51" i="1051"/>
  <c r="I213" i="1052"/>
  <c r="I101" i="1052"/>
  <c r="V181" i="1052"/>
  <c r="V180" i="1052"/>
  <c r="V166" i="1052"/>
  <c r="V165" i="1052"/>
  <c r="V67" i="1052"/>
  <c r="V66" i="1052"/>
  <c r="V195" i="1052"/>
  <c r="V236" i="1052"/>
  <c r="V194" i="1052"/>
  <c r="V80" i="1052"/>
  <c r="V77" i="1052"/>
  <c r="H146" i="1052"/>
  <c r="H141" i="1052"/>
  <c r="H148" i="1052" s="1"/>
  <c r="G219" i="1052"/>
  <c r="G106" i="1052"/>
  <c r="G117" i="1052"/>
  <c r="J176" i="1052"/>
  <c r="K19" i="1052"/>
  <c r="W19" i="1052"/>
  <c r="I215" i="1051"/>
  <c r="I103" i="1051"/>
  <c r="I185" i="1051"/>
  <c r="I184" i="1051"/>
  <c r="V176" i="1052"/>
  <c r="V62" i="1052"/>
  <c r="J178" i="1052"/>
  <c r="K21" i="1052"/>
  <c r="W21" i="1052"/>
  <c r="Y49" i="1052"/>
  <c r="M49" i="1052"/>
  <c r="K9" i="1051"/>
  <c r="J88" i="1051" a="1"/>
  <c r="J88" i="1051" s="1"/>
  <c r="W9" i="1051"/>
  <c r="W88" i="1051" s="1"/>
  <c r="W109" i="1051" s="1"/>
  <c r="I214" i="1052"/>
  <c r="I102" i="1052"/>
  <c r="J108" i="1051"/>
  <c r="J67" i="1051"/>
  <c r="J66" i="1051"/>
  <c r="J61" i="1051"/>
  <c r="J57" i="1051"/>
  <c r="K8" i="1051"/>
  <c r="J65" i="1051"/>
  <c r="J62" i="1051"/>
  <c r="J58" i="1051"/>
  <c r="J64" i="1051"/>
  <c r="J59" i="1051"/>
  <c r="J54" i="1051"/>
  <c r="J69" i="1051"/>
  <c r="J68" i="1051"/>
  <c r="J60" i="1051"/>
  <c r="J56" i="1051"/>
  <c r="J53" i="1051"/>
  <c r="W8" i="1051"/>
  <c r="J63" i="1051"/>
  <c r="I197" i="1051"/>
  <c r="I196" i="1051"/>
  <c r="I198" i="1051"/>
  <c r="K13" i="1052"/>
  <c r="W13" i="1052"/>
  <c r="W56" i="1052" s="1"/>
  <c r="V178" i="1052"/>
  <c r="V64" i="1052"/>
  <c r="J174" i="1052"/>
  <c r="K17" i="1052"/>
  <c r="W17" i="1052"/>
  <c r="U203" i="1051"/>
  <c r="U91" i="1051"/>
  <c r="L19" i="1051"/>
  <c r="X19" i="1051"/>
  <c r="I212" i="1052"/>
  <c r="I100" i="1052"/>
  <c r="V214" i="1051"/>
  <c r="V102" i="1051"/>
  <c r="W236" i="1051"/>
  <c r="W177" i="1051"/>
  <c r="W63" i="1051"/>
  <c r="I71" i="1051"/>
  <c r="I205" i="1051"/>
  <c r="I93" i="1051"/>
  <c r="J171" i="1052"/>
  <c r="K14" i="1052"/>
  <c r="W14" i="1052"/>
  <c r="V209" i="1051"/>
  <c r="V97" i="1051"/>
  <c r="D170" i="1051"/>
  <c r="B57" i="1051"/>
  <c r="K11" i="1052"/>
  <c r="W11" i="1052"/>
  <c r="W10" i="1052" s="1"/>
  <c r="J236" i="1052"/>
  <c r="J104" i="1052"/>
  <c r="H219" i="1051"/>
  <c r="H106" i="1051"/>
  <c r="H110" i="1051" s="1"/>
  <c r="J166" i="1052"/>
  <c r="J165" i="1052"/>
  <c r="J169" i="1052" s="1"/>
  <c r="K12" i="1052"/>
  <c r="W12" i="1052"/>
  <c r="T127" i="1052"/>
  <c r="U207" i="1052"/>
  <c r="U95" i="1052"/>
  <c r="J214" i="1052"/>
  <c r="J102" i="1052"/>
  <c r="J108" i="1052"/>
  <c r="T141" i="1052"/>
  <c r="T148" i="1052" s="1"/>
  <c r="G146" i="1052"/>
  <c r="G141" i="1052"/>
  <c r="U214" i="1052"/>
  <c r="U102" i="1052"/>
  <c r="U70" i="1052"/>
  <c r="U71" i="1052"/>
  <c r="M192" i="1052"/>
  <c r="M195" i="1052"/>
  <c r="M194" i="1052"/>
  <c r="M193" i="1052"/>
  <c r="M77" i="1052"/>
  <c r="Z6" i="1052"/>
  <c r="N6" i="1052"/>
  <c r="U215" i="1052"/>
  <c r="U103" i="1052"/>
  <c r="U184" i="1052"/>
  <c r="U185" i="1052"/>
  <c r="I221" i="1051"/>
  <c r="I70" i="1051"/>
  <c r="I109" i="1051"/>
  <c r="V204" i="1052"/>
  <c r="V92" i="1052"/>
  <c r="W174" i="1051"/>
  <c r="W60" i="1051"/>
  <c r="J175" i="1052"/>
  <c r="K18" i="1052"/>
  <c r="W18" i="1052"/>
  <c r="V174" i="1052"/>
  <c r="V60" i="1052"/>
  <c r="U208" i="1051"/>
  <c r="U96" i="1051"/>
  <c r="N195" i="1051"/>
  <c r="N193" i="1051"/>
  <c r="N194" i="1051"/>
  <c r="N192" i="1051"/>
  <c r="N77" i="1051"/>
  <c r="AA6" i="1051"/>
  <c r="V121" i="1051"/>
  <c r="V111" i="1051"/>
  <c r="L20" i="1051"/>
  <c r="X20" i="1051"/>
  <c r="I207" i="1051"/>
  <c r="I95" i="1051"/>
  <c r="I209" i="1051"/>
  <c r="I97" i="1051"/>
  <c r="V171" i="1052"/>
  <c r="V57" i="1052"/>
  <c r="U203" i="1052"/>
  <c r="U91" i="1052"/>
  <c r="I206" i="1052"/>
  <c r="I94" i="1052"/>
  <c r="W173" i="1051"/>
  <c r="W59" i="1051"/>
  <c r="K13" i="1051"/>
  <c r="W13" i="1051"/>
  <c r="W56" i="1051" s="1"/>
  <c r="P228" i="1051"/>
  <c r="Q29" i="1051"/>
  <c r="AC29" i="1051"/>
  <c r="AC228" i="1051" s="1"/>
  <c r="B57" i="1052"/>
  <c r="D170" i="1052"/>
  <c r="U207" i="1051"/>
  <c r="U95" i="1051"/>
  <c r="V130" i="1052"/>
  <c r="V164" i="1052" s="1"/>
  <c r="V129" i="1052"/>
  <c r="V163" i="1052" s="1"/>
  <c r="V125" i="1052"/>
  <c r="V123" i="1052"/>
  <c r="V69" i="1052"/>
  <c r="V54" i="1052"/>
  <c r="V53" i="1052"/>
  <c r="V104" i="1052"/>
  <c r="V216" i="1052"/>
  <c r="U215" i="1051"/>
  <c r="U103" i="1051"/>
  <c r="U184" i="1051"/>
  <c r="U71" i="1051"/>
  <c r="U185" i="1051"/>
  <c r="AE194" i="1052"/>
  <c r="AE80" i="1052"/>
  <c r="AE195" i="1052"/>
  <c r="AE77" i="1052"/>
  <c r="K108" i="1052"/>
  <c r="K68" i="1052"/>
  <c r="K57" i="1052"/>
  <c r="K66" i="1052"/>
  <c r="K63" i="1052"/>
  <c r="K67" i="1052"/>
  <c r="K64" i="1052"/>
  <c r="K62" i="1052"/>
  <c r="K69" i="1052"/>
  <c r="K61" i="1052"/>
  <c r="K54" i="1052"/>
  <c r="X8" i="1052"/>
  <c r="K60" i="1052"/>
  <c r="K53" i="1052"/>
  <c r="L8" i="1052"/>
  <c r="J63" i="1052"/>
  <c r="Y77" i="1052"/>
  <c r="Y195" i="1052"/>
  <c r="Y194" i="1052"/>
  <c r="Y80" i="1052"/>
  <c r="H112" i="1052"/>
  <c r="Z194" i="1051"/>
  <c r="Z80" i="1051"/>
  <c r="Z77" i="1051"/>
  <c r="Z195" i="1051"/>
  <c r="U205" i="1052"/>
  <c r="U93" i="1052"/>
  <c r="V202" i="1051"/>
  <c r="V90" i="1051"/>
  <c r="H113" i="1051"/>
  <c r="H114" i="1051" s="1"/>
  <c r="H115" i="1051" s="1"/>
  <c r="H116" i="1051" s="1"/>
  <c r="H126" i="1051" s="1"/>
  <c r="H225" i="1051"/>
  <c r="I212" i="1051"/>
  <c r="I100" i="1051"/>
  <c r="I213" i="1051"/>
  <c r="I101" i="1051"/>
  <c r="J182" i="1052"/>
  <c r="K23" i="1052"/>
  <c r="W23" i="1052"/>
  <c r="I211" i="1052"/>
  <c r="I99" i="1052"/>
  <c r="I140" i="1052"/>
  <c r="K173" i="1051"/>
  <c r="L16" i="1051"/>
  <c r="X16" i="1051"/>
  <c r="V204" i="1051"/>
  <c r="V92" i="1051"/>
  <c r="I210" i="1052"/>
  <c r="I98" i="1052"/>
  <c r="W182" i="1051"/>
  <c r="W68" i="1051"/>
  <c r="V211" i="1051"/>
  <c r="V99" i="1051"/>
  <c r="V140" i="1051"/>
  <c r="J173" i="1052"/>
  <c r="K16" i="1052"/>
  <c r="W16" i="1052"/>
  <c r="AD30" i="1052"/>
  <c r="R30" i="1052"/>
  <c r="AE30" i="1052" s="1"/>
  <c r="J166" i="1051"/>
  <c r="J165" i="1051"/>
  <c r="J169" i="1051" s="1"/>
  <c r="K12" i="1051"/>
  <c r="W12" i="1051"/>
  <c r="J133" i="1051"/>
  <c r="J131" i="1051"/>
  <c r="J55" i="1051" s="1"/>
  <c r="J134" i="1051"/>
  <c r="J132" i="1051"/>
  <c r="T119" i="1051"/>
  <c r="T120" i="1051"/>
  <c r="U209" i="1052"/>
  <c r="U97" i="1052"/>
  <c r="K49" i="1051"/>
  <c r="W49" i="1051"/>
  <c r="J202" i="1052"/>
  <c r="J90" i="1052"/>
  <c r="J217" i="1052"/>
  <c r="J168" i="1052"/>
  <c r="J167" i="1052"/>
  <c r="J133" i="1052"/>
  <c r="J132" i="1052"/>
  <c r="J179" i="1052"/>
  <c r="J131" i="1052"/>
  <c r="J134" i="1052"/>
  <c r="J139" i="1052"/>
  <c r="W4" i="1052"/>
  <c r="K4" i="1052"/>
  <c r="K65" i="1052" s="1"/>
  <c r="T219" i="1052"/>
  <c r="T106" i="1052"/>
  <c r="H117" i="1051"/>
  <c r="U202" i="1052"/>
  <c r="U142" i="1052"/>
  <c r="U143" i="1052" s="1"/>
  <c r="U90" i="1052"/>
  <c r="L17" i="1051"/>
  <c r="X17" i="1051"/>
  <c r="K22" i="1052"/>
  <c r="W22" i="1052"/>
  <c r="I204" i="1051"/>
  <c r="I92" i="1051"/>
  <c r="I206" i="1051"/>
  <c r="I94" i="1051"/>
  <c r="I214" i="1051"/>
  <c r="I102" i="1051"/>
  <c r="U211" i="1052"/>
  <c r="U99" i="1052"/>
  <c r="U140" i="1052"/>
  <c r="V182" i="1052"/>
  <c r="V68" i="1052"/>
  <c r="W130" i="1051"/>
  <c r="W164" i="1051" s="1"/>
  <c r="W125" i="1051"/>
  <c r="W123" i="1051"/>
  <c r="W129" i="1051"/>
  <c r="W163" i="1051" s="1"/>
  <c r="W54" i="1051"/>
  <c r="W69" i="1051"/>
  <c r="W53" i="1051"/>
  <c r="W216" i="1051"/>
  <c r="W66" i="1051"/>
  <c r="W104" i="1051"/>
  <c r="W67" i="1051"/>
  <c r="W181" i="1051"/>
  <c r="W180" i="1051"/>
  <c r="U205" i="1051"/>
  <c r="U93" i="1051"/>
  <c r="T203" i="1051"/>
  <c r="T91" i="1051"/>
  <c r="K182" i="1051"/>
  <c r="L23" i="1051"/>
  <c r="X23" i="1051"/>
  <c r="V173" i="1052"/>
  <c r="V59" i="1052"/>
  <c r="G127" i="1051"/>
  <c r="G44" i="1051"/>
  <c r="V131" i="1051"/>
  <c r="V55" i="1051" s="1"/>
  <c r="V165" i="1051"/>
  <c r="V169" i="1051" s="1"/>
  <c r="V166" i="1051"/>
  <c r="V134" i="1051"/>
  <c r="V133" i="1051"/>
  <c r="V132" i="1051"/>
  <c r="V208" i="1051"/>
  <c r="V96" i="1051"/>
  <c r="T142" i="1051"/>
  <c r="T143" i="1051" s="1"/>
  <c r="P30" i="1051"/>
  <c r="AB30" i="1051"/>
  <c r="Y50" i="1052"/>
  <c r="M50" i="1052"/>
  <c r="J61" i="1052"/>
  <c r="J213" i="1052"/>
  <c r="J101" i="1052"/>
  <c r="V217" i="1052"/>
  <c r="V139" i="1052"/>
  <c r="V179" i="1052"/>
  <c r="V134" i="1052"/>
  <c r="V167" i="1052"/>
  <c r="V168" i="1052"/>
  <c r="V133" i="1052"/>
  <c r="V131" i="1052"/>
  <c r="V132" i="1052"/>
  <c r="V65" i="1052"/>
  <c r="V169" i="1052"/>
  <c r="D226" i="1052"/>
  <c r="B115" i="1052"/>
  <c r="K198" i="1052"/>
  <c r="K196" i="1052"/>
  <c r="K197" i="1052"/>
  <c r="AD77" i="1051"/>
  <c r="AD194" i="1051"/>
  <c r="AD80" i="1051"/>
  <c r="AD195" i="1051"/>
  <c r="U212" i="1052"/>
  <c r="U100" i="1052"/>
  <c r="U208" i="1052"/>
  <c r="U96" i="1052"/>
  <c r="K121" i="1052"/>
  <c r="K111" i="1052"/>
  <c r="Y51" i="1052"/>
  <c r="M51" i="1052"/>
  <c r="U145" i="1051"/>
  <c r="V197" i="1051"/>
  <c r="V196" i="1051"/>
  <c r="V198" i="1051"/>
  <c r="W65" i="1051"/>
  <c r="W179" i="1051"/>
  <c r="I210" i="1051"/>
  <c r="I98" i="1051"/>
  <c r="I202" i="1051"/>
  <c r="I142" i="1051"/>
  <c r="I143" i="1051" s="1"/>
  <c r="I89" i="1051"/>
  <c r="I90" i="1051"/>
  <c r="L11" i="1051"/>
  <c r="X11" i="1051"/>
  <c r="X10" i="1051" s="1"/>
  <c r="K236" i="1051"/>
  <c r="K104" i="1051"/>
  <c r="U210" i="1051"/>
  <c r="U98" i="1051"/>
  <c r="AA24" i="1052"/>
  <c r="O24" i="1052"/>
  <c r="AB24" i="1052" s="1"/>
  <c r="U212" i="1051"/>
  <c r="U100" i="1051"/>
  <c r="J172" i="1052"/>
  <c r="K15" i="1052"/>
  <c r="W15" i="1052"/>
  <c r="V215" i="1051"/>
  <c r="V103" i="1051"/>
  <c r="V184" i="1051"/>
  <c r="V185" i="1051"/>
  <c r="J60" i="1052"/>
  <c r="U211" i="1051"/>
  <c r="U99" i="1051"/>
  <c r="U140" i="1051"/>
  <c r="U147" i="1051" s="1"/>
  <c r="I55" i="1052"/>
  <c r="U70" i="1051"/>
  <c r="U117" i="1051" s="1"/>
  <c r="T70" i="1051"/>
  <c r="U196" i="1052"/>
  <c r="U198" i="1052"/>
  <c r="U197" i="1052"/>
  <c r="H141" i="1051"/>
  <c r="H148" i="1051" s="1"/>
  <c r="H146" i="1051"/>
  <c r="V175" i="1052"/>
  <c r="V61" i="1052"/>
  <c r="O228" i="1052"/>
  <c r="P29" i="1052"/>
  <c r="AB29" i="1052"/>
  <c r="AB228" i="1052" s="1"/>
  <c r="L130" i="1052" a="1"/>
  <c r="L130" i="1052" s="1"/>
  <c r="L164" i="1052" s="1"/>
  <c r="L129" i="1052"/>
  <c r="L163" i="1052" s="1"/>
  <c r="L125" i="1052"/>
  <c r="L123" i="1052"/>
  <c r="M10" i="1052"/>
  <c r="M181" i="1052" s="1"/>
  <c r="L216" i="1052" a="1"/>
  <c r="L216" i="1052" s="1"/>
  <c r="W175" i="1051"/>
  <c r="W61" i="1051"/>
  <c r="G147" i="1050"/>
  <c r="K175" i="1051"/>
  <c r="L18" i="1051"/>
  <c r="X18" i="1051"/>
  <c r="R192" i="1051"/>
  <c r="R195" i="1051"/>
  <c r="R193" i="1051"/>
  <c r="R194" i="1051"/>
  <c r="R77" i="1051"/>
  <c r="AE6" i="1051"/>
  <c r="V207" i="1051"/>
  <c r="V95" i="1051"/>
  <c r="V71" i="1051"/>
  <c r="W168" i="1051"/>
  <c r="I208" i="1051"/>
  <c r="I96" i="1051"/>
  <c r="I203" i="1051"/>
  <c r="I91" i="1051"/>
  <c r="I211" i="1051"/>
  <c r="I99" i="1051"/>
  <c r="I140" i="1051"/>
  <c r="U209" i="1051"/>
  <c r="U97" i="1051"/>
  <c r="T145" i="1052"/>
  <c r="T146" i="1052" s="1"/>
  <c r="J180" i="1051"/>
  <c r="J181" i="1051"/>
  <c r="J125" i="1051"/>
  <c r="J123" i="1051"/>
  <c r="J129" i="1051"/>
  <c r="J163" i="1051" s="1"/>
  <c r="J130" i="1051" a="1"/>
  <c r="J130" i="1051" s="1"/>
  <c r="J164" i="1051" s="1"/>
  <c r="K10" i="1051"/>
  <c r="K174" i="1051" s="1"/>
  <c r="J216" i="1051" a="1"/>
  <c r="J216" i="1051" s="1"/>
  <c r="J168" i="1051"/>
  <c r="J217" i="1051"/>
  <c r="J179" i="1051"/>
  <c r="J167" i="1051"/>
  <c r="J139" i="1051"/>
  <c r="W178" i="1051"/>
  <c r="W64" i="1051"/>
  <c r="J171" i="1051"/>
  <c r="K14" i="1051"/>
  <c r="W14" i="1051"/>
  <c r="T117" i="1051"/>
  <c r="T127" i="1051" s="1"/>
  <c r="V172" i="1052"/>
  <c r="V58" i="1052"/>
  <c r="U206" i="1051"/>
  <c r="U94" i="1051"/>
  <c r="J228" i="1052"/>
  <c r="W29" i="1052"/>
  <c r="W228" i="1052" s="1"/>
  <c r="K29" i="1052"/>
  <c r="J68" i="1052"/>
  <c r="U213" i="1052"/>
  <c r="U101" i="1052"/>
  <c r="L88" i="1052" a="1"/>
  <c r="L88" i="1052" s="1"/>
  <c r="Y9" i="1052"/>
  <c r="Y88" i="1052" s="1"/>
  <c r="Y109" i="1052" s="1"/>
  <c r="M9" i="1052"/>
  <c r="L180" i="1052"/>
  <c r="H219" i="1052"/>
  <c r="H106" i="1052"/>
  <c r="H110" i="1052" s="1"/>
  <c r="H117" i="1052"/>
  <c r="T120" i="1050"/>
  <c r="T119" i="1050"/>
  <c r="T122" i="1050" s="1"/>
  <c r="G219" i="1050"/>
  <c r="G106" i="1050"/>
  <c r="J165" i="1050"/>
  <c r="J166" i="1050"/>
  <c r="W12" i="1050"/>
  <c r="K12" i="1050"/>
  <c r="U208" i="1050"/>
  <c r="U96" i="1050"/>
  <c r="I205" i="1050"/>
  <c r="I93" i="1050"/>
  <c r="I215" i="1050"/>
  <c r="I103" i="1050"/>
  <c r="I185" i="1050"/>
  <c r="I184" i="1050"/>
  <c r="X50" i="1050"/>
  <c r="L50" i="1050"/>
  <c r="J88" i="1050" a="1"/>
  <c r="J88" i="1050" s="1"/>
  <c r="W9" i="1050"/>
  <c r="W88" i="1050" s="1"/>
  <c r="W109" i="1050" s="1"/>
  <c r="K9" i="1050"/>
  <c r="J181" i="1050"/>
  <c r="J180" i="1050"/>
  <c r="J125" i="1050"/>
  <c r="J129" i="1050"/>
  <c r="J163" i="1050" s="1"/>
  <c r="J130" i="1050" a="1"/>
  <c r="J130" i="1050" s="1"/>
  <c r="J164" i="1050" s="1"/>
  <c r="J123" i="1050"/>
  <c r="K10" i="1050"/>
  <c r="J178" i="1050"/>
  <c r="J216" i="1050" a="1"/>
  <c r="J216" i="1050" s="1"/>
  <c r="J177" i="1050"/>
  <c r="Z77" i="1050"/>
  <c r="Z194" i="1050"/>
  <c r="Z195" i="1050"/>
  <c r="Z80" i="1050"/>
  <c r="U207" i="1050"/>
  <c r="U95" i="1050"/>
  <c r="V210" i="1050"/>
  <c r="V98" i="1050"/>
  <c r="T219" i="1050"/>
  <c r="T106" i="1050"/>
  <c r="H219" i="1050"/>
  <c r="H106" i="1050"/>
  <c r="H110" i="1050" s="1"/>
  <c r="N192" i="1050"/>
  <c r="N195" i="1050"/>
  <c r="N194" i="1050"/>
  <c r="N193" i="1050"/>
  <c r="N77" i="1050"/>
  <c r="AF77" i="1050" s="1"/>
  <c r="AA6" i="1050"/>
  <c r="K175" i="1050"/>
  <c r="X18" i="1050"/>
  <c r="L18" i="1050"/>
  <c r="V212" i="1050"/>
  <c r="V100" i="1050"/>
  <c r="V217" i="1050"/>
  <c r="V179" i="1050"/>
  <c r="V168" i="1050"/>
  <c r="V133" i="1050"/>
  <c r="V167" i="1050"/>
  <c r="V134" i="1050"/>
  <c r="V131" i="1050"/>
  <c r="V55" i="1050" s="1"/>
  <c r="V132" i="1050"/>
  <c r="V139" i="1050"/>
  <c r="V65" i="1050"/>
  <c r="V70" i="1050" s="1"/>
  <c r="W174" i="1050"/>
  <c r="W60" i="1050"/>
  <c r="W175" i="1050"/>
  <c r="W61" i="1050"/>
  <c r="V202" i="1050"/>
  <c r="V90" i="1050"/>
  <c r="V181" i="1050"/>
  <c r="V166" i="1050"/>
  <c r="V180" i="1050"/>
  <c r="V165" i="1050"/>
  <c r="V169" i="1050" s="1"/>
  <c r="V67" i="1050"/>
  <c r="V66" i="1050"/>
  <c r="V60" i="1050"/>
  <c r="V175" i="1050"/>
  <c r="V77" i="1050"/>
  <c r="V194" i="1050"/>
  <c r="V61" i="1050"/>
  <c r="V236" i="1050"/>
  <c r="V80" i="1050"/>
  <c r="V174" i="1050"/>
  <c r="V195" i="1050"/>
  <c r="W211" i="1050"/>
  <c r="W99" i="1050"/>
  <c r="V171" i="1050"/>
  <c r="V57" i="1050"/>
  <c r="I209" i="1050"/>
  <c r="I97" i="1050"/>
  <c r="I71" i="1050"/>
  <c r="R228" i="1050"/>
  <c r="AE29" i="1050"/>
  <c r="AE228" i="1050" s="1"/>
  <c r="AD30" i="1050"/>
  <c r="R30" i="1050"/>
  <c r="AE30" i="1050" s="1"/>
  <c r="I121" i="1050"/>
  <c r="U202" i="1050"/>
  <c r="U142" i="1050"/>
  <c r="U143" i="1050" s="1"/>
  <c r="U90" i="1050"/>
  <c r="U121" i="1050"/>
  <c r="U111" i="1050"/>
  <c r="J217" i="1050"/>
  <c r="J179" i="1050"/>
  <c r="J132" i="1050"/>
  <c r="J168" i="1050"/>
  <c r="J169" i="1050"/>
  <c r="J139" i="1050"/>
  <c r="J134" i="1050"/>
  <c r="J167" i="1050"/>
  <c r="J131" i="1050"/>
  <c r="J55" i="1050" s="1"/>
  <c r="J133" i="1050"/>
  <c r="K4" i="1050"/>
  <c r="W4" i="1050"/>
  <c r="K174" i="1050"/>
  <c r="L17" i="1050"/>
  <c r="X17" i="1050"/>
  <c r="J228" i="1050"/>
  <c r="W29" i="1050"/>
  <c r="W228" i="1050" s="1"/>
  <c r="K29" i="1050"/>
  <c r="W176" i="1050"/>
  <c r="W62" i="1050"/>
  <c r="J171" i="1050"/>
  <c r="W14" i="1050"/>
  <c r="K14" i="1050"/>
  <c r="I206" i="1050"/>
  <c r="I94" i="1050"/>
  <c r="I202" i="1050"/>
  <c r="I142" i="1050"/>
  <c r="I143" i="1050" s="1"/>
  <c r="I90" i="1050"/>
  <c r="I207" i="1050"/>
  <c r="I95" i="1050"/>
  <c r="I221" i="1050"/>
  <c r="I109" i="1050"/>
  <c r="I70" i="1050"/>
  <c r="I197" i="1050"/>
  <c r="I196" i="1050"/>
  <c r="I198" i="1050"/>
  <c r="U214" i="1050"/>
  <c r="U102" i="1050"/>
  <c r="X22" i="1050"/>
  <c r="L22" i="1050"/>
  <c r="H112" i="1050"/>
  <c r="G117" i="1050"/>
  <c r="K176" i="1050"/>
  <c r="L19" i="1050"/>
  <c r="X19" i="1050"/>
  <c r="W215" i="1050"/>
  <c r="W103" i="1050"/>
  <c r="W184" i="1050"/>
  <c r="W185" i="1050"/>
  <c r="J108" i="1050"/>
  <c r="J64" i="1050"/>
  <c r="J59" i="1050"/>
  <c r="J54" i="1050"/>
  <c r="J68" i="1050"/>
  <c r="J66" i="1050"/>
  <c r="J60" i="1050"/>
  <c r="J56" i="1050"/>
  <c r="J63" i="1050"/>
  <c r="J53" i="1050"/>
  <c r="J61" i="1050"/>
  <c r="J57" i="1050"/>
  <c r="J65" i="1050"/>
  <c r="J62" i="1050"/>
  <c r="W8" i="1050"/>
  <c r="K8" i="1050"/>
  <c r="J69" i="1050"/>
  <c r="J58" i="1050"/>
  <c r="J67" i="1050"/>
  <c r="I211" i="1050"/>
  <c r="I99" i="1050"/>
  <c r="I140" i="1050"/>
  <c r="I212" i="1050"/>
  <c r="I100" i="1050"/>
  <c r="D170" i="1050"/>
  <c r="B57" i="1050"/>
  <c r="H117" i="1050"/>
  <c r="T127" i="1050"/>
  <c r="L182" i="1050"/>
  <c r="Y23" i="1050"/>
  <c r="M23" i="1050"/>
  <c r="T141" i="1050"/>
  <c r="T148" i="1050" s="1"/>
  <c r="V111" i="1050"/>
  <c r="V121" i="1050"/>
  <c r="H89" i="1050"/>
  <c r="I210" i="1050"/>
  <c r="I98" i="1050"/>
  <c r="I204" i="1050"/>
  <c r="I92" i="1050"/>
  <c r="I214" i="1050"/>
  <c r="I102" i="1050"/>
  <c r="Y20" i="1050"/>
  <c r="M20" i="1050"/>
  <c r="D226" i="1050"/>
  <c r="B115" i="1050"/>
  <c r="U211" i="1050"/>
  <c r="U99" i="1050"/>
  <c r="U140" i="1050"/>
  <c r="U196" i="1050"/>
  <c r="U198" i="1050"/>
  <c r="U197" i="1050"/>
  <c r="U205" i="1050"/>
  <c r="U93" i="1050"/>
  <c r="V211" i="1050"/>
  <c r="V99" i="1050"/>
  <c r="U213" i="1050"/>
  <c r="U101" i="1050"/>
  <c r="U209" i="1050"/>
  <c r="U97" i="1050"/>
  <c r="X182" i="1050"/>
  <c r="X68" i="1050"/>
  <c r="U70" i="1050"/>
  <c r="U71" i="1050"/>
  <c r="U210" i="1050"/>
  <c r="U98" i="1050"/>
  <c r="AE195" i="1050"/>
  <c r="AE194" i="1050"/>
  <c r="AE77" i="1050"/>
  <c r="AE80" i="1050"/>
  <c r="G141" i="1050"/>
  <c r="G146" i="1050"/>
  <c r="V196" i="1050"/>
  <c r="V197" i="1050"/>
  <c r="V198" i="1050"/>
  <c r="U206" i="1050"/>
  <c r="U94" i="1050"/>
  <c r="U203" i="1050"/>
  <c r="U91" i="1050"/>
  <c r="Y51" i="1050"/>
  <c r="M51" i="1050"/>
  <c r="X11" i="1050"/>
  <c r="L11" i="1050"/>
  <c r="K104" i="1050"/>
  <c r="K236" i="1050"/>
  <c r="X49" i="1050"/>
  <c r="L49" i="1050"/>
  <c r="V173" i="1050"/>
  <c r="V59" i="1050"/>
  <c r="H145" i="1050"/>
  <c r="H146" i="1050" s="1"/>
  <c r="H148" i="1050"/>
  <c r="I208" i="1050"/>
  <c r="I96" i="1050"/>
  <c r="V56" i="1050"/>
  <c r="V172" i="1050"/>
  <c r="V58" i="1050"/>
  <c r="I203" i="1050"/>
  <c r="I91" i="1050"/>
  <c r="T145" i="1050"/>
  <c r="T146" i="1050" s="1"/>
  <c r="Y21" i="1050"/>
  <c r="M21" i="1050"/>
  <c r="T203" i="1050"/>
  <c r="T91" i="1050"/>
  <c r="W212" i="1050"/>
  <c r="W100" i="1050"/>
  <c r="W129" i="1050"/>
  <c r="W163" i="1050" s="1"/>
  <c r="W123" i="1050"/>
  <c r="W130" i="1050"/>
  <c r="W164" i="1050" s="1"/>
  <c r="W125" i="1050"/>
  <c r="W69" i="1050"/>
  <c r="W54" i="1050"/>
  <c r="W53" i="1050"/>
  <c r="W66" i="1050"/>
  <c r="W67" i="1050"/>
  <c r="W216" i="1050"/>
  <c r="W236" i="1050"/>
  <c r="W104" i="1050"/>
  <c r="W180" i="1050"/>
  <c r="W181" i="1050"/>
  <c r="J173" i="1050"/>
  <c r="W16" i="1050"/>
  <c r="K16" i="1050"/>
  <c r="I213" i="1050"/>
  <c r="I101" i="1050"/>
  <c r="W13" i="1050"/>
  <c r="W56" i="1050" s="1"/>
  <c r="K13" i="1050"/>
  <c r="J172" i="1050"/>
  <c r="W15" i="1050"/>
  <c r="K15" i="1050"/>
  <c r="H120" i="1061" l="1"/>
  <c r="H119" i="1061"/>
  <c r="H122" i="1061" s="1"/>
  <c r="H127" i="1061"/>
  <c r="U113" i="1059"/>
  <c r="U225" i="1059" s="1"/>
  <c r="K203" i="1059"/>
  <c r="K91" i="1059"/>
  <c r="K99" i="1058"/>
  <c r="K211" i="1058"/>
  <c r="H120" i="1063"/>
  <c r="H119" i="1063"/>
  <c r="H122" i="1063" s="1"/>
  <c r="U219" i="1057"/>
  <c r="U106" i="1057"/>
  <c r="J203" i="1064"/>
  <c r="J91" i="1064"/>
  <c r="J70" i="1064"/>
  <c r="K206" i="1058"/>
  <c r="K94" i="1058"/>
  <c r="K215" i="1060"/>
  <c r="K103" i="1060"/>
  <c r="K185" i="1060"/>
  <c r="K184" i="1060"/>
  <c r="K210" i="1058"/>
  <c r="K98" i="1058"/>
  <c r="K210" i="1059"/>
  <c r="K98" i="1059"/>
  <c r="K203" i="1058"/>
  <c r="K91" i="1058"/>
  <c r="H119" i="1057"/>
  <c r="H122" i="1057" s="1"/>
  <c r="H120" i="1057"/>
  <c r="H127" i="1057"/>
  <c r="J141" i="1063"/>
  <c r="H120" i="1058"/>
  <c r="H119" i="1058"/>
  <c r="H127" i="1058"/>
  <c r="T146" i="1056"/>
  <c r="U219" i="1061"/>
  <c r="U106" i="1061"/>
  <c r="J206" i="1060"/>
  <c r="J94" i="1060"/>
  <c r="T225" i="1060"/>
  <c r="T114" i="1060"/>
  <c r="T115" i="1060" s="1"/>
  <c r="T116" i="1060" s="1"/>
  <c r="T113" i="1060"/>
  <c r="D171" i="1059"/>
  <c r="B58" i="1059"/>
  <c r="Y204" i="1062"/>
  <c r="Y92" i="1062"/>
  <c r="H225" i="1064"/>
  <c r="H113" i="1064"/>
  <c r="H114" i="1064" s="1"/>
  <c r="H115" i="1064" s="1"/>
  <c r="H116" i="1064" s="1"/>
  <c r="H126" i="1064" s="1"/>
  <c r="W211" i="1059"/>
  <c r="W99" i="1059"/>
  <c r="V70" i="1058"/>
  <c r="V71" i="1058"/>
  <c r="L13" i="1058"/>
  <c r="X13" i="1058"/>
  <c r="X56" i="1058" s="1"/>
  <c r="H127" i="1063"/>
  <c r="M182" i="1061"/>
  <c r="Z23" i="1061"/>
  <c r="N23" i="1061"/>
  <c r="Z18" i="1061"/>
  <c r="N18" i="1061"/>
  <c r="W204" i="1064"/>
  <c r="W92" i="1064"/>
  <c r="I203" i="1060"/>
  <c r="I91" i="1060"/>
  <c r="M172" i="1061"/>
  <c r="Z15" i="1061"/>
  <c r="N15" i="1061"/>
  <c r="Y59" i="1061"/>
  <c r="Y173" i="1061"/>
  <c r="V208" i="1062"/>
  <c r="V96" i="1062"/>
  <c r="K209" i="1063"/>
  <c r="K97" i="1063"/>
  <c r="K212" i="1063"/>
  <c r="K100" i="1063"/>
  <c r="AD30" i="1060"/>
  <c r="R30" i="1060"/>
  <c r="AE30" i="1060" s="1"/>
  <c r="Y134" i="1061"/>
  <c r="Y133" i="1061"/>
  <c r="Y132" i="1061"/>
  <c r="Y131" i="1061"/>
  <c r="Y55" i="1061" s="1"/>
  <c r="Y169" i="1061"/>
  <c r="T122" i="1057"/>
  <c r="J71" i="1059"/>
  <c r="M11" i="1059"/>
  <c r="Y11" i="1059"/>
  <c r="L104" i="1059"/>
  <c r="L236" i="1059"/>
  <c r="L22" i="1058"/>
  <c r="X22" i="1058"/>
  <c r="D227" i="1063"/>
  <c r="B116" i="1063"/>
  <c r="W219" i="1057"/>
  <c r="W106" i="1057"/>
  <c r="W110" i="1057" s="1"/>
  <c r="W89" i="1057"/>
  <c r="J213" i="1057"/>
  <c r="J101" i="1057"/>
  <c r="J142" i="1057"/>
  <c r="J143" i="1057" s="1"/>
  <c r="J202" i="1057"/>
  <c r="J90" i="1057"/>
  <c r="J208" i="1063"/>
  <c r="J96" i="1063"/>
  <c r="V206" i="1064"/>
  <c r="V94" i="1064"/>
  <c r="U141" i="1062"/>
  <c r="L12" i="1058"/>
  <c r="X12" i="1058"/>
  <c r="X132" i="1058" s="1"/>
  <c r="K166" i="1058"/>
  <c r="K165" i="1058"/>
  <c r="K169" i="1058" s="1"/>
  <c r="H147" i="1064"/>
  <c r="J204" i="1062"/>
  <c r="J92" i="1062"/>
  <c r="J215" i="1062"/>
  <c r="J103" i="1062"/>
  <c r="J185" i="1062"/>
  <c r="J184" i="1062"/>
  <c r="V209" i="1060"/>
  <c r="V97" i="1060"/>
  <c r="Z49" i="1057"/>
  <c r="N49" i="1057"/>
  <c r="Y171" i="1057"/>
  <c r="Y57" i="1057"/>
  <c r="X214" i="1061"/>
  <c r="X102" i="1061"/>
  <c r="Y12" i="1062"/>
  <c r="M12" i="1062"/>
  <c r="L166" i="1062"/>
  <c r="L165" i="1062"/>
  <c r="K111" i="1061"/>
  <c r="K121" i="1061"/>
  <c r="Z56" i="1061"/>
  <c r="Z77" i="1061"/>
  <c r="Z195" i="1061"/>
  <c r="Z194" i="1061"/>
  <c r="Z80" i="1061"/>
  <c r="AA77" i="1060"/>
  <c r="AA194" i="1060"/>
  <c r="AA195" i="1060"/>
  <c r="AA80" i="1060"/>
  <c r="K172" i="1059"/>
  <c r="L15" i="1059"/>
  <c r="X15" i="1059"/>
  <c r="J202" i="1061"/>
  <c r="J90" i="1061"/>
  <c r="J142" i="1061"/>
  <c r="J143" i="1061" s="1"/>
  <c r="J103" i="1061"/>
  <c r="J215" i="1061"/>
  <c r="J185" i="1061"/>
  <c r="J184" i="1061"/>
  <c r="J203" i="1061"/>
  <c r="J91" i="1061"/>
  <c r="X11" i="1060"/>
  <c r="L11" i="1060"/>
  <c r="K236" i="1060"/>
  <c r="K104" i="1060"/>
  <c r="K175" i="1059"/>
  <c r="L18" i="1059"/>
  <c r="X18" i="1059"/>
  <c r="M125" i="1058"/>
  <c r="M216" i="1058" a="1"/>
  <c r="M216" i="1058" s="1"/>
  <c r="M130" i="1058" a="1"/>
  <c r="M130" i="1058" s="1"/>
  <c r="M164" i="1058" s="1"/>
  <c r="M123" i="1058"/>
  <c r="M129" i="1058"/>
  <c r="M163" i="1058" s="1"/>
  <c r="N10" i="1058"/>
  <c r="M180" i="1058"/>
  <c r="M181" i="1058"/>
  <c r="I145" i="1059"/>
  <c r="I147" i="1059" s="1"/>
  <c r="K174" i="1058"/>
  <c r="L17" i="1058"/>
  <c r="X17" i="1058"/>
  <c r="V71" i="1064"/>
  <c r="D171" i="1063"/>
  <c r="B58" i="1063"/>
  <c r="W131" i="1064"/>
  <c r="W134" i="1064"/>
  <c r="W133" i="1064"/>
  <c r="W132" i="1064"/>
  <c r="T145" i="1061"/>
  <c r="T146" i="1061" s="1"/>
  <c r="T148" i="1061"/>
  <c r="T147" i="1061"/>
  <c r="T144" i="1061"/>
  <c r="T126" i="1060"/>
  <c r="V197" i="1063"/>
  <c r="V198" i="1063"/>
  <c r="V196" i="1063"/>
  <c r="K58" i="1059"/>
  <c r="K207" i="1059"/>
  <c r="K95" i="1059"/>
  <c r="K214" i="1059"/>
  <c r="K102" i="1059"/>
  <c r="V209" i="1064"/>
  <c r="V97" i="1064"/>
  <c r="X217" i="1059"/>
  <c r="X139" i="1059"/>
  <c r="X168" i="1059"/>
  <c r="X133" i="1059"/>
  <c r="X179" i="1059"/>
  <c r="X134" i="1059"/>
  <c r="X167" i="1059"/>
  <c r="X131" i="1059"/>
  <c r="X65" i="1059"/>
  <c r="X132" i="1059"/>
  <c r="D171" i="1062"/>
  <c r="B58" i="1062"/>
  <c r="J209" i="1063"/>
  <c r="J97" i="1063"/>
  <c r="J213" i="1060"/>
  <c r="J101" i="1060"/>
  <c r="K213" i="1060"/>
  <c r="K101" i="1060"/>
  <c r="K108" i="1060"/>
  <c r="W182" i="1059"/>
  <c r="W68" i="1059"/>
  <c r="W71" i="1059" s="1"/>
  <c r="L129" i="1064"/>
  <c r="L163" i="1064" s="1"/>
  <c r="L123" i="1064"/>
  <c r="L125" i="1064"/>
  <c r="L130" i="1064" a="1"/>
  <c r="L130" i="1064" s="1"/>
  <c r="L164" i="1064" s="1"/>
  <c r="M10" i="1064"/>
  <c r="L216" i="1064" a="1"/>
  <c r="L216" i="1064" s="1"/>
  <c r="L181" i="1064"/>
  <c r="L180" i="1064"/>
  <c r="Y166" i="1061"/>
  <c r="V139" i="1060"/>
  <c r="V179" i="1060"/>
  <c r="K228" i="1064"/>
  <c r="X29" i="1064"/>
  <c r="X228" i="1064" s="1"/>
  <c r="Z80" i="1063"/>
  <c r="Z77" i="1063"/>
  <c r="Z195" i="1063"/>
  <c r="Z194" i="1063"/>
  <c r="V205" i="1063"/>
  <c r="V93" i="1063"/>
  <c r="W55" i="1062"/>
  <c r="M12" i="1059"/>
  <c r="Y12" i="1059"/>
  <c r="L165" i="1059"/>
  <c r="L166" i="1059"/>
  <c r="L125" i="1057"/>
  <c r="L129" i="1057"/>
  <c r="L163" i="1057" s="1"/>
  <c r="L123" i="1057"/>
  <c r="L130" i="1057" a="1"/>
  <c r="L130" i="1057" s="1"/>
  <c r="L164" i="1057" s="1"/>
  <c r="M10" i="1057"/>
  <c r="L216" i="1057" a="1"/>
  <c r="L216" i="1057" s="1"/>
  <c r="L149" i="1057"/>
  <c r="L180" i="1057"/>
  <c r="L181" i="1057"/>
  <c r="V112" i="1057"/>
  <c r="T219" i="1064"/>
  <c r="T106" i="1064"/>
  <c r="V178" i="1060"/>
  <c r="U219" i="1064"/>
  <c r="U106" i="1064"/>
  <c r="W139" i="1058"/>
  <c r="V177" i="1060"/>
  <c r="V89" i="1057"/>
  <c r="I112" i="1053"/>
  <c r="G86" i="1063"/>
  <c r="T44" i="1063"/>
  <c r="T86" i="1063" s="1"/>
  <c r="T112" i="1063" s="1"/>
  <c r="G148" i="1061"/>
  <c r="G144" i="1061"/>
  <c r="J103" i="1058"/>
  <c r="J215" i="1058"/>
  <c r="J185" i="1058"/>
  <c r="J184" i="1058"/>
  <c r="X51" i="1063"/>
  <c r="L51" i="1063"/>
  <c r="I219" i="1060"/>
  <c r="I106" i="1060"/>
  <c r="D228" i="1060"/>
  <c r="B117" i="1060"/>
  <c r="D227" i="1061"/>
  <c r="B116" i="1061"/>
  <c r="N195" i="1057"/>
  <c r="N193" i="1057"/>
  <c r="N194" i="1057"/>
  <c r="N192" i="1057"/>
  <c r="N77" i="1057"/>
  <c r="AF77" i="1057" s="1"/>
  <c r="AA6" i="1057"/>
  <c r="N236" i="1057"/>
  <c r="V206" i="1058"/>
  <c r="V94" i="1058"/>
  <c r="D228" i="1059"/>
  <c r="B117" i="1059"/>
  <c r="W172" i="1058"/>
  <c r="W58" i="1058"/>
  <c r="N21" i="1062"/>
  <c r="Z21" i="1062"/>
  <c r="Y182" i="1061"/>
  <c r="Y68" i="1061"/>
  <c r="U145" i="1058"/>
  <c r="U144" i="1058" s="1"/>
  <c r="J210" i="1063"/>
  <c r="J98" i="1063"/>
  <c r="V198" i="1062"/>
  <c r="V197" i="1062"/>
  <c r="V196" i="1062"/>
  <c r="L179" i="1058"/>
  <c r="L168" i="1058"/>
  <c r="L132" i="1058"/>
  <c r="L131" i="1058"/>
  <c r="L167" i="1058"/>
  <c r="L134" i="1058"/>
  <c r="L217" i="1058"/>
  <c r="L139" i="1058"/>
  <c r="L133" i="1058"/>
  <c r="Y4" i="1058"/>
  <c r="M4" i="1058"/>
  <c r="V213" i="1062"/>
  <c r="V101" i="1062"/>
  <c r="Y58" i="1061"/>
  <c r="Y172" i="1061"/>
  <c r="W214" i="1059"/>
  <c r="W102" i="1059"/>
  <c r="W121" i="1059"/>
  <c r="W111" i="1059"/>
  <c r="G86" i="1062"/>
  <c r="T44" i="1062"/>
  <c r="T86" i="1062" s="1"/>
  <c r="X22" i="1063"/>
  <c r="L22" i="1063"/>
  <c r="K92" i="1063"/>
  <c r="K204" i="1063"/>
  <c r="K211" i="1063"/>
  <c r="K99" i="1063"/>
  <c r="K214" i="1063"/>
  <c r="K102" i="1063"/>
  <c r="J202" i="1060"/>
  <c r="J142" i="1060"/>
  <c r="J143" i="1060" s="1"/>
  <c r="J90" i="1060"/>
  <c r="X121" i="1061"/>
  <c r="X111" i="1061"/>
  <c r="M178" i="1057"/>
  <c r="Z21" i="1057"/>
  <c r="N21" i="1057"/>
  <c r="Z20" i="1061"/>
  <c r="N20" i="1061"/>
  <c r="Y20" i="1062"/>
  <c r="M20" i="1062"/>
  <c r="L177" i="1062"/>
  <c r="X205" i="1057"/>
  <c r="X93" i="1057"/>
  <c r="L22" i="1064"/>
  <c r="X22" i="1064"/>
  <c r="J209" i="1059"/>
  <c r="J97" i="1059"/>
  <c r="V212" i="1064"/>
  <c r="V100" i="1064"/>
  <c r="Y213" i="1057"/>
  <c r="Y101" i="1057"/>
  <c r="K56" i="1058"/>
  <c r="J203" i="1057"/>
  <c r="J91" i="1057"/>
  <c r="J211" i="1057"/>
  <c r="J99" i="1057"/>
  <c r="J140" i="1057"/>
  <c r="J94" i="1057"/>
  <c r="J206" i="1057"/>
  <c r="V215" i="1058"/>
  <c r="V103" i="1058"/>
  <c r="V185" i="1058"/>
  <c r="V184" i="1058"/>
  <c r="V210" i="1063"/>
  <c r="V98" i="1063"/>
  <c r="J208" i="1062"/>
  <c r="J96" i="1062"/>
  <c r="J71" i="1062"/>
  <c r="W207" i="1059"/>
  <c r="W95" i="1059"/>
  <c r="K174" i="1064"/>
  <c r="L17" i="1064"/>
  <c r="X17" i="1064"/>
  <c r="R228" i="1061"/>
  <c r="AE29" i="1061"/>
  <c r="AE228" i="1061" s="1"/>
  <c r="V209" i="1059"/>
  <c r="V97" i="1059"/>
  <c r="J71" i="1058"/>
  <c r="Q30" i="1063"/>
  <c r="AC30" i="1063"/>
  <c r="X166" i="1062"/>
  <c r="X165" i="1062"/>
  <c r="K197" i="1061"/>
  <c r="K196" i="1061"/>
  <c r="K198" i="1061"/>
  <c r="W172" i="1064"/>
  <c r="W58" i="1064"/>
  <c r="V209" i="1062"/>
  <c r="V97" i="1062"/>
  <c r="M21" i="1060"/>
  <c r="Y21" i="1060"/>
  <c r="W173" i="1058"/>
  <c r="W59" i="1058"/>
  <c r="N195" i="1061"/>
  <c r="N193" i="1061"/>
  <c r="N192" i="1061"/>
  <c r="AA6" i="1061"/>
  <c r="N194" i="1061"/>
  <c r="N77" i="1061"/>
  <c r="AF77" i="1061" s="1"/>
  <c r="X211" i="1061"/>
  <c r="X99" i="1061"/>
  <c r="X140" i="1061"/>
  <c r="J203" i="1060"/>
  <c r="J91" i="1060"/>
  <c r="W172" i="1059"/>
  <c r="W58" i="1059"/>
  <c r="J209" i="1061"/>
  <c r="J97" i="1061"/>
  <c r="J71" i="1061"/>
  <c r="J70" i="1061"/>
  <c r="J89" i="1061" s="1"/>
  <c r="U203" i="1061"/>
  <c r="U91" i="1061"/>
  <c r="U110" i="1061" s="1"/>
  <c r="U112" i="1061"/>
  <c r="U89" i="1061"/>
  <c r="U117" i="1061"/>
  <c r="U127" i="1061" s="1"/>
  <c r="U142" i="1061"/>
  <c r="U143" i="1061" s="1"/>
  <c r="K175" i="1058"/>
  <c r="L18" i="1058"/>
  <c r="X18" i="1058"/>
  <c r="W175" i="1059"/>
  <c r="W61" i="1059"/>
  <c r="L197" i="1058"/>
  <c r="L196" i="1058"/>
  <c r="L198" i="1058"/>
  <c r="W117" i="1061"/>
  <c r="L221" i="1058"/>
  <c r="L109" i="1058"/>
  <c r="U203" i="1057"/>
  <c r="U91" i="1057"/>
  <c r="U110" i="1057" s="1"/>
  <c r="U142" i="1057"/>
  <c r="U143" i="1057" s="1"/>
  <c r="U89" i="1057"/>
  <c r="U117" i="1057"/>
  <c r="U127" i="1057" s="1"/>
  <c r="J102" i="1060"/>
  <c r="J214" i="1060"/>
  <c r="V215" i="1059"/>
  <c r="V103" i="1059"/>
  <c r="V184" i="1059"/>
  <c r="V185" i="1059"/>
  <c r="V111" i="1064"/>
  <c r="V121" i="1064"/>
  <c r="V212" i="1062"/>
  <c r="V100" i="1062"/>
  <c r="H110" i="1059"/>
  <c r="G89" i="1060"/>
  <c r="G112" i="1060"/>
  <c r="G119" i="1062"/>
  <c r="G120" i="1062"/>
  <c r="K174" i="1060"/>
  <c r="L17" i="1060"/>
  <c r="X17" i="1060"/>
  <c r="K172" i="1063"/>
  <c r="X15" i="1063"/>
  <c r="L15" i="1063"/>
  <c r="K208" i="1059"/>
  <c r="K96" i="1059"/>
  <c r="W171" i="1064"/>
  <c r="W57" i="1064"/>
  <c r="V71" i="1059"/>
  <c r="K202" i="1060"/>
  <c r="K90" i="1060"/>
  <c r="K102" i="1060"/>
  <c r="K214" i="1060"/>
  <c r="K197" i="1064"/>
  <c r="K196" i="1064"/>
  <c r="K198" i="1064"/>
  <c r="W171" i="1058"/>
  <c r="W57" i="1058"/>
  <c r="X71" i="1057"/>
  <c r="V217" i="1060"/>
  <c r="W166" i="1060"/>
  <c r="W165" i="1060"/>
  <c r="U112" i="1057"/>
  <c r="U112" i="1060"/>
  <c r="N192" i="1063"/>
  <c r="N195" i="1063"/>
  <c r="N193" i="1063"/>
  <c r="N194" i="1063"/>
  <c r="AA6" i="1063"/>
  <c r="N77" i="1063"/>
  <c r="AF77" i="1063" s="1"/>
  <c r="W179" i="1062"/>
  <c r="V91" i="1058"/>
  <c r="V203" i="1058"/>
  <c r="G86" i="1064"/>
  <c r="T44" i="1064"/>
  <c r="T86" i="1064" s="1"/>
  <c r="T112" i="1064" s="1"/>
  <c r="W70" i="1061"/>
  <c r="W89" i="1061" s="1"/>
  <c r="U112" i="1058"/>
  <c r="L176" i="1062"/>
  <c r="Y19" i="1062"/>
  <c r="M19" i="1062"/>
  <c r="W65" i="1058"/>
  <c r="I117" i="1061"/>
  <c r="V63" i="1060"/>
  <c r="T122" i="1058"/>
  <c r="J215" i="1064"/>
  <c r="J103" i="1064"/>
  <c r="J184" i="1064"/>
  <c r="J185" i="1064"/>
  <c r="J205" i="1064"/>
  <c r="J93" i="1064"/>
  <c r="U112" i="1051"/>
  <c r="T122" i="1053"/>
  <c r="T144" i="1055"/>
  <c r="T122" i="1054"/>
  <c r="X57" i="1060"/>
  <c r="X171" i="1060"/>
  <c r="Q228" i="1062"/>
  <c r="AD29" i="1062"/>
  <c r="AD228" i="1062" s="1"/>
  <c r="R29" i="1062"/>
  <c r="U110" i="1064"/>
  <c r="J55" i="1058"/>
  <c r="J70" i="1058" s="1"/>
  <c r="L49" i="1063"/>
  <c r="X49" i="1063"/>
  <c r="H225" i="1061"/>
  <c r="H113" i="1061"/>
  <c r="H114" i="1061" s="1"/>
  <c r="H115" i="1061" s="1"/>
  <c r="H116" i="1061" s="1"/>
  <c r="H126" i="1061" s="1"/>
  <c r="R13" i="1062"/>
  <c r="AE13" i="1062" s="1"/>
  <c r="AE56" i="1062" s="1"/>
  <c r="AD13" i="1062"/>
  <c r="AD56" i="1062" s="1"/>
  <c r="M51" i="1058"/>
  <c r="Y51" i="1058"/>
  <c r="I113" i="1064"/>
  <c r="I114" i="1064" s="1"/>
  <c r="I115" i="1064" s="1"/>
  <c r="I116" i="1064" s="1"/>
  <c r="I126" i="1064" s="1"/>
  <c r="I225" i="1064"/>
  <c r="J55" i="1063"/>
  <c r="V213" i="1058"/>
  <c r="V101" i="1058"/>
  <c r="V121" i="1058"/>
  <c r="V111" i="1058"/>
  <c r="V112" i="1058" s="1"/>
  <c r="L15" i="1058"/>
  <c r="K172" i="1058"/>
  <c r="X15" i="1058"/>
  <c r="J212" i="1063"/>
  <c r="J100" i="1063"/>
  <c r="I142" i="1060"/>
  <c r="I143" i="1060" s="1"/>
  <c r="H225" i="1058"/>
  <c r="H114" i="1058"/>
  <c r="H115" i="1058" s="1"/>
  <c r="H116" i="1058" s="1"/>
  <c r="H113" i="1058"/>
  <c r="V202" i="1062"/>
  <c r="V142" i="1062"/>
  <c r="V143" i="1062" s="1"/>
  <c r="V90" i="1062"/>
  <c r="X208" i="1061"/>
  <c r="X96" i="1061"/>
  <c r="T44" i="1061"/>
  <c r="T86" i="1061" s="1"/>
  <c r="T112" i="1061" s="1"/>
  <c r="G86" i="1061"/>
  <c r="V219" i="1057"/>
  <c r="V106" i="1057"/>
  <c r="V110" i="1057" s="1"/>
  <c r="K71" i="1063"/>
  <c r="K208" i="1063"/>
  <c r="K96" i="1063"/>
  <c r="X196" i="1061"/>
  <c r="X197" i="1061"/>
  <c r="X198" i="1061"/>
  <c r="Y178" i="1057"/>
  <c r="Y64" i="1057"/>
  <c r="W207" i="1063"/>
  <c r="W95" i="1063"/>
  <c r="I219" i="1063"/>
  <c r="I106" i="1063"/>
  <c r="I110" i="1063" s="1"/>
  <c r="K176" i="1059"/>
  <c r="L19" i="1059"/>
  <c r="X19" i="1059"/>
  <c r="M131" i="1061"/>
  <c r="M134" i="1061"/>
  <c r="N4" i="1061"/>
  <c r="Z4" i="1061"/>
  <c r="M132" i="1061"/>
  <c r="M133" i="1061"/>
  <c r="D171" i="1057"/>
  <c r="B58" i="1057"/>
  <c r="AE195" i="1061"/>
  <c r="AE194" i="1061"/>
  <c r="AE80" i="1061"/>
  <c r="AE77" i="1061"/>
  <c r="V208" i="1064"/>
  <c r="V96" i="1064"/>
  <c r="U141" i="1060"/>
  <c r="Z22" i="1060"/>
  <c r="N22" i="1060"/>
  <c r="V101" i="1060"/>
  <c r="V213" i="1060"/>
  <c r="H225" i="1059"/>
  <c r="H113" i="1059"/>
  <c r="H114" i="1059" s="1"/>
  <c r="H115" i="1059" s="1"/>
  <c r="H116" i="1059" s="1"/>
  <c r="H126" i="1059" s="1"/>
  <c r="G127" i="1057"/>
  <c r="G44" i="1057"/>
  <c r="Y214" i="1057"/>
  <c r="Y102" i="1057"/>
  <c r="K96" i="1058"/>
  <c r="K208" i="1058"/>
  <c r="M174" i="1057"/>
  <c r="Z17" i="1057"/>
  <c r="N17" i="1057"/>
  <c r="J98" i="1057"/>
  <c r="J210" i="1057"/>
  <c r="Y111" i="1057"/>
  <c r="Y121" i="1057"/>
  <c r="J90" i="1062"/>
  <c r="J142" i="1062"/>
  <c r="J143" i="1062" s="1"/>
  <c r="J202" i="1062"/>
  <c r="J207" i="1062"/>
  <c r="J95" i="1062"/>
  <c r="X206" i="1061"/>
  <c r="X94" i="1061"/>
  <c r="X55" i="1057"/>
  <c r="K172" i="1064"/>
  <c r="L15" i="1064"/>
  <c r="X15" i="1064"/>
  <c r="K173" i="1058"/>
  <c r="L16" i="1058"/>
  <c r="X16" i="1058"/>
  <c r="L130" i="1062" a="1"/>
  <c r="L130" i="1062" s="1"/>
  <c r="L164" i="1062" s="1"/>
  <c r="L123" i="1062"/>
  <c r="L129" i="1062"/>
  <c r="L163" i="1062" s="1"/>
  <c r="M10" i="1062"/>
  <c r="L125" i="1062"/>
  <c r="L216" i="1062" a="1"/>
  <c r="L216" i="1062" s="1"/>
  <c r="L180" i="1062"/>
  <c r="L181" i="1062"/>
  <c r="W169" i="1060"/>
  <c r="W139" i="1060"/>
  <c r="W179" i="1060"/>
  <c r="W168" i="1060"/>
  <c r="W217" i="1060"/>
  <c r="W132" i="1060"/>
  <c r="W133" i="1060"/>
  <c r="W65" i="1060"/>
  <c r="W131" i="1060"/>
  <c r="W134" i="1060"/>
  <c r="J207" i="1061"/>
  <c r="J95" i="1061"/>
  <c r="I141" i="1061"/>
  <c r="W10" i="1060"/>
  <c r="J149" i="1060"/>
  <c r="U141" i="1064"/>
  <c r="U146" i="1064"/>
  <c r="D171" i="1060"/>
  <c r="B58" i="1060"/>
  <c r="I147" i="1063"/>
  <c r="I145" i="1063"/>
  <c r="I146" i="1063" s="1"/>
  <c r="I148" i="1063"/>
  <c r="I144" i="1063"/>
  <c r="V212" i="1058"/>
  <c r="V100" i="1058"/>
  <c r="V95" i="1058"/>
  <c r="V207" i="1058"/>
  <c r="G86" i="1059"/>
  <c r="T44" i="1059"/>
  <c r="T86" i="1059" s="1"/>
  <c r="V71" i="1063"/>
  <c r="W172" i="1063"/>
  <c r="W58" i="1063"/>
  <c r="D229" i="1062"/>
  <c r="B118" i="1062"/>
  <c r="Q30" i="1059"/>
  <c r="AC30" i="1059"/>
  <c r="V208" i="1063"/>
  <c r="V96" i="1063"/>
  <c r="K171" i="1064"/>
  <c r="L14" i="1064"/>
  <c r="X14" i="1064"/>
  <c r="V70" i="1059"/>
  <c r="V112" i="1059" s="1"/>
  <c r="K204" i="1060"/>
  <c r="K92" i="1060"/>
  <c r="K71" i="1060"/>
  <c r="I112" i="1063"/>
  <c r="K171" i="1058"/>
  <c r="L14" i="1058"/>
  <c r="X14" i="1058"/>
  <c r="R228" i="1057"/>
  <c r="AE29" i="1057"/>
  <c r="AE228" i="1057" s="1"/>
  <c r="W182" i="1064"/>
  <c r="W68" i="1064"/>
  <c r="K174" i="1063"/>
  <c r="X17" i="1063"/>
  <c r="L17" i="1063"/>
  <c r="W139" i="1062"/>
  <c r="W217" i="1062"/>
  <c r="X103" i="1057"/>
  <c r="X215" i="1057"/>
  <c r="X184" i="1057"/>
  <c r="X185" i="1057"/>
  <c r="K121" i="1057"/>
  <c r="K111" i="1057"/>
  <c r="H225" i="1062"/>
  <c r="H114" i="1062"/>
  <c r="H115" i="1062" s="1"/>
  <c r="H116" i="1062" s="1"/>
  <c r="H126" i="1062" s="1"/>
  <c r="H113" i="1062"/>
  <c r="W93" i="1060"/>
  <c r="W205" i="1060"/>
  <c r="K175" i="1063"/>
  <c r="X18" i="1063"/>
  <c r="L18" i="1063"/>
  <c r="AA13" i="1057"/>
  <c r="AA56" i="1057" s="1"/>
  <c r="O13" i="1057"/>
  <c r="K88" i="1060" a="1"/>
  <c r="K88" i="1060" s="1"/>
  <c r="L9" i="1060"/>
  <c r="X9" i="1060"/>
  <c r="X88" i="1060" s="1"/>
  <c r="X109" i="1060" s="1"/>
  <c r="N9" i="1061"/>
  <c r="Z9" i="1061"/>
  <c r="Z88" i="1061" s="1"/>
  <c r="Z109" i="1061" s="1"/>
  <c r="M88" i="1061" a="1"/>
  <c r="M88" i="1061" s="1"/>
  <c r="N192" i="1062"/>
  <c r="N77" i="1062"/>
  <c r="AF77" i="1062" s="1"/>
  <c r="N195" i="1062"/>
  <c r="N193" i="1062"/>
  <c r="N194" i="1062"/>
  <c r="AA6" i="1062"/>
  <c r="X210" i="1057"/>
  <c r="X98" i="1057"/>
  <c r="J209" i="1064"/>
  <c r="J97" i="1064"/>
  <c r="T117" i="1061"/>
  <c r="T127" i="1061" s="1"/>
  <c r="T147" i="1058"/>
  <c r="H144" i="1053"/>
  <c r="V215" i="1062"/>
  <c r="V103" i="1062"/>
  <c r="V184" i="1062"/>
  <c r="V185" i="1062"/>
  <c r="Y14" i="1060"/>
  <c r="L171" i="1060"/>
  <c r="M14" i="1060"/>
  <c r="U148" i="1064"/>
  <c r="U145" i="1064"/>
  <c r="U144" i="1064"/>
  <c r="U147" i="1064"/>
  <c r="I145" i="1062"/>
  <c r="I144" i="1062" s="1"/>
  <c r="X99" i="1057"/>
  <c r="X211" i="1057"/>
  <c r="X140" i="1057"/>
  <c r="I225" i="1061"/>
  <c r="I113" i="1061"/>
  <c r="I114" i="1061" s="1"/>
  <c r="I115" i="1061" s="1"/>
  <c r="I116" i="1061" s="1"/>
  <c r="I126" i="1061" s="1"/>
  <c r="AC204" i="1062"/>
  <c r="AC92" i="1062"/>
  <c r="U127" i="1064"/>
  <c r="J210" i="1059"/>
  <c r="J98" i="1059"/>
  <c r="AA22" i="1057"/>
  <c r="O22" i="1057"/>
  <c r="V198" i="1058"/>
  <c r="V197" i="1058"/>
  <c r="V196" i="1058"/>
  <c r="X209" i="1057"/>
  <c r="X97" i="1057"/>
  <c r="G120" i="1057"/>
  <c r="G119" i="1057"/>
  <c r="Z19" i="1061"/>
  <c r="N19" i="1061"/>
  <c r="J71" i="1063"/>
  <c r="I89" i="1060"/>
  <c r="G110" i="1058"/>
  <c r="V113" i="1061"/>
  <c r="V225" i="1061" s="1"/>
  <c r="Y179" i="1057"/>
  <c r="Y168" i="1057"/>
  <c r="Y133" i="1057"/>
  <c r="Y131" i="1057"/>
  <c r="Y167" i="1057"/>
  <c r="Y169" i="1057"/>
  <c r="Y139" i="1057"/>
  <c r="Y217" i="1057"/>
  <c r="Y134" i="1057"/>
  <c r="Y65" i="1057"/>
  <c r="Y132" i="1057"/>
  <c r="J96" i="1059"/>
  <c r="J208" i="1059"/>
  <c r="H119" i="1060"/>
  <c r="H120" i="1060"/>
  <c r="W213" i="1059"/>
  <c r="W101" i="1059"/>
  <c r="L50" i="1063"/>
  <c r="X50" i="1063"/>
  <c r="X213" i="1061"/>
  <c r="X101" i="1061"/>
  <c r="K207" i="1063"/>
  <c r="K95" i="1063"/>
  <c r="K206" i="1063"/>
  <c r="K94" i="1063"/>
  <c r="J202" i="1063"/>
  <c r="J142" i="1063"/>
  <c r="J143" i="1063" s="1"/>
  <c r="J90" i="1063"/>
  <c r="X202" i="1061"/>
  <c r="X142" i="1061"/>
  <c r="X143" i="1061" s="1"/>
  <c r="X90" i="1061"/>
  <c r="W176" i="1059"/>
  <c r="W62" i="1059"/>
  <c r="T146" i="1059"/>
  <c r="W173" i="1062"/>
  <c r="W59" i="1062"/>
  <c r="I89" i="1063"/>
  <c r="G120" i="1059"/>
  <c r="G119" i="1059"/>
  <c r="X215" i="1061"/>
  <c r="X103" i="1061"/>
  <c r="X185" i="1061"/>
  <c r="X184" i="1061"/>
  <c r="J207" i="1058"/>
  <c r="J95" i="1058"/>
  <c r="K101" i="1058"/>
  <c r="K213" i="1058"/>
  <c r="Y174" i="1057"/>
  <c r="Y60" i="1057"/>
  <c r="K108" i="1057"/>
  <c r="K67" i="1057"/>
  <c r="K57" i="1057"/>
  <c r="K64" i="1057"/>
  <c r="K59" i="1057"/>
  <c r="K54" i="1057"/>
  <c r="K68" i="1057"/>
  <c r="X8" i="1057"/>
  <c r="K66" i="1057"/>
  <c r="K60" i="1057"/>
  <c r="K56" i="1057"/>
  <c r="K61" i="1057"/>
  <c r="K63" i="1057"/>
  <c r="K53" i="1057"/>
  <c r="K65" i="1057"/>
  <c r="K55" i="1057"/>
  <c r="L8" i="1057"/>
  <c r="K69" i="1057"/>
  <c r="K62" i="1057"/>
  <c r="K58" i="1057"/>
  <c r="J215" i="1057"/>
  <c r="J103" i="1057"/>
  <c r="J185" i="1057"/>
  <c r="J184" i="1057"/>
  <c r="X209" i="1061"/>
  <c r="X97" i="1061"/>
  <c r="K228" i="1063"/>
  <c r="X29" i="1063"/>
  <c r="X228" i="1063" s="1"/>
  <c r="W91" i="1061"/>
  <c r="W203" i="1061"/>
  <c r="Y197" i="1057"/>
  <c r="Y196" i="1057"/>
  <c r="Y198" i="1057"/>
  <c r="H147" i="1063"/>
  <c r="J205" i="1062"/>
  <c r="J93" i="1062"/>
  <c r="J212" i="1062"/>
  <c r="J100" i="1062"/>
  <c r="X178" i="1059"/>
  <c r="X64" i="1059"/>
  <c r="T146" i="1060"/>
  <c r="J211" i="1059"/>
  <c r="J99" i="1059"/>
  <c r="J140" i="1059"/>
  <c r="K178" i="1064"/>
  <c r="L21" i="1064"/>
  <c r="X21" i="1064"/>
  <c r="G148" i="1058"/>
  <c r="G144" i="1058"/>
  <c r="J213" i="1063"/>
  <c r="J101" i="1063"/>
  <c r="V55" i="1064"/>
  <c r="Y50" i="1061"/>
  <c r="M50" i="1061"/>
  <c r="J211" i="1061"/>
  <c r="J99" i="1061"/>
  <c r="J140" i="1061"/>
  <c r="J212" i="1061"/>
  <c r="J100" i="1061"/>
  <c r="L23" i="1060"/>
  <c r="X23" i="1060"/>
  <c r="K182" i="1060"/>
  <c r="Q228" i="1058"/>
  <c r="AD29" i="1058"/>
  <c r="AD228" i="1058" s="1"/>
  <c r="R29" i="1058"/>
  <c r="T122" i="1063"/>
  <c r="AA49" i="1061"/>
  <c r="O49" i="1061"/>
  <c r="L121" i="1058"/>
  <c r="L111" i="1058"/>
  <c r="U141" i="1063"/>
  <c r="V145" i="1059"/>
  <c r="J208" i="1058"/>
  <c r="J96" i="1058"/>
  <c r="W172" i="1062"/>
  <c r="W58" i="1062"/>
  <c r="X55" i="1061"/>
  <c r="W60" i="1060"/>
  <c r="W174" i="1060"/>
  <c r="V125" i="1060"/>
  <c r="V53" i="1060"/>
  <c r="V129" i="1060"/>
  <c r="V163" i="1060" s="1"/>
  <c r="V123" i="1060"/>
  <c r="V69" i="1060"/>
  <c r="V130" i="1060"/>
  <c r="V164" i="1060" s="1"/>
  <c r="V54" i="1060"/>
  <c r="V104" i="1060"/>
  <c r="V216" i="1060"/>
  <c r="K61" i="1059"/>
  <c r="K213" i="1059"/>
  <c r="K101" i="1059"/>
  <c r="L22" i="1059"/>
  <c r="X22" i="1059"/>
  <c r="Z51" i="1057"/>
  <c r="N51" i="1057"/>
  <c r="Y50" i="1059"/>
  <c r="M50" i="1059"/>
  <c r="I141" i="1057"/>
  <c r="K60" i="1060"/>
  <c r="K95" i="1060"/>
  <c r="K207" i="1060"/>
  <c r="X204" i="1059"/>
  <c r="X92" i="1059"/>
  <c r="L11" i="1064"/>
  <c r="X11" i="1064"/>
  <c r="K104" i="1064"/>
  <c r="K236" i="1064"/>
  <c r="K111" i="1064"/>
  <c r="K121" i="1064"/>
  <c r="V55" i="1060"/>
  <c r="H126" i="1058"/>
  <c r="K177" i="1060"/>
  <c r="L20" i="1060"/>
  <c r="X20" i="1060"/>
  <c r="K182" i="1064"/>
  <c r="L23" i="1064"/>
  <c r="X23" i="1064"/>
  <c r="W65" i="1062"/>
  <c r="K171" i="1059"/>
  <c r="L14" i="1059"/>
  <c r="X14" i="1059"/>
  <c r="K173" i="1060"/>
  <c r="L16" i="1060"/>
  <c r="X16" i="1060"/>
  <c r="K125" i="1063"/>
  <c r="K123" i="1063"/>
  <c r="K129" i="1063"/>
  <c r="K163" i="1063" s="1"/>
  <c r="K130" i="1063" a="1"/>
  <c r="K130" i="1063" s="1"/>
  <c r="K164" i="1063" s="1"/>
  <c r="L10" i="1063"/>
  <c r="K216" i="1063" a="1"/>
  <c r="K216" i="1063" s="1"/>
  <c r="K180" i="1063"/>
  <c r="K181" i="1063"/>
  <c r="Z56" i="1057"/>
  <c r="J221" i="1059"/>
  <c r="J70" i="1059"/>
  <c r="J117" i="1059"/>
  <c r="J109" i="1059"/>
  <c r="W131" i="1058"/>
  <c r="K125" i="1059"/>
  <c r="L10" i="1059"/>
  <c r="K130" i="1059" a="1"/>
  <c r="K130" i="1059" s="1"/>
  <c r="K164" i="1059" s="1"/>
  <c r="K129" i="1059"/>
  <c r="K163" i="1059" s="1"/>
  <c r="K123" i="1059"/>
  <c r="K216" i="1059" a="1"/>
  <c r="K216" i="1059" s="1"/>
  <c r="K181" i="1059"/>
  <c r="K180" i="1059"/>
  <c r="K108" i="1064"/>
  <c r="K61" i="1064"/>
  <c r="K57" i="1064"/>
  <c r="K69" i="1064"/>
  <c r="K60" i="1064"/>
  <c r="K68" i="1064"/>
  <c r="K54" i="1064"/>
  <c r="X8" i="1064"/>
  <c r="K66" i="1064"/>
  <c r="K56" i="1064"/>
  <c r="K63" i="1064"/>
  <c r="K59" i="1064"/>
  <c r="K53" i="1064"/>
  <c r="K65" i="1064"/>
  <c r="K62" i="1064"/>
  <c r="K67" i="1064"/>
  <c r="K64" i="1064"/>
  <c r="K58" i="1064"/>
  <c r="L8" i="1064"/>
  <c r="W62" i="1064"/>
  <c r="X14" i="1063"/>
  <c r="L14" i="1063"/>
  <c r="L57" i="1063" s="1"/>
  <c r="K171" i="1063"/>
  <c r="G86" i="1058"/>
  <c r="T44" i="1058"/>
  <c r="T86" i="1058" s="1"/>
  <c r="T112" i="1058" s="1"/>
  <c r="U117" i="1059"/>
  <c r="H120" i="1062"/>
  <c r="H119" i="1062"/>
  <c r="Y22" i="1062"/>
  <c r="M22" i="1062"/>
  <c r="W134" i="1063"/>
  <c r="W133" i="1063"/>
  <c r="W132" i="1063"/>
  <c r="W131" i="1063"/>
  <c r="M175" i="1057"/>
  <c r="Z18" i="1057"/>
  <c r="N18" i="1057"/>
  <c r="Z80" i="1057"/>
  <c r="Z77" i="1057"/>
  <c r="Z194" i="1057"/>
  <c r="Z195" i="1057"/>
  <c r="M182" i="1057"/>
  <c r="N23" i="1057"/>
  <c r="Z23" i="1057"/>
  <c r="W174" i="1062"/>
  <c r="W60" i="1062"/>
  <c r="U146" i="1058"/>
  <c r="U141" i="1058"/>
  <c r="U148" i="1058" s="1"/>
  <c r="V207" i="1060"/>
  <c r="V95" i="1060"/>
  <c r="L182" i="1063"/>
  <c r="M23" i="1063"/>
  <c r="Y23" i="1063"/>
  <c r="M177" i="1057"/>
  <c r="Z20" i="1057"/>
  <c r="N20" i="1057"/>
  <c r="M171" i="1061"/>
  <c r="Z14" i="1061"/>
  <c r="N14" i="1061"/>
  <c r="U219" i="1063"/>
  <c r="U106" i="1063"/>
  <c r="I146" i="1059"/>
  <c r="I141" i="1059"/>
  <c r="I148" i="1059" s="1"/>
  <c r="X169" i="1062"/>
  <c r="X133" i="1062"/>
  <c r="X132" i="1062"/>
  <c r="X134" i="1062"/>
  <c r="X131" i="1062"/>
  <c r="X55" i="1062" s="1"/>
  <c r="W197" i="1059"/>
  <c r="W196" i="1059"/>
  <c r="W198" i="1059"/>
  <c r="J212" i="1058"/>
  <c r="J100" i="1058"/>
  <c r="L64" i="1063"/>
  <c r="L59" i="1063"/>
  <c r="L54" i="1063"/>
  <c r="L68" i="1063"/>
  <c r="M8" i="1063"/>
  <c r="L58" i="1063"/>
  <c r="L60" i="1063"/>
  <c r="L61" i="1063"/>
  <c r="Y8" i="1063"/>
  <c r="L66" i="1063"/>
  <c r="L67" i="1063"/>
  <c r="L56" i="1063"/>
  <c r="L69" i="1063"/>
  <c r="W182" i="1058"/>
  <c r="W68" i="1058"/>
  <c r="Z49" i="1062"/>
  <c r="N49" i="1062"/>
  <c r="K173" i="1062"/>
  <c r="X16" i="1062"/>
  <c r="L16" i="1062"/>
  <c r="V219" i="1061"/>
  <c r="V106" i="1061"/>
  <c r="V110" i="1061" s="1"/>
  <c r="V89" i="1061"/>
  <c r="T219" i="1058"/>
  <c r="T106" i="1058"/>
  <c r="K71" i="1058"/>
  <c r="K93" i="1058"/>
  <c r="K205" i="1058"/>
  <c r="J205" i="1057"/>
  <c r="J93" i="1057"/>
  <c r="J71" i="1057"/>
  <c r="J70" i="1057"/>
  <c r="J112" i="1057" s="1"/>
  <c r="U113" i="1064"/>
  <c r="U225" i="1064" s="1"/>
  <c r="J211" i="1062"/>
  <c r="J99" i="1062"/>
  <c r="J140" i="1062"/>
  <c r="L178" i="1059"/>
  <c r="M21" i="1059"/>
  <c r="Y21" i="1059"/>
  <c r="W63" i="1062"/>
  <c r="V95" i="1062"/>
  <c r="V207" i="1062"/>
  <c r="X205" i="1061"/>
  <c r="X93" i="1061"/>
  <c r="U117" i="1063"/>
  <c r="J90" i="1059"/>
  <c r="J202" i="1059"/>
  <c r="J142" i="1059"/>
  <c r="J143" i="1059" s="1"/>
  <c r="J89" i="1059"/>
  <c r="W64" i="1064"/>
  <c r="R13" i="1061"/>
  <c r="AE13" i="1061" s="1"/>
  <c r="AE56" i="1061" s="1"/>
  <c r="AD13" i="1061"/>
  <c r="AD56" i="1061" s="1"/>
  <c r="H225" i="1060"/>
  <c r="H114" i="1060"/>
  <c r="H115" i="1060" s="1"/>
  <c r="H116" i="1060" s="1"/>
  <c r="H126" i="1060" s="1"/>
  <c r="H113" i="1060"/>
  <c r="Z12" i="1061"/>
  <c r="Z165" i="1061" s="1"/>
  <c r="N12" i="1061"/>
  <c r="N166" i="1061" s="1"/>
  <c r="K198" i="1062"/>
  <c r="K197" i="1062"/>
  <c r="K196" i="1062"/>
  <c r="K131" i="1060"/>
  <c r="K139" i="1060"/>
  <c r="K217" i="1060"/>
  <c r="K168" i="1060"/>
  <c r="K167" i="1060"/>
  <c r="X4" i="1060"/>
  <c r="L4" i="1060"/>
  <c r="K132" i="1060"/>
  <c r="K179" i="1060"/>
  <c r="K133" i="1060"/>
  <c r="K134" i="1060"/>
  <c r="U203" i="1062"/>
  <c r="U91" i="1062"/>
  <c r="U117" i="1062"/>
  <c r="U89" i="1062"/>
  <c r="U142" i="1062"/>
  <c r="U143" i="1062" s="1"/>
  <c r="J204" i="1061"/>
  <c r="J92" i="1061"/>
  <c r="J214" i="1061"/>
  <c r="J102" i="1061"/>
  <c r="W182" i="1060"/>
  <c r="W68" i="1060"/>
  <c r="AE194" i="1057"/>
  <c r="AE195" i="1057"/>
  <c r="AE77" i="1057"/>
  <c r="AE80" i="1057"/>
  <c r="AE80" i="1062"/>
  <c r="AE77" i="1062"/>
  <c r="AE194" i="1062"/>
  <c r="AE195" i="1062"/>
  <c r="AA11" i="1057"/>
  <c r="O11" i="1057"/>
  <c r="N104" i="1057"/>
  <c r="V142" i="1063"/>
  <c r="V143" i="1063" s="1"/>
  <c r="V202" i="1063"/>
  <c r="V90" i="1063"/>
  <c r="Z49" i="1060"/>
  <c r="N49" i="1060"/>
  <c r="I145" i="1064"/>
  <c r="I147" i="1064"/>
  <c r="P228" i="1063"/>
  <c r="AC29" i="1063"/>
  <c r="AC228" i="1063" s="1"/>
  <c r="Q29" i="1063"/>
  <c r="AA51" i="1061"/>
  <c r="O51" i="1061"/>
  <c r="L64" i="1059"/>
  <c r="L59" i="1059"/>
  <c r="L54" i="1059"/>
  <c r="L66" i="1059"/>
  <c r="L65" i="1059"/>
  <c r="L62" i="1059"/>
  <c r="L53" i="1059"/>
  <c r="L67" i="1059"/>
  <c r="L56" i="1059"/>
  <c r="L61" i="1059"/>
  <c r="L108" i="1059"/>
  <c r="L58" i="1059"/>
  <c r="Y8" i="1059"/>
  <c r="L63" i="1059"/>
  <c r="L57" i="1059"/>
  <c r="L60" i="1059"/>
  <c r="L69" i="1059"/>
  <c r="M8" i="1059"/>
  <c r="Y207" i="1057"/>
  <c r="Y95" i="1057"/>
  <c r="V64" i="1060"/>
  <c r="W182" i="1062"/>
  <c r="W68" i="1062"/>
  <c r="K211" i="1060"/>
  <c r="K99" i="1060"/>
  <c r="K100" i="1060"/>
  <c r="K212" i="1060"/>
  <c r="M13" i="1059"/>
  <c r="Y13" i="1059"/>
  <c r="Y56" i="1059" s="1"/>
  <c r="W10" i="1064"/>
  <c r="W168" i="1064" s="1"/>
  <c r="J149" i="1064"/>
  <c r="V209" i="1063"/>
  <c r="V97" i="1063"/>
  <c r="Y204" i="1057"/>
  <c r="Y92" i="1057"/>
  <c r="V91" i="1062"/>
  <c r="V203" i="1062"/>
  <c r="I91" i="1058"/>
  <c r="I203" i="1058"/>
  <c r="I142" i="1058"/>
  <c r="I143" i="1058" s="1"/>
  <c r="I117" i="1058"/>
  <c r="I89" i="1058"/>
  <c r="I219" i="1064"/>
  <c r="I106" i="1064"/>
  <c r="I110" i="1064" s="1"/>
  <c r="V210" i="1064"/>
  <c r="V98" i="1064"/>
  <c r="W167" i="1062"/>
  <c r="W171" i="1059"/>
  <c r="W57" i="1059"/>
  <c r="W140" i="1059" s="1"/>
  <c r="I110" i="1057"/>
  <c r="I127" i="1057" s="1"/>
  <c r="D227" i="1064"/>
  <c r="B116" i="1064"/>
  <c r="J197" i="1063"/>
  <c r="J198" i="1063"/>
  <c r="J196" i="1063"/>
  <c r="K130" i="1060" a="1"/>
  <c r="K130" i="1060" s="1"/>
  <c r="K164" i="1060" s="1"/>
  <c r="L10" i="1060"/>
  <c r="K216" i="1060" a="1"/>
  <c r="K216" i="1060" s="1"/>
  <c r="K125" i="1060"/>
  <c r="K129" i="1060"/>
  <c r="K163" i="1060" s="1"/>
  <c r="K123" i="1060"/>
  <c r="K181" i="1060"/>
  <c r="K180" i="1060"/>
  <c r="V206" i="1062"/>
  <c r="V94" i="1062"/>
  <c r="J221" i="1060"/>
  <c r="J109" i="1060"/>
  <c r="J70" i="1060"/>
  <c r="J117" i="1060" s="1"/>
  <c r="L9" i="1059"/>
  <c r="K88" i="1059" a="1"/>
  <c r="K88" i="1059" s="1"/>
  <c r="X9" i="1059"/>
  <c r="X88" i="1059" s="1"/>
  <c r="X109" i="1059" s="1"/>
  <c r="W134" i="1058"/>
  <c r="L171" i="1062"/>
  <c r="Y14" i="1062"/>
  <c r="M14" i="1062"/>
  <c r="L221" i="1061"/>
  <c r="L109" i="1061"/>
  <c r="AA80" i="1059"/>
  <c r="AA195" i="1059"/>
  <c r="AA194" i="1059"/>
  <c r="AA77" i="1059"/>
  <c r="J212" i="1064"/>
  <c r="J100" i="1064"/>
  <c r="J207" i="1064"/>
  <c r="J95" i="1064"/>
  <c r="J206" i="1064"/>
  <c r="J94" i="1064"/>
  <c r="K176" i="1064"/>
  <c r="L19" i="1064"/>
  <c r="X19" i="1064"/>
  <c r="W171" i="1063"/>
  <c r="W57" i="1063"/>
  <c r="T219" i="1061"/>
  <c r="T106" i="1061"/>
  <c r="D227" i="1058"/>
  <c r="B116" i="1058"/>
  <c r="G120" i="1061"/>
  <c r="G119" i="1061"/>
  <c r="Z11" i="1061"/>
  <c r="N11" i="1061"/>
  <c r="N236" i="1061" s="1"/>
  <c r="M104" i="1061"/>
  <c r="D171" i="1064"/>
  <c r="B58" i="1064"/>
  <c r="K175" i="1060"/>
  <c r="X18" i="1060"/>
  <c r="L18" i="1060"/>
  <c r="T148" i="1057"/>
  <c r="T145" i="1057"/>
  <c r="T146" i="1057" s="1"/>
  <c r="W176" i="1058"/>
  <c r="W62" i="1058"/>
  <c r="Y175" i="1057"/>
  <c r="Y61" i="1057"/>
  <c r="W144" i="1057"/>
  <c r="L12" i="1064"/>
  <c r="X12" i="1064"/>
  <c r="K166" i="1064"/>
  <c r="K165" i="1064"/>
  <c r="Y182" i="1057"/>
  <c r="Y68" i="1057"/>
  <c r="K174" i="1062"/>
  <c r="X17" i="1062"/>
  <c r="L17" i="1062"/>
  <c r="W62" i="1062"/>
  <c r="X212" i="1057"/>
  <c r="X100" i="1057"/>
  <c r="I110" i="1060"/>
  <c r="I127" i="1060" s="1"/>
  <c r="X182" i="1063"/>
  <c r="X68" i="1063"/>
  <c r="V111" i="1062"/>
  <c r="V121" i="1062"/>
  <c r="Y177" i="1057"/>
  <c r="Y63" i="1057"/>
  <c r="V210" i="1058"/>
  <c r="V98" i="1058"/>
  <c r="Y57" i="1061"/>
  <c r="Y171" i="1061"/>
  <c r="X177" i="1059"/>
  <c r="X63" i="1059"/>
  <c r="M134" i="1057"/>
  <c r="M217" i="1057"/>
  <c r="M133" i="1057"/>
  <c r="M179" i="1057"/>
  <c r="M168" i="1057"/>
  <c r="M132" i="1057"/>
  <c r="M167" i="1057"/>
  <c r="M139" i="1057"/>
  <c r="N4" i="1057"/>
  <c r="M169" i="1057"/>
  <c r="M131" i="1057"/>
  <c r="Z4" i="1057"/>
  <c r="W202" i="1059"/>
  <c r="W142" i="1059"/>
  <c r="W143" i="1059" s="1"/>
  <c r="W90" i="1059"/>
  <c r="V211" i="1058"/>
  <c r="V99" i="1058"/>
  <c r="V140" i="1058"/>
  <c r="X208" i="1057"/>
  <c r="X96" i="1057"/>
  <c r="K213" i="1063"/>
  <c r="K101" i="1063"/>
  <c r="K182" i="1058"/>
  <c r="L23" i="1058"/>
  <c r="L68" i="1058" s="1"/>
  <c r="X23" i="1058"/>
  <c r="W175" i="1062"/>
  <c r="W61" i="1062"/>
  <c r="Z9" i="1057"/>
  <c r="Z88" i="1057" s="1"/>
  <c r="Z109" i="1057" s="1"/>
  <c r="N9" i="1057"/>
  <c r="M88" i="1057" a="1"/>
  <c r="M88" i="1057" s="1"/>
  <c r="V211" i="1063"/>
  <c r="V99" i="1063"/>
  <c r="V140" i="1063"/>
  <c r="W212" i="1059"/>
  <c r="W100" i="1059"/>
  <c r="W127" i="1057"/>
  <c r="V55" i="1063"/>
  <c r="V214" i="1063"/>
  <c r="V102" i="1063"/>
  <c r="W173" i="1064"/>
  <c r="W59" i="1064"/>
  <c r="W112" i="1061"/>
  <c r="L66" i="1058"/>
  <c r="L69" i="1058"/>
  <c r="L55" i="1058"/>
  <c r="L67" i="1058"/>
  <c r="L59" i="1058"/>
  <c r="L54" i="1058"/>
  <c r="Y8" i="1058"/>
  <c r="L60" i="1058"/>
  <c r="L56" i="1058"/>
  <c r="L53" i="1058"/>
  <c r="L61" i="1058"/>
  <c r="L57" i="1058"/>
  <c r="L58" i="1058"/>
  <c r="L65" i="1058"/>
  <c r="M8" i="1058"/>
  <c r="K207" i="1058"/>
  <c r="K95" i="1058"/>
  <c r="K209" i="1058"/>
  <c r="K97" i="1058"/>
  <c r="J209" i="1057"/>
  <c r="J97" i="1057"/>
  <c r="J207" i="1057"/>
  <c r="J95" i="1057"/>
  <c r="L173" i="1063"/>
  <c r="M16" i="1063"/>
  <c r="Y16" i="1063"/>
  <c r="Y202" i="1057"/>
  <c r="Y90" i="1057"/>
  <c r="K67" i="1062"/>
  <c r="K108" i="1062"/>
  <c r="K64" i="1062"/>
  <c r="K59" i="1062"/>
  <c r="K54" i="1062"/>
  <c r="K68" i="1062"/>
  <c r="K69" i="1062"/>
  <c r="K65" i="1062"/>
  <c r="K58" i="1062"/>
  <c r="K61" i="1062"/>
  <c r="K55" i="1062"/>
  <c r="K63" i="1062"/>
  <c r="K57" i="1062"/>
  <c r="K53" i="1062"/>
  <c r="X8" i="1062"/>
  <c r="K60" i="1062"/>
  <c r="K66" i="1062"/>
  <c r="L8" i="1062"/>
  <c r="K56" i="1062"/>
  <c r="K62" i="1062"/>
  <c r="J203" i="1062"/>
  <c r="J91" i="1062"/>
  <c r="J214" i="1062"/>
  <c r="J102" i="1062"/>
  <c r="V140" i="1062"/>
  <c r="U219" i="1062"/>
  <c r="U106" i="1062"/>
  <c r="M50" i="1064"/>
  <c r="Y50" i="1064"/>
  <c r="U89" i="1063"/>
  <c r="T144" i="1060"/>
  <c r="X174" i="1059"/>
  <c r="X60" i="1059"/>
  <c r="AC204" i="1061"/>
  <c r="AC92" i="1061"/>
  <c r="O51" i="1060"/>
  <c r="AA51" i="1060"/>
  <c r="J149" i="1062"/>
  <c r="L130" i="1061" a="1"/>
  <c r="L130" i="1061" s="1"/>
  <c r="L164" i="1061" s="1"/>
  <c r="L125" i="1061"/>
  <c r="M10" i="1061"/>
  <c r="M168" i="1061" s="1"/>
  <c r="L123" i="1061"/>
  <c r="L129" i="1061"/>
  <c r="L163" i="1061" s="1"/>
  <c r="L216" i="1061" a="1"/>
  <c r="L216" i="1061" s="1"/>
  <c r="L181" i="1061"/>
  <c r="L180" i="1061"/>
  <c r="H119" i="1064"/>
  <c r="H122" i="1064" s="1"/>
  <c r="H120" i="1064"/>
  <c r="M165" i="1061"/>
  <c r="M169" i="1061" s="1"/>
  <c r="K121" i="1062"/>
  <c r="K111" i="1062"/>
  <c r="J208" i="1061"/>
  <c r="J96" i="1061"/>
  <c r="J206" i="1061"/>
  <c r="J94" i="1061"/>
  <c r="I141" i="1064"/>
  <c r="I144" i="1064" s="1"/>
  <c r="I146" i="1064"/>
  <c r="V206" i="1063"/>
  <c r="V94" i="1063"/>
  <c r="W55" i="1059"/>
  <c r="M50" i="1058"/>
  <c r="Y50" i="1058"/>
  <c r="V205" i="1064"/>
  <c r="V93" i="1064"/>
  <c r="W142" i="1061"/>
  <c r="W143" i="1061" s="1"/>
  <c r="V205" i="1059"/>
  <c r="V93" i="1059"/>
  <c r="V213" i="1064"/>
  <c r="V101" i="1064"/>
  <c r="J221" i="1062"/>
  <c r="J70" i="1062"/>
  <c r="J89" i="1062" s="1"/>
  <c r="J109" i="1062"/>
  <c r="J117" i="1062"/>
  <c r="K172" i="1062"/>
  <c r="X15" i="1062"/>
  <c r="L15" i="1062"/>
  <c r="K172" i="1060"/>
  <c r="L15" i="1060"/>
  <c r="X15" i="1060"/>
  <c r="K215" i="1059"/>
  <c r="K103" i="1059"/>
  <c r="K184" i="1059"/>
  <c r="K185" i="1059"/>
  <c r="K204" i="1059"/>
  <c r="K92" i="1059"/>
  <c r="K93" i="1059"/>
  <c r="K205" i="1059"/>
  <c r="H146" i="1062"/>
  <c r="U219" i="1058"/>
  <c r="U106" i="1058"/>
  <c r="U110" i="1058" s="1"/>
  <c r="K182" i="1062"/>
  <c r="X23" i="1062"/>
  <c r="L23" i="1062"/>
  <c r="L68" i="1060"/>
  <c r="Y8" i="1060"/>
  <c r="L66" i="1060"/>
  <c r="L60" i="1060"/>
  <c r="L56" i="1060"/>
  <c r="L65" i="1060"/>
  <c r="L108" i="1060"/>
  <c r="L67" i="1060"/>
  <c r="L58" i="1060"/>
  <c r="L69" i="1060"/>
  <c r="L54" i="1060"/>
  <c r="L71" i="1060" s="1"/>
  <c r="L61" i="1060"/>
  <c r="L57" i="1060"/>
  <c r="L53" i="1060"/>
  <c r="M8" i="1060"/>
  <c r="L59" i="1060"/>
  <c r="L63" i="1060"/>
  <c r="L64" i="1060"/>
  <c r="X12" i="1063"/>
  <c r="L12" i="1063"/>
  <c r="K166" i="1063"/>
  <c r="K165" i="1063"/>
  <c r="H144" i="1062"/>
  <c r="Y204" i="1061"/>
  <c r="Y92" i="1061"/>
  <c r="V206" i="1060"/>
  <c r="V94" i="1060"/>
  <c r="D171" i="1058"/>
  <c r="B58" i="1058"/>
  <c r="V174" i="1060"/>
  <c r="W63" i="1060"/>
  <c r="W177" i="1060"/>
  <c r="W175" i="1064"/>
  <c r="W61" i="1064"/>
  <c r="N173" i="1057"/>
  <c r="AA16" i="1057"/>
  <c r="O16" i="1057"/>
  <c r="W130" i="1058"/>
  <c r="W164" i="1058" s="1"/>
  <c r="W125" i="1058"/>
  <c r="W129" i="1058"/>
  <c r="W163" i="1058" s="1"/>
  <c r="W123" i="1058"/>
  <c r="W53" i="1058"/>
  <c r="W69" i="1058"/>
  <c r="W67" i="1058"/>
  <c r="W66" i="1058"/>
  <c r="W54" i="1058"/>
  <c r="W216" i="1058"/>
  <c r="W104" i="1058"/>
  <c r="W180" i="1058"/>
  <c r="W181" i="1058"/>
  <c r="W236" i="1058"/>
  <c r="Z51" i="1062"/>
  <c r="N51" i="1062"/>
  <c r="J205" i="1063"/>
  <c r="J93" i="1063"/>
  <c r="J207" i="1060"/>
  <c r="J95" i="1060"/>
  <c r="W173" i="1060"/>
  <c r="W59" i="1060"/>
  <c r="J121" i="1063"/>
  <c r="J111" i="1063"/>
  <c r="V211" i="1064"/>
  <c r="V99" i="1064"/>
  <c r="V140" i="1064"/>
  <c r="W133" i="1058"/>
  <c r="W217" i="1058"/>
  <c r="X171" i="1062"/>
  <c r="X57" i="1062"/>
  <c r="M178" i="1061"/>
  <c r="Z21" i="1061"/>
  <c r="N21" i="1061"/>
  <c r="T89" i="1064"/>
  <c r="H225" i="1063"/>
  <c r="H113" i="1063"/>
  <c r="H114" i="1063" s="1"/>
  <c r="H115" i="1063" s="1"/>
  <c r="H116" i="1063" s="1"/>
  <c r="H126" i="1063" s="1"/>
  <c r="I148" i="1061"/>
  <c r="I145" i="1061"/>
  <c r="I147" i="1061" s="1"/>
  <c r="I144" i="1061"/>
  <c r="J71" i="1064"/>
  <c r="J112" i="1064" s="1"/>
  <c r="J204" i="1064"/>
  <c r="J92" i="1064"/>
  <c r="J202" i="1064"/>
  <c r="J142" i="1064"/>
  <c r="J143" i="1064" s="1"/>
  <c r="J90" i="1064"/>
  <c r="J89" i="1064"/>
  <c r="G144" i="1064"/>
  <c r="G122" i="1063"/>
  <c r="W125" i="1062"/>
  <c r="W129" i="1062"/>
  <c r="W163" i="1062" s="1"/>
  <c r="W123" i="1062"/>
  <c r="W53" i="1062"/>
  <c r="W69" i="1062"/>
  <c r="W130" i="1062"/>
  <c r="W164" i="1062" s="1"/>
  <c r="W54" i="1062"/>
  <c r="W67" i="1062"/>
  <c r="W216" i="1062"/>
  <c r="W104" i="1062"/>
  <c r="W66" i="1062"/>
  <c r="W178" i="1062"/>
  <c r="W64" i="1062"/>
  <c r="W181" i="1062"/>
  <c r="W180" i="1062"/>
  <c r="W236" i="1062"/>
  <c r="W61" i="1060"/>
  <c r="W175" i="1060"/>
  <c r="W205" i="1062"/>
  <c r="W93" i="1062"/>
  <c r="X49" i="1064"/>
  <c r="L49" i="1064"/>
  <c r="W177" i="1058"/>
  <c r="W63" i="1058"/>
  <c r="W166" i="1064"/>
  <c r="W165" i="1064"/>
  <c r="W169" i="1064" s="1"/>
  <c r="W176" i="1062"/>
  <c r="T219" i="1057"/>
  <c r="T106" i="1057"/>
  <c r="T117" i="1057"/>
  <c r="T127" i="1057" s="1"/>
  <c r="V70" i="1062"/>
  <c r="V71" i="1062"/>
  <c r="X212" i="1061"/>
  <c r="X100" i="1061"/>
  <c r="V210" i="1062"/>
  <c r="V98" i="1062"/>
  <c r="L177" i="1059"/>
  <c r="M20" i="1059"/>
  <c r="Y20" i="1059"/>
  <c r="U219" i="1060"/>
  <c r="U106" i="1060"/>
  <c r="U110" i="1060" s="1"/>
  <c r="W141" i="1061"/>
  <c r="J206" i="1063"/>
  <c r="J94" i="1063"/>
  <c r="K210" i="1063"/>
  <c r="K98" i="1063"/>
  <c r="K103" i="1063"/>
  <c r="K215" i="1063"/>
  <c r="K185" i="1063"/>
  <c r="K184" i="1063"/>
  <c r="U113" i="1062"/>
  <c r="U225" i="1062" s="1"/>
  <c r="X71" i="1061"/>
  <c r="X70" i="1061"/>
  <c r="X89" i="1061" s="1"/>
  <c r="P228" i="1064"/>
  <c r="Q29" i="1064"/>
  <c r="AC29" i="1064"/>
  <c r="AC228" i="1064" s="1"/>
  <c r="W208" i="1059"/>
  <c r="W96" i="1059"/>
  <c r="L88" i="1064" a="1"/>
  <c r="L88" i="1064" s="1"/>
  <c r="Y9" i="1064"/>
  <c r="Y88" i="1064" s="1"/>
  <c r="Y109" i="1064" s="1"/>
  <c r="M9" i="1064"/>
  <c r="K173" i="1064"/>
  <c r="L16" i="1064"/>
  <c r="X16" i="1064"/>
  <c r="K100" i="1058"/>
  <c r="K212" i="1058"/>
  <c r="K103" i="1058"/>
  <c r="K215" i="1058"/>
  <c r="K185" i="1058"/>
  <c r="K184" i="1058"/>
  <c r="J204" i="1057"/>
  <c r="J92" i="1057"/>
  <c r="J100" i="1057"/>
  <c r="J212" i="1057"/>
  <c r="Z50" i="1060"/>
  <c r="N50" i="1060"/>
  <c r="X173" i="1063"/>
  <c r="X59" i="1063"/>
  <c r="Y71" i="1057"/>
  <c r="K177" i="1063"/>
  <c r="X20" i="1063"/>
  <c r="L20" i="1063"/>
  <c r="L63" i="1063" s="1"/>
  <c r="J101" i="1062"/>
  <c r="J213" i="1062"/>
  <c r="J209" i="1062"/>
  <c r="J97" i="1062"/>
  <c r="J206" i="1062"/>
  <c r="J94" i="1062"/>
  <c r="I219" i="1058"/>
  <c r="I106" i="1058"/>
  <c r="X206" i="1057"/>
  <c r="X94" i="1057"/>
  <c r="V206" i="1059"/>
  <c r="V94" i="1059"/>
  <c r="X207" i="1061"/>
  <c r="X95" i="1061"/>
  <c r="U110" i="1063"/>
  <c r="L174" i="1059"/>
  <c r="M17" i="1059"/>
  <c r="Y17" i="1059"/>
  <c r="B58" i="1061"/>
  <c r="D171" i="1061"/>
  <c r="W178" i="1058"/>
  <c r="W64" i="1058"/>
  <c r="M174" i="1061"/>
  <c r="Z17" i="1061"/>
  <c r="N17" i="1061"/>
  <c r="J96" i="1060"/>
  <c r="J208" i="1060"/>
  <c r="J221" i="1063"/>
  <c r="J70" i="1063"/>
  <c r="J109" i="1063"/>
  <c r="J117" i="1063"/>
  <c r="V205" i="1062"/>
  <c r="V93" i="1062"/>
  <c r="M172" i="1057"/>
  <c r="Z15" i="1057"/>
  <c r="N15" i="1057"/>
  <c r="J205" i="1061"/>
  <c r="J93" i="1061"/>
  <c r="J213" i="1061"/>
  <c r="J101" i="1061"/>
  <c r="J210" i="1061"/>
  <c r="J98" i="1061"/>
  <c r="X173" i="1059"/>
  <c r="X59" i="1059"/>
  <c r="U89" i="1060"/>
  <c r="Y204" i="1060"/>
  <c r="Y92" i="1060"/>
  <c r="L49" i="1059"/>
  <c r="X49" i="1059"/>
  <c r="V214" i="1064"/>
  <c r="V102" i="1064"/>
  <c r="V197" i="1064"/>
  <c r="V198" i="1064"/>
  <c r="V196" i="1064"/>
  <c r="K88" i="1062" a="1"/>
  <c r="K88" i="1062" s="1"/>
  <c r="L9" i="1062"/>
  <c r="X9" i="1062"/>
  <c r="X88" i="1062" s="1"/>
  <c r="X109" i="1062" s="1"/>
  <c r="I112" i="1060"/>
  <c r="Z10" i="1057"/>
  <c r="Z236" i="1057" s="1"/>
  <c r="M149" i="1057"/>
  <c r="Z50" i="1062"/>
  <c r="N50" i="1062"/>
  <c r="W172" i="1060"/>
  <c r="W58" i="1060"/>
  <c r="T89" i="1058"/>
  <c r="V215" i="1060"/>
  <c r="V103" i="1060"/>
  <c r="V184" i="1060"/>
  <c r="V185" i="1060"/>
  <c r="K202" i="1059"/>
  <c r="K142" i="1059"/>
  <c r="K143" i="1059" s="1"/>
  <c r="K90" i="1059"/>
  <c r="K211" i="1059"/>
  <c r="K99" i="1059"/>
  <c r="K140" i="1059"/>
  <c r="V209" i="1058"/>
  <c r="V97" i="1058"/>
  <c r="V215" i="1064"/>
  <c r="V103" i="1064"/>
  <c r="V185" i="1064"/>
  <c r="V184" i="1064"/>
  <c r="Z77" i="1064"/>
  <c r="Z80" i="1064"/>
  <c r="Z195" i="1064"/>
  <c r="Z194" i="1064"/>
  <c r="K206" i="1060"/>
  <c r="K94" i="1060"/>
  <c r="K205" i="1060"/>
  <c r="K93" i="1060"/>
  <c r="J112" i="1061"/>
  <c r="W166" i="1063"/>
  <c r="W165" i="1063"/>
  <c r="W169" i="1063" s="1"/>
  <c r="I225" i="1062"/>
  <c r="I114" i="1062"/>
  <c r="I115" i="1062" s="1"/>
  <c r="I116" i="1062" s="1"/>
  <c r="I126" i="1062" s="1"/>
  <c r="I113" i="1062"/>
  <c r="V208" i="1060"/>
  <c r="V96" i="1060"/>
  <c r="X11" i="1063"/>
  <c r="L11" i="1063"/>
  <c r="K236" i="1063"/>
  <c r="K104" i="1063"/>
  <c r="K175" i="1064"/>
  <c r="L18" i="1064"/>
  <c r="X18" i="1064"/>
  <c r="W168" i="1062"/>
  <c r="X166" i="1059"/>
  <c r="X165" i="1059"/>
  <c r="X169" i="1059" s="1"/>
  <c r="Z59" i="1057"/>
  <c r="Z173" i="1057"/>
  <c r="L11" i="1058"/>
  <c r="L108" i="1058" s="1"/>
  <c r="X11" i="1058"/>
  <c r="K104" i="1058"/>
  <c r="K236" i="1058"/>
  <c r="I148" i="1057"/>
  <c r="I145" i="1057"/>
  <c r="I146" i="1057" s="1"/>
  <c r="M13" i="1063"/>
  <c r="Y13" i="1063"/>
  <c r="Y56" i="1063" s="1"/>
  <c r="J98" i="1060"/>
  <c r="J210" i="1060"/>
  <c r="J121" i="1060"/>
  <c r="J111" i="1060"/>
  <c r="J112" i="1060" s="1"/>
  <c r="Z194" i="1062"/>
  <c r="Z77" i="1062"/>
  <c r="Z80" i="1062"/>
  <c r="Z195" i="1062"/>
  <c r="Z56" i="1062"/>
  <c r="T117" i="1064"/>
  <c r="T127" i="1064" s="1"/>
  <c r="I219" i="1061"/>
  <c r="I106" i="1061"/>
  <c r="I110" i="1061" s="1"/>
  <c r="J111" i="1059"/>
  <c r="J121" i="1059"/>
  <c r="J210" i="1064"/>
  <c r="J98" i="1064"/>
  <c r="J213" i="1064"/>
  <c r="J101" i="1064"/>
  <c r="J211" i="1064"/>
  <c r="J99" i="1064"/>
  <c r="J140" i="1064"/>
  <c r="V117" i="1061"/>
  <c r="V127" i="1061" s="1"/>
  <c r="T219" i="1063"/>
  <c r="T106" i="1063"/>
  <c r="T117" i="1063"/>
  <c r="T127" i="1063" s="1"/>
  <c r="T89" i="1063"/>
  <c r="Y10" i="1061"/>
  <c r="Y179" i="1061" s="1"/>
  <c r="L149" i="1061"/>
  <c r="V205" i="1058"/>
  <c r="V93" i="1058"/>
  <c r="K177" i="1064"/>
  <c r="L20" i="1064"/>
  <c r="X20" i="1064"/>
  <c r="K176" i="1058"/>
  <c r="L19" i="1058"/>
  <c r="L62" i="1058" s="1"/>
  <c r="X19" i="1058"/>
  <c r="M176" i="1057"/>
  <c r="N19" i="1057"/>
  <c r="Z19" i="1057"/>
  <c r="K217" i="1063"/>
  <c r="K167" i="1063"/>
  <c r="K169" i="1063"/>
  <c r="K139" i="1063"/>
  <c r="K134" i="1063"/>
  <c r="K179" i="1063"/>
  <c r="K133" i="1063"/>
  <c r="K168" i="1063"/>
  <c r="K131" i="1063"/>
  <c r="K132" i="1063"/>
  <c r="X4" i="1063"/>
  <c r="L4" i="1063"/>
  <c r="L65" i="1063" s="1"/>
  <c r="U117" i="1050"/>
  <c r="U112" i="1054"/>
  <c r="J99" i="1058"/>
  <c r="J211" i="1058"/>
  <c r="J140" i="1058"/>
  <c r="W177" i="1064"/>
  <c r="W63" i="1064"/>
  <c r="W215" i="1063"/>
  <c r="W103" i="1063"/>
  <c r="W184" i="1063"/>
  <c r="W185" i="1063"/>
  <c r="L11" i="1062"/>
  <c r="X11" i="1062"/>
  <c r="K104" i="1062"/>
  <c r="K236" i="1062"/>
  <c r="I219" i="1059"/>
  <c r="I106" i="1059"/>
  <c r="I110" i="1059" s="1"/>
  <c r="I127" i="1059" s="1"/>
  <c r="AB22" i="1061"/>
  <c r="P22" i="1061"/>
  <c r="Y62" i="1057"/>
  <c r="Y176" i="1057"/>
  <c r="V202" i="1058"/>
  <c r="V89" i="1058"/>
  <c r="V142" i="1058"/>
  <c r="V143" i="1058" s="1"/>
  <c r="V90" i="1058"/>
  <c r="V117" i="1058"/>
  <c r="K177" i="1058"/>
  <c r="L20" i="1058"/>
  <c r="X20" i="1058"/>
  <c r="W147" i="1057"/>
  <c r="W92" i="1058"/>
  <c r="W204" i="1058"/>
  <c r="J209" i="1058"/>
  <c r="J97" i="1058"/>
  <c r="J211" i="1060"/>
  <c r="J99" i="1060"/>
  <c r="J140" i="1060"/>
  <c r="L13" i="1064"/>
  <c r="X13" i="1064"/>
  <c r="X56" i="1064" s="1"/>
  <c r="V210" i="1059"/>
  <c r="V98" i="1059"/>
  <c r="V214" i="1062"/>
  <c r="V102" i="1062"/>
  <c r="M173" i="1061"/>
  <c r="Z16" i="1061"/>
  <c r="N16" i="1061"/>
  <c r="V140" i="1059"/>
  <c r="L217" i="1062"/>
  <c r="L179" i="1062"/>
  <c r="L131" i="1062"/>
  <c r="L169" i="1062"/>
  <c r="L139" i="1062"/>
  <c r="Y4" i="1062"/>
  <c r="L168" i="1062"/>
  <c r="L133" i="1062"/>
  <c r="M4" i="1062"/>
  <c r="L167" i="1062"/>
  <c r="L132" i="1062"/>
  <c r="L134" i="1062"/>
  <c r="V207" i="1064"/>
  <c r="V95" i="1064"/>
  <c r="G127" i="1061"/>
  <c r="X210" i="1061"/>
  <c r="X98" i="1061"/>
  <c r="K202" i="1063"/>
  <c r="K90" i="1063"/>
  <c r="K205" i="1063"/>
  <c r="K93" i="1063"/>
  <c r="U219" i="1059"/>
  <c r="U106" i="1059"/>
  <c r="U110" i="1059" s="1"/>
  <c r="M49" i="1058"/>
  <c r="Y49" i="1058"/>
  <c r="W114" i="1057"/>
  <c r="W115" i="1057" s="1"/>
  <c r="W116" i="1057" s="1"/>
  <c r="W113" i="1057"/>
  <c r="W225" i="1057" s="1"/>
  <c r="K175" i="1062"/>
  <c r="L18" i="1062"/>
  <c r="X18" i="1062"/>
  <c r="T148" i="1062"/>
  <c r="T145" i="1062"/>
  <c r="T146" i="1062" s="1"/>
  <c r="L221" i="1057"/>
  <c r="L109" i="1057"/>
  <c r="I112" i="1058"/>
  <c r="J212" i="1059"/>
  <c r="J100" i="1059"/>
  <c r="Z12" i="1057"/>
  <c r="Z166" i="1057" s="1"/>
  <c r="N12" i="1057"/>
  <c r="N166" i="1057" s="1"/>
  <c r="K221" i="1064"/>
  <c r="K109" i="1064"/>
  <c r="V213" i="1063"/>
  <c r="V101" i="1063"/>
  <c r="V214" i="1060"/>
  <c r="V102" i="1060"/>
  <c r="X53" i="1059"/>
  <c r="X129" i="1059"/>
  <c r="X163" i="1059" s="1"/>
  <c r="X125" i="1059"/>
  <c r="X130" i="1059"/>
  <c r="X164" i="1059" s="1"/>
  <c r="X69" i="1059"/>
  <c r="X123" i="1059"/>
  <c r="X54" i="1059"/>
  <c r="X67" i="1059"/>
  <c r="X66" i="1059"/>
  <c r="X104" i="1059"/>
  <c r="X180" i="1059"/>
  <c r="X181" i="1059"/>
  <c r="X216" i="1059"/>
  <c r="X236" i="1059"/>
  <c r="I141" i="1058"/>
  <c r="K176" i="1060"/>
  <c r="L19" i="1060"/>
  <c r="X19" i="1060"/>
  <c r="K90" i="1058"/>
  <c r="K202" i="1058"/>
  <c r="K142" i="1058"/>
  <c r="K143" i="1058" s="1"/>
  <c r="K214" i="1058"/>
  <c r="K102" i="1058"/>
  <c r="J208" i="1057"/>
  <c r="J96" i="1057"/>
  <c r="J214" i="1057"/>
  <c r="J102" i="1057"/>
  <c r="J214" i="1063"/>
  <c r="J102" i="1063"/>
  <c r="W166" i="1058"/>
  <c r="W165" i="1058"/>
  <c r="W169" i="1058" s="1"/>
  <c r="H144" i="1064"/>
  <c r="J210" i="1062"/>
  <c r="J98" i="1062"/>
  <c r="AE77" i="1064"/>
  <c r="AE195" i="1064"/>
  <c r="AE80" i="1064"/>
  <c r="AE194" i="1064"/>
  <c r="M171" i="1057"/>
  <c r="Z14" i="1057"/>
  <c r="N14" i="1057"/>
  <c r="U148" i="1063"/>
  <c r="U147" i="1063"/>
  <c r="U145" i="1063"/>
  <c r="U146" i="1063" s="1"/>
  <c r="U144" i="1063"/>
  <c r="K178" i="1058"/>
  <c r="L21" i="1058"/>
  <c r="L64" i="1058" s="1"/>
  <c r="X21" i="1058"/>
  <c r="Y174" i="1061"/>
  <c r="U141" i="1059"/>
  <c r="U146" i="1059"/>
  <c r="Q228" i="1060"/>
  <c r="AD29" i="1060"/>
  <c r="AD228" i="1060" s="1"/>
  <c r="R29" i="1060"/>
  <c r="H113" i="1057"/>
  <c r="H114" i="1057" s="1"/>
  <c r="H115" i="1057" s="1"/>
  <c r="H116" i="1057" s="1"/>
  <c r="H126" i="1057" s="1"/>
  <c r="H225" i="1057"/>
  <c r="V204" i="1063"/>
  <c r="V92" i="1063"/>
  <c r="K88" i="1063" a="1"/>
  <c r="K88" i="1063" s="1"/>
  <c r="K140" i="1063" s="1"/>
  <c r="L9" i="1063"/>
  <c r="X9" i="1063"/>
  <c r="X88" i="1063" s="1"/>
  <c r="X109" i="1063" s="1"/>
  <c r="D228" i="1057"/>
  <c r="B117" i="1057"/>
  <c r="K176" i="1063"/>
  <c r="X19" i="1063"/>
  <c r="L19" i="1063"/>
  <c r="Y172" i="1057"/>
  <c r="Y58" i="1057"/>
  <c r="K69" i="1061"/>
  <c r="K62" i="1061"/>
  <c r="K58" i="1061"/>
  <c r="K67" i="1061"/>
  <c r="K64" i="1061"/>
  <c r="K68" i="1061"/>
  <c r="X8" i="1061"/>
  <c r="K66" i="1061"/>
  <c r="K60" i="1061"/>
  <c r="K56" i="1061"/>
  <c r="K63" i="1061"/>
  <c r="K53" i="1061"/>
  <c r="K59" i="1061"/>
  <c r="K54" i="1061"/>
  <c r="K65" i="1061"/>
  <c r="K108" i="1061"/>
  <c r="K61" i="1061"/>
  <c r="K55" i="1061"/>
  <c r="L8" i="1061"/>
  <c r="K57" i="1061"/>
  <c r="L173" i="1059"/>
  <c r="M16" i="1059"/>
  <c r="Y16" i="1059"/>
  <c r="U148" i="1060"/>
  <c r="U144" i="1060"/>
  <c r="U145" i="1060"/>
  <c r="U146" i="1060" s="1"/>
  <c r="U147" i="1060"/>
  <c r="W175" i="1058"/>
  <c r="W61" i="1058"/>
  <c r="G122" i="1064"/>
  <c r="Z13" i="1060"/>
  <c r="Z56" i="1060" s="1"/>
  <c r="N13" i="1060"/>
  <c r="V98" i="1060"/>
  <c r="V210" i="1060"/>
  <c r="M88" i="1058" a="1"/>
  <c r="M88" i="1058" s="1"/>
  <c r="Z9" i="1058"/>
  <c r="Z88" i="1058" s="1"/>
  <c r="Z109" i="1058" s="1"/>
  <c r="N9" i="1058"/>
  <c r="W174" i="1058"/>
  <c r="W60" i="1058"/>
  <c r="V202" i="1064"/>
  <c r="V142" i="1064"/>
  <c r="V143" i="1064" s="1"/>
  <c r="V90" i="1064"/>
  <c r="K217" i="1064"/>
  <c r="K134" i="1064"/>
  <c r="K179" i="1064"/>
  <c r="K168" i="1064"/>
  <c r="K132" i="1064"/>
  <c r="K133" i="1064"/>
  <c r="K169" i="1064"/>
  <c r="K131" i="1064"/>
  <c r="K55" i="1064" s="1"/>
  <c r="K167" i="1064"/>
  <c r="K139" i="1064"/>
  <c r="X4" i="1064"/>
  <c r="L4" i="1064"/>
  <c r="AB51" i="1059"/>
  <c r="P51" i="1059"/>
  <c r="L178" i="1063"/>
  <c r="M21" i="1063"/>
  <c r="Y21" i="1063"/>
  <c r="V111" i="1063"/>
  <c r="V121" i="1063"/>
  <c r="I112" i="1059"/>
  <c r="Z50" i="1057"/>
  <c r="N50" i="1057"/>
  <c r="K71" i="1059"/>
  <c r="K212" i="1059"/>
  <c r="K100" i="1059"/>
  <c r="L131" i="1059"/>
  <c r="L55" i="1059" s="1"/>
  <c r="L179" i="1059"/>
  <c r="L168" i="1059"/>
  <c r="L132" i="1059"/>
  <c r="L167" i="1059"/>
  <c r="L139" i="1059"/>
  <c r="Y4" i="1059"/>
  <c r="L217" i="1059"/>
  <c r="L134" i="1059"/>
  <c r="L169" i="1059"/>
  <c r="M4" i="1059"/>
  <c r="L133" i="1059"/>
  <c r="N194" i="1064"/>
  <c r="N192" i="1064"/>
  <c r="N195" i="1064"/>
  <c r="N193" i="1064"/>
  <c r="AA6" i="1064"/>
  <c r="N77" i="1064"/>
  <c r="AF77" i="1064" s="1"/>
  <c r="I112" i="1057"/>
  <c r="J212" i="1060"/>
  <c r="J100" i="1060"/>
  <c r="K62" i="1060"/>
  <c r="K61" i="1060"/>
  <c r="K182" i="1059"/>
  <c r="L23" i="1059"/>
  <c r="L68" i="1059" s="1"/>
  <c r="X23" i="1059"/>
  <c r="V208" i="1058"/>
  <c r="V96" i="1058"/>
  <c r="I219" i="1062"/>
  <c r="I106" i="1062"/>
  <c r="I146" i="1062"/>
  <c r="I141" i="1062"/>
  <c r="I148" i="1062" s="1"/>
  <c r="V65" i="1060"/>
  <c r="V168" i="1060"/>
  <c r="W10" i="1063"/>
  <c r="W60" i="1063" s="1"/>
  <c r="J149" i="1063"/>
  <c r="K166" i="1060"/>
  <c r="L12" i="1060"/>
  <c r="K165" i="1060"/>
  <c r="K169" i="1060" s="1"/>
  <c r="X12" i="1060"/>
  <c r="T117" i="1058"/>
  <c r="T127" i="1058" s="1"/>
  <c r="U112" i="1063"/>
  <c r="J214" i="1059"/>
  <c r="J102" i="1059"/>
  <c r="G144" i="1062"/>
  <c r="K198" i="1057"/>
  <c r="K197" i="1057"/>
  <c r="K196" i="1057"/>
  <c r="X204" i="1063"/>
  <c r="X92" i="1063"/>
  <c r="P228" i="1059"/>
  <c r="Q29" i="1059"/>
  <c r="AC29" i="1059"/>
  <c r="AC228" i="1059" s="1"/>
  <c r="N51" i="1064"/>
  <c r="Z51" i="1064"/>
  <c r="J197" i="1060"/>
  <c r="J196" i="1060"/>
  <c r="J198" i="1060"/>
  <c r="W179" i="1058"/>
  <c r="W167" i="1058"/>
  <c r="L178" i="1061"/>
  <c r="K228" i="1062"/>
  <c r="X29" i="1062"/>
  <c r="X228" i="1062" s="1"/>
  <c r="T148" i="1064"/>
  <c r="T145" i="1064"/>
  <c r="T146" i="1064" s="1"/>
  <c r="T147" i="1064"/>
  <c r="J198" i="1059"/>
  <c r="J196" i="1059"/>
  <c r="J197" i="1059"/>
  <c r="J214" i="1064"/>
  <c r="J102" i="1064"/>
  <c r="J208" i="1064"/>
  <c r="J96" i="1064"/>
  <c r="T122" i="1060"/>
  <c r="U89" i="1059"/>
  <c r="G122" i="1060"/>
  <c r="H119" i="1054"/>
  <c r="H122" i="1054" s="1"/>
  <c r="H120" i="1054"/>
  <c r="H127" i="1054"/>
  <c r="J203" i="1056"/>
  <c r="J91" i="1056"/>
  <c r="J70" i="1056"/>
  <c r="H119" i="1056"/>
  <c r="H122" i="1056" s="1"/>
  <c r="H120" i="1056"/>
  <c r="K206" i="1055"/>
  <c r="K94" i="1055"/>
  <c r="H120" i="1053"/>
  <c r="H119" i="1053"/>
  <c r="H127" i="1053"/>
  <c r="K212" i="1055"/>
  <c r="K100" i="1055"/>
  <c r="K204" i="1054"/>
  <c r="K92" i="1054"/>
  <c r="V205" i="1055"/>
  <c r="V93" i="1055"/>
  <c r="Q228" i="1055"/>
  <c r="AD29" i="1055"/>
  <c r="AD228" i="1055" s="1"/>
  <c r="R29" i="1055"/>
  <c r="U219" i="1055"/>
  <c r="U106" i="1055"/>
  <c r="J211" i="1054"/>
  <c r="J99" i="1054"/>
  <c r="J140" i="1054"/>
  <c r="V204" i="1054"/>
  <c r="V92" i="1054"/>
  <c r="K177" i="1056"/>
  <c r="X20" i="1056"/>
  <c r="L20" i="1056"/>
  <c r="V70" i="1055"/>
  <c r="V117" i="1055" s="1"/>
  <c r="V71" i="1055"/>
  <c r="L13" i="1054"/>
  <c r="X13" i="1054"/>
  <c r="X56" i="1054" s="1"/>
  <c r="J208" i="1055"/>
  <c r="J96" i="1055"/>
  <c r="I145" i="1053"/>
  <c r="I147" i="1053" s="1"/>
  <c r="D228" i="1055"/>
  <c r="B117" i="1055"/>
  <c r="K133" i="1053"/>
  <c r="W10" i="1055"/>
  <c r="J149" i="1055"/>
  <c r="D171" i="1055"/>
  <c r="B58" i="1055"/>
  <c r="V211" i="1055"/>
  <c r="V99" i="1055"/>
  <c r="V140" i="1055"/>
  <c r="W214" i="1056"/>
  <c r="W102" i="1056"/>
  <c r="L197" i="1054"/>
  <c r="L196" i="1054"/>
  <c r="L198" i="1054"/>
  <c r="N194" i="1055"/>
  <c r="N192" i="1055"/>
  <c r="N180" i="1055"/>
  <c r="N195" i="1055"/>
  <c r="N193" i="1055"/>
  <c r="N77" i="1055"/>
  <c r="AF77" i="1055" s="1"/>
  <c r="AA6" i="1055"/>
  <c r="W172" i="1056"/>
  <c r="W58" i="1056"/>
  <c r="W165" i="1055"/>
  <c r="W166" i="1055"/>
  <c r="V213" i="1054"/>
  <c r="V101" i="1054"/>
  <c r="W171" i="1054"/>
  <c r="W57" i="1054"/>
  <c r="N88" i="1054" a="1"/>
  <c r="N88" i="1054" s="1"/>
  <c r="O9" i="1054"/>
  <c r="AA9" i="1054"/>
  <c r="AA88" i="1054" s="1"/>
  <c r="AA109" i="1054" s="1"/>
  <c r="K228" i="1053"/>
  <c r="X29" i="1053"/>
  <c r="X228" i="1053" s="1"/>
  <c r="V90" i="1054"/>
  <c r="V202" i="1054"/>
  <c r="U219" i="1054"/>
  <c r="U106" i="1054"/>
  <c r="L22" i="1055"/>
  <c r="X22" i="1055"/>
  <c r="V209" i="1055"/>
  <c r="V97" i="1055"/>
  <c r="J71" i="1053"/>
  <c r="J70" i="1053"/>
  <c r="J202" i="1053"/>
  <c r="J142" i="1053"/>
  <c r="J143" i="1053" s="1"/>
  <c r="J90" i="1053"/>
  <c r="M51" i="1055"/>
  <c r="Y51" i="1055"/>
  <c r="V208" i="1055"/>
  <c r="V96" i="1055"/>
  <c r="L11" i="1054"/>
  <c r="X11" i="1054"/>
  <c r="K236" i="1054"/>
  <c r="K104" i="1054"/>
  <c r="L69" i="1055"/>
  <c r="L67" i="1055"/>
  <c r="L54" i="1055"/>
  <c r="L68" i="1055"/>
  <c r="L66" i="1055"/>
  <c r="L53" i="1055"/>
  <c r="M8" i="1055"/>
  <c r="Y8" i="1055"/>
  <c r="K173" i="1053"/>
  <c r="X16" i="1053"/>
  <c r="L16" i="1053"/>
  <c r="J213" i="1056"/>
  <c r="J101" i="1056"/>
  <c r="I219" i="1053"/>
  <c r="I106" i="1053"/>
  <c r="K208" i="1054"/>
  <c r="K96" i="1054"/>
  <c r="V70" i="1053"/>
  <c r="V71" i="1053"/>
  <c r="V213" i="1055"/>
  <c r="V101" i="1055"/>
  <c r="W173" i="1056"/>
  <c r="W59" i="1056"/>
  <c r="K175" i="1053"/>
  <c r="X18" i="1053"/>
  <c r="L18" i="1053"/>
  <c r="X22" i="1053"/>
  <c r="L22" i="1053"/>
  <c r="V212" i="1054"/>
  <c r="V100" i="1054"/>
  <c r="L221" i="1053"/>
  <c r="L109" i="1053"/>
  <c r="Z22" i="1054"/>
  <c r="N22" i="1054"/>
  <c r="K129" i="1056"/>
  <c r="K163" i="1056" s="1"/>
  <c r="K125" i="1056"/>
  <c r="K130" i="1056" a="1"/>
  <c r="K130" i="1056" s="1"/>
  <c r="K164" i="1056" s="1"/>
  <c r="K123" i="1056"/>
  <c r="L10" i="1056"/>
  <c r="K181" i="1056"/>
  <c r="K180" i="1056"/>
  <c r="K216" i="1056" a="1"/>
  <c r="K216" i="1056" s="1"/>
  <c r="W92" i="1054"/>
  <c r="W204" i="1054"/>
  <c r="W166" i="1054"/>
  <c r="W165" i="1054"/>
  <c r="AB50" i="1054"/>
  <c r="P50" i="1054"/>
  <c r="I145" i="1056"/>
  <c r="I141" i="1055"/>
  <c r="AC30" i="1055"/>
  <c r="Q30" i="1055"/>
  <c r="X17" i="1054"/>
  <c r="K174" i="1054"/>
  <c r="L17" i="1054"/>
  <c r="W213" i="1056"/>
  <c r="W101" i="1056"/>
  <c r="W202" i="1056"/>
  <c r="W90" i="1056"/>
  <c r="I146" i="1054"/>
  <c r="I141" i="1054"/>
  <c r="I148" i="1054" s="1"/>
  <c r="U110" i="1054"/>
  <c r="W205" i="1053"/>
  <c r="W93" i="1053"/>
  <c r="K129" i="1053"/>
  <c r="K163" i="1053" s="1"/>
  <c r="K123" i="1053"/>
  <c r="K130" i="1053" a="1"/>
  <c r="K130" i="1053" s="1"/>
  <c r="K164" i="1053" s="1"/>
  <c r="L10" i="1053"/>
  <c r="K125" i="1053"/>
  <c r="K216" i="1053" a="1"/>
  <c r="K216" i="1053" s="1"/>
  <c r="K174" i="1053"/>
  <c r="K181" i="1053"/>
  <c r="K180" i="1053"/>
  <c r="W174" i="1056"/>
  <c r="W60" i="1056"/>
  <c r="L121" i="1054"/>
  <c r="L111" i="1054"/>
  <c r="Z77" i="1055"/>
  <c r="Z195" i="1055"/>
  <c r="Z194" i="1055"/>
  <c r="Z80" i="1055"/>
  <c r="W175" i="1056"/>
  <c r="W61" i="1056"/>
  <c r="K172" i="1056"/>
  <c r="X15" i="1056"/>
  <c r="L15" i="1056"/>
  <c r="K172" i="1053"/>
  <c r="X15" i="1053"/>
  <c r="L15" i="1053"/>
  <c r="V71" i="1056"/>
  <c r="L171" i="1053"/>
  <c r="M14" i="1053"/>
  <c r="Y14" i="1053"/>
  <c r="V206" i="1056"/>
  <c r="V94" i="1056"/>
  <c r="H144" i="1054"/>
  <c r="W178" i="1056"/>
  <c r="W64" i="1056"/>
  <c r="I112" i="1056"/>
  <c r="V71" i="1054"/>
  <c r="G148" i="1054"/>
  <c r="G144" i="1054"/>
  <c r="J207" i="1053"/>
  <c r="J95" i="1053"/>
  <c r="J214" i="1053"/>
  <c r="J102" i="1053"/>
  <c r="J211" i="1053"/>
  <c r="J99" i="1053"/>
  <c r="J140" i="1053"/>
  <c r="X13" i="1055"/>
  <c r="X56" i="1055" s="1"/>
  <c r="L13" i="1055"/>
  <c r="Y12" i="1056"/>
  <c r="M12" i="1056"/>
  <c r="L166" i="1056"/>
  <c r="L165" i="1056"/>
  <c r="W10" i="1054"/>
  <c r="W176" i="1054" s="1"/>
  <c r="J149" i="1054"/>
  <c r="K202" i="1055"/>
  <c r="K90" i="1055"/>
  <c r="K214" i="1055"/>
  <c r="K102" i="1055"/>
  <c r="V210" i="1054"/>
  <c r="V98" i="1054"/>
  <c r="W68" i="1054"/>
  <c r="W182" i="1054"/>
  <c r="V212" i="1055"/>
  <c r="V100" i="1055"/>
  <c r="W173" i="1053"/>
  <c r="W59" i="1053"/>
  <c r="J206" i="1056"/>
  <c r="J94" i="1056"/>
  <c r="J215" i="1056"/>
  <c r="J103" i="1056"/>
  <c r="J184" i="1056"/>
  <c r="J185" i="1056"/>
  <c r="I117" i="1050"/>
  <c r="H127" i="1051"/>
  <c r="T219" i="1056"/>
  <c r="T106" i="1056"/>
  <c r="K102" i="1054"/>
  <c r="K214" i="1054"/>
  <c r="K213" i="1054"/>
  <c r="K101" i="1054"/>
  <c r="V214" i="1055"/>
  <c r="V102" i="1055"/>
  <c r="K176" i="1054"/>
  <c r="L19" i="1054"/>
  <c r="X19" i="1054"/>
  <c r="V206" i="1054"/>
  <c r="V94" i="1054"/>
  <c r="M125" i="1055"/>
  <c r="M130" i="1055" a="1"/>
  <c r="M130" i="1055" s="1"/>
  <c r="M164" i="1055" s="1"/>
  <c r="M129" i="1055"/>
  <c r="M163" i="1055" s="1"/>
  <c r="N10" i="1055"/>
  <c r="N181" i="1055" s="1"/>
  <c r="M123" i="1055"/>
  <c r="M216" i="1055" a="1"/>
  <c r="M216" i="1055" s="1"/>
  <c r="K173" i="1056"/>
  <c r="X16" i="1056"/>
  <c r="L16" i="1056"/>
  <c r="K172" i="1054"/>
  <c r="L15" i="1054"/>
  <c r="X15" i="1054"/>
  <c r="N9" i="1053"/>
  <c r="M88" i="1053" a="1"/>
  <c r="M88" i="1053" s="1"/>
  <c r="Z9" i="1053"/>
  <c r="Z88" i="1053" s="1"/>
  <c r="Z109" i="1053" s="1"/>
  <c r="U89" i="1055"/>
  <c r="L176" i="1053"/>
  <c r="Y19" i="1053"/>
  <c r="M19" i="1053"/>
  <c r="X182" i="1055"/>
  <c r="X68" i="1055"/>
  <c r="L178" i="1053"/>
  <c r="M21" i="1053"/>
  <c r="Y21" i="1053"/>
  <c r="U113" i="1054"/>
  <c r="U225" i="1054" s="1"/>
  <c r="U114" i="1054"/>
  <c r="U115" i="1054" s="1"/>
  <c r="U116" i="1054" s="1"/>
  <c r="U126" i="1054" s="1"/>
  <c r="U112" i="1053"/>
  <c r="V203" i="1055"/>
  <c r="V91" i="1055"/>
  <c r="K177" i="1053"/>
  <c r="X20" i="1053"/>
  <c r="L20" i="1053"/>
  <c r="W174" i="1054"/>
  <c r="W60" i="1054"/>
  <c r="W198" i="1056"/>
  <c r="W197" i="1056"/>
  <c r="W196" i="1056"/>
  <c r="T144" i="1054"/>
  <c r="J121" i="1053"/>
  <c r="J111" i="1053"/>
  <c r="K174" i="1056"/>
  <c r="X17" i="1056"/>
  <c r="L17" i="1056"/>
  <c r="M129" i="1054"/>
  <c r="M163" i="1054" s="1"/>
  <c r="M123" i="1054"/>
  <c r="M125" i="1054"/>
  <c r="M130" i="1054" a="1"/>
  <c r="M130" i="1054" s="1"/>
  <c r="M164" i="1054" s="1"/>
  <c r="N10" i="1054"/>
  <c r="M181" i="1054"/>
  <c r="M180" i="1054"/>
  <c r="M216" i="1054" a="1"/>
  <c r="M216" i="1054" s="1"/>
  <c r="U141" i="1055"/>
  <c r="U148" i="1055" s="1"/>
  <c r="K175" i="1056"/>
  <c r="X18" i="1056"/>
  <c r="L18" i="1056"/>
  <c r="W58" i="1053"/>
  <c r="W172" i="1053"/>
  <c r="D227" i="1054"/>
  <c r="B116" i="1054"/>
  <c r="V214" i="1054"/>
  <c r="V102" i="1054"/>
  <c r="X171" i="1053"/>
  <c r="X57" i="1053"/>
  <c r="V206" i="1053"/>
  <c r="V94" i="1053"/>
  <c r="M221" i="1054"/>
  <c r="M109" i="1054"/>
  <c r="T144" i="1056"/>
  <c r="K173" i="1054"/>
  <c r="L16" i="1054"/>
  <c r="X16" i="1054"/>
  <c r="K178" i="1056"/>
  <c r="X21" i="1056"/>
  <c r="L21" i="1056"/>
  <c r="J210" i="1053"/>
  <c r="J98" i="1053"/>
  <c r="J204" i="1053"/>
  <c r="J92" i="1053"/>
  <c r="W204" i="1055"/>
  <c r="W92" i="1055"/>
  <c r="X165" i="1056"/>
  <c r="X166" i="1056"/>
  <c r="L50" i="1053"/>
  <c r="X50" i="1053"/>
  <c r="K71" i="1055"/>
  <c r="K182" i="1054"/>
  <c r="X23" i="1054"/>
  <c r="L23" i="1054"/>
  <c r="J205" i="1056"/>
  <c r="J93" i="1056"/>
  <c r="J71" i="1056"/>
  <c r="J117" i="1056" s="1"/>
  <c r="K174" i="1055"/>
  <c r="X17" i="1055"/>
  <c r="L17" i="1055"/>
  <c r="I147" i="1054"/>
  <c r="K211" i="1054"/>
  <c r="K99" i="1054"/>
  <c r="K140" i="1054"/>
  <c r="K215" i="1054"/>
  <c r="K103" i="1054"/>
  <c r="K185" i="1054"/>
  <c r="K184" i="1054"/>
  <c r="V111" i="1053"/>
  <c r="V121" i="1053"/>
  <c r="L121" i="1055"/>
  <c r="L111" i="1055"/>
  <c r="V91" i="1053"/>
  <c r="V203" i="1053"/>
  <c r="J211" i="1055"/>
  <c r="J99" i="1055"/>
  <c r="J140" i="1055"/>
  <c r="W172" i="1054"/>
  <c r="W58" i="1054"/>
  <c r="V215" i="1056"/>
  <c r="V103" i="1056"/>
  <c r="V185" i="1056"/>
  <c r="V184" i="1056"/>
  <c r="U110" i="1055"/>
  <c r="J197" i="1056"/>
  <c r="J196" i="1056"/>
  <c r="J198" i="1056"/>
  <c r="V121" i="1055"/>
  <c r="V111" i="1055"/>
  <c r="J207" i="1054"/>
  <c r="J95" i="1054"/>
  <c r="V207" i="1056"/>
  <c r="V95" i="1056"/>
  <c r="V209" i="1053"/>
  <c r="V97" i="1053"/>
  <c r="L182" i="1055"/>
  <c r="Y23" i="1055"/>
  <c r="M23" i="1055"/>
  <c r="X134" i="1053"/>
  <c r="V96" i="1054"/>
  <c r="V208" i="1054"/>
  <c r="L104" i="1056"/>
  <c r="Y11" i="1056"/>
  <c r="M11" i="1056"/>
  <c r="L236" i="1056"/>
  <c r="I110" i="1056"/>
  <c r="I127" i="1056" s="1"/>
  <c r="W121" i="1056"/>
  <c r="W111" i="1056"/>
  <c r="U145" i="1054"/>
  <c r="J198" i="1053"/>
  <c r="J197" i="1053"/>
  <c r="J196" i="1053"/>
  <c r="K139" i="1054"/>
  <c r="K217" i="1054"/>
  <c r="K131" i="1054"/>
  <c r="K167" i="1054"/>
  <c r="K132" i="1054"/>
  <c r="K179" i="1054"/>
  <c r="K134" i="1054"/>
  <c r="K168" i="1054"/>
  <c r="L4" i="1054"/>
  <c r="K133" i="1054"/>
  <c r="X4" i="1054"/>
  <c r="K177" i="1055"/>
  <c r="L20" i="1055"/>
  <c r="X20" i="1055"/>
  <c r="K176" i="1055"/>
  <c r="X19" i="1055"/>
  <c r="L19" i="1055"/>
  <c r="L62" i="1055" s="1"/>
  <c r="R30" i="1053"/>
  <c r="AE30" i="1053" s="1"/>
  <c r="AD30" i="1053"/>
  <c r="W173" i="1054"/>
  <c r="W59" i="1054"/>
  <c r="V111" i="1054"/>
  <c r="V121" i="1054"/>
  <c r="I225" i="1054"/>
  <c r="I113" i="1054"/>
  <c r="I114" i="1054"/>
  <c r="I115" i="1054" s="1"/>
  <c r="I116" i="1054" s="1"/>
  <c r="J206" i="1053"/>
  <c r="J94" i="1053"/>
  <c r="J203" i="1053"/>
  <c r="J91" i="1053"/>
  <c r="J208" i="1053"/>
  <c r="J96" i="1053"/>
  <c r="K177" i="1054"/>
  <c r="X20" i="1054"/>
  <c r="L20" i="1054"/>
  <c r="T144" i="1053"/>
  <c r="K62" i="1055"/>
  <c r="K173" i="1055"/>
  <c r="X16" i="1055"/>
  <c r="L16" i="1055"/>
  <c r="L59" i="1055" s="1"/>
  <c r="J210" i="1056"/>
  <c r="J98" i="1056"/>
  <c r="J209" i="1056"/>
  <c r="J97" i="1056"/>
  <c r="J207" i="1056"/>
  <c r="J95" i="1056"/>
  <c r="W174" i="1055"/>
  <c r="W60" i="1055"/>
  <c r="K205" i="1054"/>
  <c r="K93" i="1054"/>
  <c r="K212" i="1054"/>
  <c r="K100" i="1054"/>
  <c r="K94" i="1054"/>
  <c r="K206" i="1054"/>
  <c r="V197" i="1053"/>
  <c r="V196" i="1053"/>
  <c r="V198" i="1053"/>
  <c r="U219" i="1053"/>
  <c r="U106" i="1053"/>
  <c r="W182" i="1056"/>
  <c r="W68" i="1056"/>
  <c r="W55" i="1053"/>
  <c r="K178" i="1055"/>
  <c r="L21" i="1055"/>
  <c r="X21" i="1055"/>
  <c r="L198" i="1055"/>
  <c r="L197" i="1055"/>
  <c r="L196" i="1055"/>
  <c r="X11" i="1053"/>
  <c r="L11" i="1053"/>
  <c r="K236" i="1053"/>
  <c r="K104" i="1053"/>
  <c r="J204" i="1055"/>
  <c r="J92" i="1055"/>
  <c r="I141" i="1053"/>
  <c r="I148" i="1053" s="1"/>
  <c r="W215" i="1055"/>
  <c r="W103" i="1055"/>
  <c r="W184" i="1055"/>
  <c r="W185" i="1055"/>
  <c r="U147" i="1055"/>
  <c r="U145" i="1055"/>
  <c r="J121" i="1056"/>
  <c r="J111" i="1056"/>
  <c r="I146" i="1056"/>
  <c r="I141" i="1056"/>
  <c r="I148" i="1056" s="1"/>
  <c r="V196" i="1055"/>
  <c r="V198" i="1055"/>
  <c r="V197" i="1055"/>
  <c r="J96" i="1054"/>
  <c r="J208" i="1054"/>
  <c r="X12" i="1053"/>
  <c r="X133" i="1053" s="1"/>
  <c r="L12" i="1053"/>
  <c r="K165" i="1053"/>
  <c r="K169" i="1053" s="1"/>
  <c r="K166" i="1053"/>
  <c r="J55" i="1055"/>
  <c r="K134" i="1053"/>
  <c r="X130" i="1056"/>
  <c r="X164" i="1056" s="1"/>
  <c r="X125" i="1056"/>
  <c r="X129" i="1056"/>
  <c r="X163" i="1056" s="1"/>
  <c r="X123" i="1056"/>
  <c r="X69" i="1056"/>
  <c r="X54" i="1056"/>
  <c r="X53" i="1056"/>
  <c r="X181" i="1056"/>
  <c r="X216" i="1056"/>
  <c r="X104" i="1056"/>
  <c r="X180" i="1056"/>
  <c r="X67" i="1056"/>
  <c r="X66" i="1056"/>
  <c r="X236" i="1056"/>
  <c r="H144" i="1055"/>
  <c r="AC30" i="1056"/>
  <c r="Q30" i="1056"/>
  <c r="H146" i="1053"/>
  <c r="W176" i="1056"/>
  <c r="W62" i="1056"/>
  <c r="M88" i="1055" a="1"/>
  <c r="M88" i="1055" s="1"/>
  <c r="N9" i="1055"/>
  <c r="Z9" i="1055"/>
  <c r="Z88" i="1055" s="1"/>
  <c r="Z109" i="1055" s="1"/>
  <c r="H147" i="1053"/>
  <c r="W132" i="1054"/>
  <c r="W217" i="1054"/>
  <c r="W169" i="1054"/>
  <c r="W167" i="1054"/>
  <c r="W134" i="1054"/>
  <c r="W131" i="1054"/>
  <c r="W179" i="1054"/>
  <c r="W65" i="1054"/>
  <c r="W168" i="1054"/>
  <c r="W139" i="1054"/>
  <c r="W133" i="1054"/>
  <c r="K217" i="1056"/>
  <c r="K169" i="1056"/>
  <c r="K179" i="1056"/>
  <c r="K167" i="1056"/>
  <c r="K131" i="1056"/>
  <c r="K55" i="1056" s="1"/>
  <c r="K168" i="1056"/>
  <c r="K134" i="1056"/>
  <c r="K132" i="1056"/>
  <c r="K133" i="1056"/>
  <c r="K139" i="1056"/>
  <c r="X4" i="1056"/>
  <c r="L4" i="1056"/>
  <c r="K182" i="1053"/>
  <c r="X23" i="1053"/>
  <c r="L23" i="1053"/>
  <c r="W177" i="1055"/>
  <c r="W63" i="1055"/>
  <c r="V207" i="1054"/>
  <c r="V95" i="1054"/>
  <c r="V210" i="1056"/>
  <c r="V98" i="1056"/>
  <c r="V208" i="1056"/>
  <c r="V96" i="1056"/>
  <c r="V206" i="1055"/>
  <c r="V94" i="1055"/>
  <c r="O17" i="1053"/>
  <c r="AA17" i="1053"/>
  <c r="V209" i="1056"/>
  <c r="V97" i="1056"/>
  <c r="W176" i="1055"/>
  <c r="W62" i="1055"/>
  <c r="V215" i="1053"/>
  <c r="V103" i="1053"/>
  <c r="V185" i="1053"/>
  <c r="V184" i="1053"/>
  <c r="N195" i="1053"/>
  <c r="N193" i="1053"/>
  <c r="N194" i="1053"/>
  <c r="N192" i="1053"/>
  <c r="AA6" i="1053"/>
  <c r="N77" i="1053"/>
  <c r="AF77" i="1053" s="1"/>
  <c r="D228" i="1053"/>
  <c r="B117" i="1053"/>
  <c r="V196" i="1054"/>
  <c r="V198" i="1054"/>
  <c r="V197" i="1054"/>
  <c r="U89" i="1053"/>
  <c r="J212" i="1053"/>
  <c r="J100" i="1053"/>
  <c r="J101" i="1053"/>
  <c r="J213" i="1053"/>
  <c r="I203" i="1055"/>
  <c r="I91" i="1055"/>
  <c r="I117" i="1055"/>
  <c r="I142" i="1055"/>
  <c r="I143" i="1055" s="1"/>
  <c r="I112" i="1055"/>
  <c r="I89" i="1055"/>
  <c r="I70" i="1055"/>
  <c r="P228" i="1056"/>
  <c r="Q29" i="1056"/>
  <c r="AC29" i="1056"/>
  <c r="AC228" i="1056" s="1"/>
  <c r="W177" i="1054"/>
  <c r="W63" i="1054"/>
  <c r="I219" i="1054"/>
  <c r="I106" i="1054"/>
  <c r="I89" i="1054"/>
  <c r="K208" i="1055"/>
  <c r="K96" i="1055"/>
  <c r="K63" i="1055"/>
  <c r="H225" i="1055"/>
  <c r="H114" i="1055"/>
  <c r="H115" i="1055" s="1"/>
  <c r="H116" i="1055" s="1"/>
  <c r="H126" i="1055" s="1"/>
  <c r="H113" i="1055"/>
  <c r="W173" i="1055"/>
  <c r="W59" i="1055"/>
  <c r="K108" i="1056"/>
  <c r="K64" i="1056"/>
  <c r="K59" i="1056"/>
  <c r="K54" i="1056"/>
  <c r="K68" i="1056"/>
  <c r="K66" i="1056"/>
  <c r="K60" i="1056"/>
  <c r="K56" i="1056"/>
  <c r="K63" i="1056"/>
  <c r="K53" i="1056"/>
  <c r="K61" i="1056"/>
  <c r="K57" i="1056"/>
  <c r="K65" i="1056"/>
  <c r="K69" i="1056"/>
  <c r="K67" i="1056"/>
  <c r="X8" i="1056"/>
  <c r="K62" i="1056"/>
  <c r="L8" i="1056"/>
  <c r="K58" i="1056"/>
  <c r="J202" i="1056"/>
  <c r="J142" i="1056"/>
  <c r="J143" i="1056" s="1"/>
  <c r="J90" i="1056"/>
  <c r="J89" i="1056"/>
  <c r="J212" i="1056"/>
  <c r="J100" i="1056"/>
  <c r="G86" i="1053"/>
  <c r="T44" i="1053"/>
  <c r="T86" i="1053" s="1"/>
  <c r="T144" i="1050"/>
  <c r="K97" i="1054"/>
  <c r="K209" i="1054"/>
  <c r="L67" i="1054"/>
  <c r="L66" i="1054"/>
  <c r="L60" i="1054"/>
  <c r="L56" i="1054"/>
  <c r="L108" i="1054"/>
  <c r="L53" i="1054"/>
  <c r="L64" i="1054"/>
  <c r="L62" i="1054"/>
  <c r="L58" i="1054"/>
  <c r="Y8" i="1054"/>
  <c r="L69" i="1054"/>
  <c r="L65" i="1054"/>
  <c r="L61" i="1054"/>
  <c r="L54" i="1054"/>
  <c r="L68" i="1054"/>
  <c r="L59" i="1054"/>
  <c r="M8" i="1054"/>
  <c r="K210" i="1054"/>
  <c r="K98" i="1054"/>
  <c r="V204" i="1053"/>
  <c r="V92" i="1053"/>
  <c r="L88" i="1056" a="1"/>
  <c r="L88" i="1056" s="1"/>
  <c r="Y9" i="1056"/>
  <c r="Y88" i="1056" s="1"/>
  <c r="Y109" i="1056" s="1"/>
  <c r="M9" i="1056"/>
  <c r="K182" i="1056"/>
  <c r="X23" i="1056"/>
  <c r="L23" i="1056"/>
  <c r="W178" i="1055"/>
  <c r="W64" i="1055"/>
  <c r="V99" i="1054"/>
  <c r="V211" i="1054"/>
  <c r="V140" i="1054"/>
  <c r="W10" i="1053"/>
  <c r="W61" i="1053" s="1"/>
  <c r="J149" i="1053"/>
  <c r="K171" i="1055"/>
  <c r="X14" i="1055"/>
  <c r="L14" i="1055"/>
  <c r="U141" i="1054"/>
  <c r="U148" i="1054" s="1"/>
  <c r="U146" i="1054"/>
  <c r="U117" i="1053"/>
  <c r="W165" i="1053"/>
  <c r="W169" i="1053" s="1"/>
  <c r="W166" i="1053"/>
  <c r="U141" i="1056"/>
  <c r="W217" i="1055"/>
  <c r="W179" i="1055"/>
  <c r="W168" i="1055"/>
  <c r="W169" i="1055"/>
  <c r="W139" i="1055"/>
  <c r="W132" i="1055"/>
  <c r="W134" i="1055"/>
  <c r="W167" i="1055"/>
  <c r="W131" i="1055"/>
  <c r="W55" i="1055" s="1"/>
  <c r="W133" i="1055"/>
  <c r="W65" i="1055"/>
  <c r="K175" i="1054"/>
  <c r="L18" i="1054"/>
  <c r="X18" i="1054"/>
  <c r="L179" i="1053"/>
  <c r="L168" i="1053"/>
  <c r="L167" i="1053"/>
  <c r="L139" i="1053"/>
  <c r="L217" i="1053"/>
  <c r="L134" i="1053"/>
  <c r="L133" i="1053"/>
  <c r="L132" i="1053"/>
  <c r="L131" i="1053"/>
  <c r="Y4" i="1053"/>
  <c r="M4" i="1053"/>
  <c r="V211" i="1056"/>
  <c r="V99" i="1056"/>
  <c r="V140" i="1056"/>
  <c r="W171" i="1056"/>
  <c r="W57" i="1056"/>
  <c r="K176" i="1056"/>
  <c r="X19" i="1056"/>
  <c r="L19" i="1056"/>
  <c r="J215" i="1054"/>
  <c r="J103" i="1054"/>
  <c r="J184" i="1054"/>
  <c r="J185" i="1054"/>
  <c r="L221" i="1055"/>
  <c r="L109" i="1055"/>
  <c r="M181" i="1055"/>
  <c r="L51" i="1053"/>
  <c r="X51" i="1053"/>
  <c r="W217" i="1056"/>
  <c r="W179" i="1056"/>
  <c r="W169" i="1056"/>
  <c r="W167" i="1056"/>
  <c r="W139" i="1056"/>
  <c r="W132" i="1056"/>
  <c r="W168" i="1056"/>
  <c r="W131" i="1056"/>
  <c r="W134" i="1056"/>
  <c r="W133" i="1056"/>
  <c r="W65" i="1056"/>
  <c r="V210" i="1055"/>
  <c r="V98" i="1055"/>
  <c r="W182" i="1053"/>
  <c r="W68" i="1053"/>
  <c r="Z195" i="1053"/>
  <c r="Z194" i="1053"/>
  <c r="Z80" i="1053"/>
  <c r="Z77" i="1053"/>
  <c r="D171" i="1053"/>
  <c r="B58" i="1053"/>
  <c r="L49" i="1053"/>
  <c r="X49" i="1053"/>
  <c r="U203" i="1056"/>
  <c r="U91" i="1056"/>
  <c r="U142" i="1056"/>
  <c r="U143" i="1056" s="1"/>
  <c r="U70" i="1056"/>
  <c r="J209" i="1055"/>
  <c r="J97" i="1055"/>
  <c r="U110" i="1053"/>
  <c r="V55" i="1054"/>
  <c r="V70" i="1054" s="1"/>
  <c r="J205" i="1053"/>
  <c r="J93" i="1053"/>
  <c r="V212" i="1056"/>
  <c r="V100" i="1056"/>
  <c r="H146" i="1054"/>
  <c r="G127" i="1056"/>
  <c r="G44" i="1056"/>
  <c r="K56" i="1055"/>
  <c r="K215" i="1055"/>
  <c r="K103" i="1055"/>
  <c r="K185" i="1055"/>
  <c r="K184" i="1055"/>
  <c r="K57" i="1055"/>
  <c r="K175" i="1055"/>
  <c r="X18" i="1055"/>
  <c r="L18" i="1055"/>
  <c r="L61" i="1055" s="1"/>
  <c r="Y22" i="1056"/>
  <c r="M22" i="1056"/>
  <c r="J211" i="1056"/>
  <c r="J99" i="1056"/>
  <c r="J140" i="1056"/>
  <c r="J214" i="1056"/>
  <c r="J102" i="1056"/>
  <c r="G122" i="1054"/>
  <c r="G144" i="1056"/>
  <c r="K90" i="1054"/>
  <c r="K202" i="1054"/>
  <c r="V202" i="1053"/>
  <c r="V90" i="1053"/>
  <c r="V142" i="1053"/>
  <c r="V143" i="1053" s="1"/>
  <c r="V89" i="1053"/>
  <c r="V117" i="1053"/>
  <c r="G120" i="1055"/>
  <c r="G119" i="1055"/>
  <c r="G120" i="1056"/>
  <c r="G119" i="1056"/>
  <c r="V213" i="1053"/>
  <c r="V101" i="1053"/>
  <c r="G120" i="1053"/>
  <c r="G119" i="1053"/>
  <c r="H225" i="1056"/>
  <c r="H113" i="1056"/>
  <c r="H114" i="1056" s="1"/>
  <c r="H115" i="1056" s="1"/>
  <c r="H116" i="1056" s="1"/>
  <c r="H126" i="1056" s="1"/>
  <c r="W171" i="1055"/>
  <c r="W57" i="1055"/>
  <c r="V209" i="1054"/>
  <c r="V97" i="1054"/>
  <c r="H127" i="1056"/>
  <c r="M49" i="1055"/>
  <c r="Y49" i="1055"/>
  <c r="K217" i="1055"/>
  <c r="K168" i="1055"/>
  <c r="K133" i="1055"/>
  <c r="K139" i="1055"/>
  <c r="K132" i="1055"/>
  <c r="K179" i="1055"/>
  <c r="K167" i="1055"/>
  <c r="K134" i="1055"/>
  <c r="K131" i="1055"/>
  <c r="X4" i="1055"/>
  <c r="L4" i="1055"/>
  <c r="W61" i="1054"/>
  <c r="W175" i="1054"/>
  <c r="K132" i="1053"/>
  <c r="V210" i="1053"/>
  <c r="V98" i="1053"/>
  <c r="V214" i="1056"/>
  <c r="V102" i="1056"/>
  <c r="D171" i="1054"/>
  <c r="B58" i="1054"/>
  <c r="K171" i="1056"/>
  <c r="X14" i="1056"/>
  <c r="L14" i="1056"/>
  <c r="D227" i="1056"/>
  <c r="B116" i="1056"/>
  <c r="J55" i="1054"/>
  <c r="V205" i="1054"/>
  <c r="V93" i="1054"/>
  <c r="U141" i="1053"/>
  <c r="U148" i="1053" s="1"/>
  <c r="Y13" i="1056"/>
  <c r="Y56" i="1056" s="1"/>
  <c r="M13" i="1056"/>
  <c r="Q228" i="1053"/>
  <c r="R29" i="1053"/>
  <c r="AD29" i="1053"/>
  <c r="AD228" i="1053" s="1"/>
  <c r="Y13" i="1053"/>
  <c r="Y56" i="1053" s="1"/>
  <c r="M13" i="1053"/>
  <c r="K172" i="1055"/>
  <c r="X15" i="1055"/>
  <c r="L15" i="1055"/>
  <c r="L58" i="1055" s="1"/>
  <c r="U145" i="1053"/>
  <c r="U146" i="1053" s="1"/>
  <c r="V103" i="1054"/>
  <c r="V215" i="1054"/>
  <c r="V184" i="1054"/>
  <c r="V185" i="1054"/>
  <c r="J215" i="1053"/>
  <c r="J103" i="1053"/>
  <c r="J185" i="1053"/>
  <c r="J184" i="1053"/>
  <c r="J209" i="1053"/>
  <c r="J97" i="1053"/>
  <c r="K149" i="1056"/>
  <c r="K213" i="1055"/>
  <c r="K101" i="1055"/>
  <c r="K209" i="1055"/>
  <c r="K97" i="1055"/>
  <c r="W175" i="1055"/>
  <c r="W61" i="1055"/>
  <c r="H126" i="1054"/>
  <c r="J204" i="1056"/>
  <c r="J92" i="1056"/>
  <c r="J70" i="1054"/>
  <c r="T122" i="1051"/>
  <c r="I117" i="1051"/>
  <c r="K71" i="1054"/>
  <c r="K207" i="1054"/>
  <c r="K95" i="1054"/>
  <c r="K221" i="1056"/>
  <c r="K109" i="1056"/>
  <c r="I225" i="1053"/>
  <c r="I113" i="1053"/>
  <c r="I114" i="1053" s="1"/>
  <c r="I115" i="1053" s="1"/>
  <c r="I116" i="1053" s="1"/>
  <c r="I126" i="1053" s="1"/>
  <c r="K178" i="1054"/>
  <c r="X21" i="1054"/>
  <c r="L21" i="1054"/>
  <c r="V102" i="1053"/>
  <c r="V214" i="1053"/>
  <c r="V207" i="1053"/>
  <c r="V95" i="1053"/>
  <c r="N51" i="1054"/>
  <c r="Z51" i="1054"/>
  <c r="W177" i="1056"/>
  <c r="W63" i="1056"/>
  <c r="V202" i="1055"/>
  <c r="V142" i="1055"/>
  <c r="V143" i="1055" s="1"/>
  <c r="V89" i="1055"/>
  <c r="V90" i="1055"/>
  <c r="J207" i="1055"/>
  <c r="J95" i="1055"/>
  <c r="L12" i="1054"/>
  <c r="X12" i="1054"/>
  <c r="K166" i="1054"/>
  <c r="K165" i="1054"/>
  <c r="K169" i="1054" s="1"/>
  <c r="I110" i="1053"/>
  <c r="Y49" i="1056"/>
  <c r="M49" i="1056"/>
  <c r="X11" i="1055"/>
  <c r="L11" i="1055"/>
  <c r="L108" i="1055" s="1"/>
  <c r="K236" i="1055"/>
  <c r="K104" i="1055"/>
  <c r="P228" i="1054"/>
  <c r="Q29" i="1054"/>
  <c r="AC29" i="1054"/>
  <c r="AC228" i="1054" s="1"/>
  <c r="V213" i="1056"/>
  <c r="V101" i="1056"/>
  <c r="V55" i="1056"/>
  <c r="W71" i="1056"/>
  <c r="G86" i="1055"/>
  <c r="T44" i="1055"/>
  <c r="T86" i="1055" s="1"/>
  <c r="Y49" i="1054"/>
  <c r="M49" i="1054"/>
  <c r="X12" i="1055"/>
  <c r="L12" i="1055"/>
  <c r="K165" i="1055"/>
  <c r="K169" i="1055" s="1"/>
  <c r="K166" i="1055"/>
  <c r="V211" i="1053"/>
  <c r="V99" i="1053"/>
  <c r="V140" i="1053"/>
  <c r="V205" i="1056"/>
  <c r="V93" i="1056"/>
  <c r="M50" i="1055"/>
  <c r="Y50" i="1055"/>
  <c r="X204" i="1056"/>
  <c r="X92" i="1056"/>
  <c r="T44" i="1054"/>
  <c r="T86" i="1054" s="1"/>
  <c r="G86" i="1054"/>
  <c r="AE195" i="1056"/>
  <c r="AE80" i="1056"/>
  <c r="AE194" i="1056"/>
  <c r="AE77" i="1056"/>
  <c r="K171" i="1054"/>
  <c r="L14" i="1054"/>
  <c r="X14" i="1054"/>
  <c r="Y50" i="1056"/>
  <c r="M50" i="1056"/>
  <c r="U112" i="1055"/>
  <c r="Y51" i="1056"/>
  <c r="M51" i="1056"/>
  <c r="X204" i="1053"/>
  <c r="X92" i="1053"/>
  <c r="W172" i="1055"/>
  <c r="W58" i="1055"/>
  <c r="K63" i="1053"/>
  <c r="K53" i="1053"/>
  <c r="K108" i="1053"/>
  <c r="K61" i="1053"/>
  <c r="K57" i="1053"/>
  <c r="L8" i="1053"/>
  <c r="K65" i="1053"/>
  <c r="K55" i="1053"/>
  <c r="K69" i="1053"/>
  <c r="K62" i="1053"/>
  <c r="K58" i="1053"/>
  <c r="K67" i="1053"/>
  <c r="K64" i="1053"/>
  <c r="K59" i="1053"/>
  <c r="K54" i="1053"/>
  <c r="K60" i="1053"/>
  <c r="K68" i="1053"/>
  <c r="K56" i="1053"/>
  <c r="K66" i="1053"/>
  <c r="X8" i="1053"/>
  <c r="V207" i="1055"/>
  <c r="V95" i="1055"/>
  <c r="K59" i="1055"/>
  <c r="T122" i="1056"/>
  <c r="J208" i="1056"/>
  <c r="J96" i="1056"/>
  <c r="D171" i="1056"/>
  <c r="B58" i="1056"/>
  <c r="H120" i="1052"/>
  <c r="H119" i="1052"/>
  <c r="J91" i="1051"/>
  <c r="J203" i="1051"/>
  <c r="X174" i="1051"/>
  <c r="X60" i="1051"/>
  <c r="U219" i="1052"/>
  <c r="U106" i="1052"/>
  <c r="U110" i="1052" s="1"/>
  <c r="L13" i="1052"/>
  <c r="X13" i="1052"/>
  <c r="X56" i="1052" s="1"/>
  <c r="J204" i="1051"/>
  <c r="J92" i="1051"/>
  <c r="J210" i="1051"/>
  <c r="J98" i="1051"/>
  <c r="W178" i="1052"/>
  <c r="W64" i="1052"/>
  <c r="D227" i="1051"/>
  <c r="B116" i="1051"/>
  <c r="U112" i="1052"/>
  <c r="X178" i="1051"/>
  <c r="X64" i="1051"/>
  <c r="L49" i="1051"/>
  <c r="X49" i="1051"/>
  <c r="H127" i="1052"/>
  <c r="T147" i="1052"/>
  <c r="L197" i="1052"/>
  <c r="L196" i="1052"/>
  <c r="L198" i="1052"/>
  <c r="U146" i="1051"/>
  <c r="U141" i="1051"/>
  <c r="U148" i="1051" s="1"/>
  <c r="K149" i="1051"/>
  <c r="M11" i="1051"/>
  <c r="Y11" i="1051"/>
  <c r="L104" i="1051"/>
  <c r="L236" i="1051"/>
  <c r="V55" i="1052"/>
  <c r="W213" i="1051"/>
  <c r="W101" i="1051"/>
  <c r="M17" i="1051"/>
  <c r="Y17" i="1051"/>
  <c r="J55" i="1052"/>
  <c r="W165" i="1051"/>
  <c r="W169" i="1051" s="1"/>
  <c r="W166" i="1051"/>
  <c r="W131" i="1051"/>
  <c r="W134" i="1051"/>
  <c r="W132" i="1051"/>
  <c r="W133" i="1051"/>
  <c r="K211" i="1052"/>
  <c r="K99" i="1052"/>
  <c r="L13" i="1051"/>
  <c r="X13" i="1051"/>
  <c r="X56" i="1051" s="1"/>
  <c r="W174" i="1052"/>
  <c r="W60" i="1052"/>
  <c r="J208" i="1051"/>
  <c r="J96" i="1051"/>
  <c r="K178" i="1052"/>
  <c r="L21" i="1052"/>
  <c r="X21" i="1052"/>
  <c r="G110" i="1052"/>
  <c r="O4" i="1051"/>
  <c r="AA4" i="1051"/>
  <c r="V211" i="1052"/>
  <c r="V99" i="1052"/>
  <c r="V140" i="1052"/>
  <c r="W172" i="1051"/>
  <c r="W58" i="1051"/>
  <c r="M21" i="1051"/>
  <c r="Y21" i="1051"/>
  <c r="U117" i="1052"/>
  <c r="K173" i="1052"/>
  <c r="L16" i="1052"/>
  <c r="L59" i="1052" s="1"/>
  <c r="X16" i="1052"/>
  <c r="K59" i="1052"/>
  <c r="K214" i="1052"/>
  <c r="K102" i="1052"/>
  <c r="W204" i="1051"/>
  <c r="W92" i="1051"/>
  <c r="V205" i="1052"/>
  <c r="V93" i="1052"/>
  <c r="K177" i="1051"/>
  <c r="V208" i="1052"/>
  <c r="V96" i="1052"/>
  <c r="V206" i="1052"/>
  <c r="V94" i="1052"/>
  <c r="J197" i="1051"/>
  <c r="J196" i="1051"/>
  <c r="J198" i="1051"/>
  <c r="T144" i="1052"/>
  <c r="W172" i="1052"/>
  <c r="W58" i="1052"/>
  <c r="T148" i="1051"/>
  <c r="T145" i="1051"/>
  <c r="T146" i="1051" s="1"/>
  <c r="V203" i="1051"/>
  <c r="V91" i="1051"/>
  <c r="V215" i="1052"/>
  <c r="V103" i="1052"/>
  <c r="V184" i="1052"/>
  <c r="V185" i="1052"/>
  <c r="L12" i="1051"/>
  <c r="X12" i="1051"/>
  <c r="K134" i="1051"/>
  <c r="K133" i="1051"/>
  <c r="K165" i="1051"/>
  <c r="K169" i="1051" s="1"/>
  <c r="K131" i="1051"/>
  <c r="K132" i="1051"/>
  <c r="K166" i="1051"/>
  <c r="V141" i="1051"/>
  <c r="W182" i="1052"/>
  <c r="W68" i="1052"/>
  <c r="J211" i="1052"/>
  <c r="J99" i="1052"/>
  <c r="J140" i="1052"/>
  <c r="K71" i="1052"/>
  <c r="V142" i="1052"/>
  <c r="V143" i="1052" s="1"/>
  <c r="V202" i="1052"/>
  <c r="V90" i="1052"/>
  <c r="W207" i="1051"/>
  <c r="W95" i="1051"/>
  <c r="W175" i="1052"/>
  <c r="W61" i="1052"/>
  <c r="W165" i="1052"/>
  <c r="W166" i="1052"/>
  <c r="W130" i="1052"/>
  <c r="W164" i="1052" s="1"/>
  <c r="W129" i="1052"/>
  <c r="W163" i="1052" s="1"/>
  <c r="W123" i="1052"/>
  <c r="W125" i="1052"/>
  <c r="W69" i="1052"/>
  <c r="W54" i="1052"/>
  <c r="W53" i="1052"/>
  <c r="W181" i="1052"/>
  <c r="W180" i="1052"/>
  <c r="W104" i="1052"/>
  <c r="W66" i="1052"/>
  <c r="W216" i="1052"/>
  <c r="W67" i="1052"/>
  <c r="W236" i="1052"/>
  <c r="K174" i="1052"/>
  <c r="L17" i="1052"/>
  <c r="X17" i="1052"/>
  <c r="J103" i="1051"/>
  <c r="J215" i="1051"/>
  <c r="J184" i="1051"/>
  <c r="J185" i="1051"/>
  <c r="V213" i="1052"/>
  <c r="V101" i="1052"/>
  <c r="K172" i="1051"/>
  <c r="L15" i="1051"/>
  <c r="X15" i="1051"/>
  <c r="J215" i="1052"/>
  <c r="J103" i="1052"/>
  <c r="J185" i="1052"/>
  <c r="J184" i="1052"/>
  <c r="T147" i="1050"/>
  <c r="J111" i="1051"/>
  <c r="J121" i="1051"/>
  <c r="AE194" i="1051"/>
  <c r="AE80" i="1051"/>
  <c r="AE77" i="1051"/>
  <c r="AE195" i="1051"/>
  <c r="W209" i="1051"/>
  <c r="W97" i="1051"/>
  <c r="K172" i="1052"/>
  <c r="L15" i="1052"/>
  <c r="X15" i="1052"/>
  <c r="Z51" i="1052"/>
  <c r="N51" i="1052"/>
  <c r="J209" i="1052"/>
  <c r="J97" i="1052"/>
  <c r="G86" i="1051"/>
  <c r="T44" i="1051"/>
  <c r="T86" i="1051" s="1"/>
  <c r="T112" i="1051" s="1"/>
  <c r="W202" i="1051"/>
  <c r="W90" i="1051"/>
  <c r="X173" i="1051"/>
  <c r="X59" i="1051"/>
  <c r="K182" i="1052"/>
  <c r="L23" i="1052"/>
  <c r="X23" i="1052"/>
  <c r="L66" i="1052"/>
  <c r="L60" i="1052"/>
  <c r="L56" i="1052"/>
  <c r="L53" i="1052"/>
  <c r="L68" i="1052"/>
  <c r="L67" i="1052"/>
  <c r="L64" i="1052"/>
  <c r="L69" i="1052"/>
  <c r="L61" i="1052"/>
  <c r="L58" i="1052"/>
  <c r="Y8" i="1052"/>
  <c r="L54" i="1052"/>
  <c r="M8" i="1052"/>
  <c r="K56" i="1052"/>
  <c r="K213" i="1052"/>
  <c r="K101" i="1052"/>
  <c r="V70" i="1052"/>
  <c r="V71" i="1052"/>
  <c r="K175" i="1052"/>
  <c r="L18" i="1052"/>
  <c r="X18" i="1052"/>
  <c r="I219" i="1051"/>
  <c r="I106" i="1051"/>
  <c r="L12" i="1052"/>
  <c r="X12" i="1052"/>
  <c r="K165" i="1052"/>
  <c r="K169" i="1052" s="1"/>
  <c r="K166" i="1052"/>
  <c r="L11" i="1052"/>
  <c r="X11" i="1052"/>
  <c r="K236" i="1052"/>
  <c r="K104" i="1052"/>
  <c r="W211" i="1051"/>
  <c r="W99" i="1051"/>
  <c r="W140" i="1051"/>
  <c r="K69" i="1051"/>
  <c r="K108" i="1051"/>
  <c r="K65" i="1051"/>
  <c r="K55" i="1051"/>
  <c r="K62" i="1051"/>
  <c r="K58" i="1051"/>
  <c r="K64" i="1051"/>
  <c r="K59" i="1051"/>
  <c r="K54" i="1051"/>
  <c r="K71" i="1051" s="1"/>
  <c r="K68" i="1051"/>
  <c r="K60" i="1051"/>
  <c r="K56" i="1051"/>
  <c r="K63" i="1051"/>
  <c r="K53" i="1051"/>
  <c r="L8" i="1051"/>
  <c r="K67" i="1051"/>
  <c r="X8" i="1051"/>
  <c r="K66" i="1051"/>
  <c r="K57" i="1051"/>
  <c r="K61" i="1051"/>
  <c r="V210" i="1052"/>
  <c r="V98" i="1052"/>
  <c r="V214" i="1052"/>
  <c r="V102" i="1052"/>
  <c r="W210" i="1051"/>
  <c r="W98" i="1051"/>
  <c r="T122" i="1052"/>
  <c r="I203" i="1052"/>
  <c r="I91" i="1052"/>
  <c r="I142" i="1052"/>
  <c r="I143" i="1052" s="1"/>
  <c r="I70" i="1052"/>
  <c r="I89" i="1052" s="1"/>
  <c r="K228" i="1052"/>
  <c r="X29" i="1052"/>
  <c r="X228" i="1052" s="1"/>
  <c r="P228" i="1052"/>
  <c r="Q29" i="1052"/>
  <c r="AC29" i="1052"/>
  <c r="AC228" i="1052" s="1"/>
  <c r="J96" i="1052"/>
  <c r="J208" i="1052"/>
  <c r="D227" i="1052"/>
  <c r="B116" i="1052"/>
  <c r="Z50" i="1052"/>
  <c r="N50" i="1052"/>
  <c r="V207" i="1052"/>
  <c r="V95" i="1052"/>
  <c r="U141" i="1052"/>
  <c r="L173" i="1051"/>
  <c r="M16" i="1051"/>
  <c r="Y16" i="1051"/>
  <c r="K202" i="1052"/>
  <c r="K90" i="1052"/>
  <c r="K209" i="1052"/>
  <c r="K97" i="1052"/>
  <c r="K205" i="1052"/>
  <c r="K93" i="1052"/>
  <c r="D171" i="1052"/>
  <c r="B58" i="1052"/>
  <c r="AA195" i="1051"/>
  <c r="AA77" i="1051"/>
  <c r="AA194" i="1051"/>
  <c r="AA80" i="1051"/>
  <c r="N192" i="1052"/>
  <c r="N194" i="1052"/>
  <c r="N193" i="1052"/>
  <c r="N195" i="1052"/>
  <c r="N77" i="1052"/>
  <c r="AF77" i="1052" s="1"/>
  <c r="AA6" i="1052"/>
  <c r="M180" i="1052"/>
  <c r="G148" i="1052"/>
  <c r="G144" i="1052"/>
  <c r="J70" i="1052"/>
  <c r="H119" i="1051"/>
  <c r="H120" i="1051"/>
  <c r="W171" i="1052"/>
  <c r="W57" i="1052"/>
  <c r="X176" i="1051"/>
  <c r="X62" i="1051"/>
  <c r="V212" i="1052"/>
  <c r="V100" i="1052"/>
  <c r="J71" i="1051"/>
  <c r="J205" i="1051"/>
  <c r="J93" i="1051"/>
  <c r="J221" i="1051"/>
  <c r="J109" i="1051"/>
  <c r="J70" i="1051"/>
  <c r="J89" i="1051" s="1"/>
  <c r="W176" i="1052"/>
  <c r="W62" i="1052"/>
  <c r="L51" i="1051"/>
  <c r="X51" i="1051"/>
  <c r="W177" i="1052"/>
  <c r="W63" i="1052"/>
  <c r="H144" i="1052"/>
  <c r="W71" i="1051"/>
  <c r="U145" i="1052"/>
  <c r="U147" i="1052" s="1"/>
  <c r="U148" i="1052"/>
  <c r="K217" i="1052"/>
  <c r="K167" i="1052"/>
  <c r="K179" i="1052"/>
  <c r="K168" i="1052"/>
  <c r="K133" i="1052"/>
  <c r="K139" i="1052"/>
  <c r="K131" i="1052"/>
  <c r="K55" i="1052" s="1"/>
  <c r="K134" i="1052"/>
  <c r="K132" i="1052"/>
  <c r="X4" i="1052"/>
  <c r="L4" i="1052"/>
  <c r="L65" i="1052" s="1"/>
  <c r="W215" i="1051"/>
  <c r="W103" i="1051"/>
  <c r="W185" i="1051"/>
  <c r="W184" i="1051"/>
  <c r="K208" i="1052"/>
  <c r="K96" i="1052"/>
  <c r="K215" i="1052"/>
  <c r="K103" i="1052"/>
  <c r="K184" i="1052"/>
  <c r="K185" i="1052"/>
  <c r="V121" i="1052"/>
  <c r="V111" i="1052"/>
  <c r="W208" i="1051"/>
  <c r="W96" i="1051"/>
  <c r="Z80" i="1052"/>
  <c r="Z77" i="1052"/>
  <c r="Z195" i="1052"/>
  <c r="Z194" i="1052"/>
  <c r="J71" i="1052"/>
  <c r="D171" i="1051"/>
  <c r="B58" i="1051"/>
  <c r="K171" i="1052"/>
  <c r="L14" i="1052"/>
  <c r="L57" i="1052" s="1"/>
  <c r="X14" i="1052"/>
  <c r="M19" i="1051"/>
  <c r="Y19" i="1051"/>
  <c r="J99" i="1051"/>
  <c r="J211" i="1051"/>
  <c r="J140" i="1051"/>
  <c r="J207" i="1051"/>
  <c r="J95" i="1051"/>
  <c r="J209" i="1051"/>
  <c r="J97" i="1051"/>
  <c r="L9" i="1051"/>
  <c r="K88" i="1051" a="1"/>
  <c r="K88" i="1051" s="1"/>
  <c r="X9" i="1051"/>
  <c r="X88" i="1051" s="1"/>
  <c r="X109" i="1051" s="1"/>
  <c r="I112" i="1051"/>
  <c r="K176" i="1052"/>
  <c r="L19" i="1052"/>
  <c r="X19" i="1052"/>
  <c r="H144" i="1051"/>
  <c r="V206" i="1051"/>
  <c r="V94" i="1051"/>
  <c r="M22" i="1051"/>
  <c r="Y22" i="1051"/>
  <c r="I112" i="1052"/>
  <c r="K177" i="1052"/>
  <c r="L20" i="1052"/>
  <c r="X20" i="1052"/>
  <c r="W212" i="1051"/>
  <c r="W100" i="1051"/>
  <c r="K129" i="1051"/>
  <c r="K163" i="1051" s="1"/>
  <c r="K123" i="1051"/>
  <c r="K125" i="1051"/>
  <c r="K130" i="1051" a="1"/>
  <c r="K130" i="1051" s="1"/>
  <c r="K164" i="1051" s="1"/>
  <c r="L10" i="1051"/>
  <c r="K217" i="1051"/>
  <c r="K179" i="1051"/>
  <c r="K180" i="1051"/>
  <c r="K167" i="1051"/>
  <c r="K181" i="1051"/>
  <c r="K139" i="1051"/>
  <c r="K168" i="1051"/>
  <c r="K216" i="1051" a="1"/>
  <c r="K216" i="1051" s="1"/>
  <c r="M88" i="1052" a="1"/>
  <c r="M88" i="1052" s="1"/>
  <c r="Z9" i="1052"/>
  <c r="Z88" i="1052" s="1"/>
  <c r="Z109" i="1052" s="1"/>
  <c r="N9" i="1052"/>
  <c r="W171" i="1051"/>
  <c r="W57" i="1051"/>
  <c r="K171" i="1051"/>
  <c r="L14" i="1051"/>
  <c r="X14" i="1051"/>
  <c r="X175" i="1051"/>
  <c r="X61" i="1051"/>
  <c r="M129" i="1052"/>
  <c r="M163" i="1052" s="1"/>
  <c r="M123" i="1052"/>
  <c r="M125" i="1052"/>
  <c r="M130" i="1052" a="1"/>
  <c r="M130" i="1052" s="1"/>
  <c r="M164" i="1052" s="1"/>
  <c r="N10" i="1052"/>
  <c r="N181" i="1052" s="1"/>
  <c r="M216" i="1052" a="1"/>
  <c r="M216" i="1052" s="1"/>
  <c r="V209" i="1052"/>
  <c r="V97" i="1052"/>
  <c r="I145" i="1051"/>
  <c r="I147" i="1051" s="1"/>
  <c r="X182" i="1051"/>
  <c r="X68" i="1051"/>
  <c r="W196" i="1051"/>
  <c r="W197" i="1051"/>
  <c r="W198" i="1051"/>
  <c r="U89" i="1052"/>
  <c r="W217" i="1052"/>
  <c r="W134" i="1052"/>
  <c r="W179" i="1052"/>
  <c r="W168" i="1052"/>
  <c r="W133" i="1052"/>
  <c r="W169" i="1052"/>
  <c r="W132" i="1052"/>
  <c r="W139" i="1052"/>
  <c r="W131" i="1052"/>
  <c r="W167" i="1052"/>
  <c r="W65" i="1052"/>
  <c r="H225" i="1052"/>
  <c r="H113" i="1052"/>
  <c r="H114" i="1052"/>
  <c r="H115" i="1052" s="1"/>
  <c r="H116" i="1052" s="1"/>
  <c r="H126" i="1052" s="1"/>
  <c r="K210" i="1052"/>
  <c r="K98" i="1052"/>
  <c r="Q228" i="1051"/>
  <c r="R29" i="1051"/>
  <c r="AD29" i="1051"/>
  <c r="AD228" i="1051" s="1"/>
  <c r="X177" i="1051"/>
  <c r="X63" i="1051"/>
  <c r="AF77" i="1051"/>
  <c r="K176" i="1051"/>
  <c r="J212" i="1051"/>
  <c r="J100" i="1051"/>
  <c r="J213" i="1051"/>
  <c r="J101" i="1051"/>
  <c r="Z49" i="1052"/>
  <c r="N49" i="1052"/>
  <c r="L50" i="1051"/>
  <c r="X50" i="1051"/>
  <c r="U113" i="1051"/>
  <c r="U225" i="1051" s="1"/>
  <c r="X130" i="1051"/>
  <c r="X164" i="1051" s="1"/>
  <c r="X125" i="1051"/>
  <c r="X129" i="1051"/>
  <c r="X163" i="1051" s="1"/>
  <c r="X123" i="1051"/>
  <c r="X69" i="1051"/>
  <c r="X53" i="1051"/>
  <c r="X54" i="1051"/>
  <c r="X181" i="1051"/>
  <c r="X180" i="1051"/>
  <c r="X216" i="1051"/>
  <c r="X66" i="1051"/>
  <c r="X104" i="1051"/>
  <c r="X67" i="1051"/>
  <c r="X65" i="1051"/>
  <c r="X168" i="1051"/>
  <c r="X139" i="1051"/>
  <c r="X217" i="1051"/>
  <c r="X179" i="1051"/>
  <c r="X167" i="1051"/>
  <c r="X236" i="1051"/>
  <c r="I89" i="1050"/>
  <c r="I141" i="1051"/>
  <c r="I148" i="1051" s="1"/>
  <c r="T219" i="1051"/>
  <c r="T106" i="1051"/>
  <c r="L221" i="1052"/>
  <c r="L109" i="1052"/>
  <c r="V70" i="1051"/>
  <c r="V89" i="1051" s="1"/>
  <c r="L175" i="1051"/>
  <c r="M18" i="1051"/>
  <c r="Y18" i="1051"/>
  <c r="L121" i="1052"/>
  <c r="L111" i="1052"/>
  <c r="U219" i="1051"/>
  <c r="U106" i="1051"/>
  <c r="U110" i="1051" s="1"/>
  <c r="U89" i="1051"/>
  <c r="Q30" i="1051"/>
  <c r="AC30" i="1051"/>
  <c r="L182" i="1051"/>
  <c r="M23" i="1051"/>
  <c r="Y23" i="1051"/>
  <c r="W214" i="1051"/>
  <c r="W102" i="1051"/>
  <c r="W111" i="1051"/>
  <c r="W121" i="1051"/>
  <c r="L22" i="1052"/>
  <c r="X22" i="1052"/>
  <c r="W173" i="1052"/>
  <c r="W59" i="1052"/>
  <c r="I141" i="1052"/>
  <c r="V142" i="1051"/>
  <c r="V143" i="1051" s="1"/>
  <c r="K58" i="1052"/>
  <c r="K212" i="1052"/>
  <c r="K100" i="1052"/>
  <c r="V196" i="1052"/>
  <c r="V198" i="1052"/>
  <c r="V197" i="1052"/>
  <c r="L177" i="1051"/>
  <c r="M20" i="1051"/>
  <c r="Y20" i="1051"/>
  <c r="W204" i="1052"/>
  <c r="W92" i="1052"/>
  <c r="J202" i="1051"/>
  <c r="J142" i="1051"/>
  <c r="J143" i="1051" s="1"/>
  <c r="J90" i="1051"/>
  <c r="J206" i="1051"/>
  <c r="J94" i="1051"/>
  <c r="J214" i="1051"/>
  <c r="J102" i="1051"/>
  <c r="G127" i="1052"/>
  <c r="G44" i="1052"/>
  <c r="V93" i="1051"/>
  <c r="V205" i="1051"/>
  <c r="K178" i="1051"/>
  <c r="G122" i="1051"/>
  <c r="V219" i="1050"/>
  <c r="V106" i="1050"/>
  <c r="J203" i="1050"/>
  <c r="J91" i="1050"/>
  <c r="J208" i="1050"/>
  <c r="J96" i="1050"/>
  <c r="J197" i="1050"/>
  <c r="J196" i="1050"/>
  <c r="J198" i="1050"/>
  <c r="V203" i="1050"/>
  <c r="V91" i="1050"/>
  <c r="J210" i="1050"/>
  <c r="J98" i="1050"/>
  <c r="V209" i="1050"/>
  <c r="V97" i="1050"/>
  <c r="W173" i="1050"/>
  <c r="W59" i="1050"/>
  <c r="W214" i="1050"/>
  <c r="W102" i="1050"/>
  <c r="W198" i="1050"/>
  <c r="W196" i="1050"/>
  <c r="W197" i="1050"/>
  <c r="X215" i="1050"/>
  <c r="X103" i="1050"/>
  <c r="X185" i="1050"/>
  <c r="X184" i="1050"/>
  <c r="J213" i="1050"/>
  <c r="J101" i="1050"/>
  <c r="H225" i="1050"/>
  <c r="H113" i="1050"/>
  <c r="H114" i="1050" s="1"/>
  <c r="H115" i="1050" s="1"/>
  <c r="H116" i="1050" s="1"/>
  <c r="H126" i="1050" s="1"/>
  <c r="I110" i="1050"/>
  <c r="W210" i="1050"/>
  <c r="W98" i="1050"/>
  <c r="U89" i="1050"/>
  <c r="Y18" i="1050"/>
  <c r="M18" i="1050"/>
  <c r="K172" i="1050"/>
  <c r="X15" i="1050"/>
  <c r="L15" i="1050"/>
  <c r="J204" i="1050"/>
  <c r="J92" i="1050"/>
  <c r="H120" i="1050"/>
  <c r="H119" i="1050"/>
  <c r="V205" i="1050"/>
  <c r="V93" i="1050"/>
  <c r="W58" i="1050"/>
  <c r="W172" i="1050"/>
  <c r="K173" i="1050"/>
  <c r="X16" i="1050"/>
  <c r="L16" i="1050"/>
  <c r="W111" i="1050"/>
  <c r="W121" i="1050"/>
  <c r="G148" i="1050"/>
  <c r="G144" i="1050"/>
  <c r="J215" i="1050"/>
  <c r="J103" i="1050"/>
  <c r="J184" i="1050"/>
  <c r="J185" i="1050"/>
  <c r="Y22" i="1050"/>
  <c r="M22" i="1050"/>
  <c r="I145" i="1050"/>
  <c r="W217" i="1050"/>
  <c r="W132" i="1050"/>
  <c r="W133" i="1050"/>
  <c r="W139" i="1050"/>
  <c r="W168" i="1050"/>
  <c r="W179" i="1050"/>
  <c r="W134" i="1050"/>
  <c r="W131" i="1050"/>
  <c r="W167" i="1050"/>
  <c r="W65" i="1050"/>
  <c r="W208" i="1050"/>
  <c r="W96" i="1050"/>
  <c r="X12" i="1050"/>
  <c r="L12" i="1050"/>
  <c r="K166" i="1050"/>
  <c r="K165" i="1050"/>
  <c r="V71" i="1050"/>
  <c r="V112" i="1050" s="1"/>
  <c r="W209" i="1050"/>
  <c r="W97" i="1050"/>
  <c r="Y50" i="1050"/>
  <c r="M50" i="1050"/>
  <c r="U141" i="1050"/>
  <c r="U148" i="1050" s="1"/>
  <c r="H127" i="1050"/>
  <c r="W204" i="1050"/>
  <c r="W92" i="1050"/>
  <c r="W202" i="1050"/>
  <c r="W90" i="1050"/>
  <c r="V206" i="1050"/>
  <c r="V94" i="1050"/>
  <c r="H144" i="1050"/>
  <c r="D171" i="1050"/>
  <c r="B58" i="1050"/>
  <c r="J214" i="1050"/>
  <c r="J102" i="1050"/>
  <c r="J205" i="1050"/>
  <c r="J93" i="1050"/>
  <c r="J71" i="1050"/>
  <c r="I219" i="1050"/>
  <c r="I106" i="1050"/>
  <c r="K228" i="1050"/>
  <c r="X29" i="1050"/>
  <c r="X228" i="1050" s="1"/>
  <c r="K169" i="1050"/>
  <c r="K139" i="1050"/>
  <c r="K217" i="1050"/>
  <c r="K168" i="1050"/>
  <c r="K179" i="1050"/>
  <c r="K134" i="1050"/>
  <c r="K167" i="1050"/>
  <c r="K131" i="1050"/>
  <c r="K133" i="1050"/>
  <c r="K132" i="1050"/>
  <c r="L4" i="1050"/>
  <c r="X4" i="1050"/>
  <c r="U145" i="1050"/>
  <c r="U146" i="1050" s="1"/>
  <c r="W166" i="1050"/>
  <c r="W165" i="1050"/>
  <c r="W169" i="1050" s="1"/>
  <c r="U219" i="1050"/>
  <c r="U106" i="1050"/>
  <c r="U110" i="1050" s="1"/>
  <c r="Y49" i="1050"/>
  <c r="M49" i="1050"/>
  <c r="W213" i="1050"/>
  <c r="W101" i="1050"/>
  <c r="Y11" i="1050"/>
  <c r="M11" i="1050"/>
  <c r="L104" i="1050"/>
  <c r="L236" i="1050"/>
  <c r="J206" i="1050"/>
  <c r="J94" i="1050"/>
  <c r="J209" i="1050"/>
  <c r="J97" i="1050"/>
  <c r="J207" i="1050"/>
  <c r="J95" i="1050"/>
  <c r="V208" i="1050"/>
  <c r="V96" i="1050"/>
  <c r="V142" i="1050"/>
  <c r="V143" i="1050" s="1"/>
  <c r="K88" i="1050" a="1"/>
  <c r="K88" i="1050" s="1"/>
  <c r="X9" i="1050"/>
  <c r="X88" i="1050" s="1"/>
  <c r="X109" i="1050" s="1"/>
  <c r="L9" i="1050"/>
  <c r="W171" i="1050"/>
  <c r="W57" i="1050"/>
  <c r="X174" i="1050"/>
  <c r="W71" i="1050"/>
  <c r="V204" i="1050"/>
  <c r="V92" i="1050"/>
  <c r="H147" i="1050"/>
  <c r="X10" i="1050"/>
  <c r="X61" i="1050" s="1"/>
  <c r="K149" i="1050"/>
  <c r="D227" i="1050"/>
  <c r="B116" i="1050"/>
  <c r="J202" i="1050"/>
  <c r="J142" i="1050"/>
  <c r="J143" i="1050" s="1"/>
  <c r="J90" i="1050"/>
  <c r="J212" i="1050"/>
  <c r="J100" i="1050"/>
  <c r="L176" i="1050"/>
  <c r="Y19" i="1050"/>
  <c r="M19" i="1050"/>
  <c r="V213" i="1050"/>
  <c r="V101" i="1050"/>
  <c r="AA195" i="1050"/>
  <c r="AA194" i="1050"/>
  <c r="AA80" i="1050"/>
  <c r="AA77" i="1050"/>
  <c r="K130" i="1050" a="1"/>
  <c r="K130" i="1050" s="1"/>
  <c r="K164" i="1050" s="1"/>
  <c r="K125" i="1050"/>
  <c r="K129" i="1050"/>
  <c r="K163" i="1050" s="1"/>
  <c r="K123" i="1050"/>
  <c r="L10" i="1050"/>
  <c r="L175" i="1050" s="1"/>
  <c r="K216" i="1050" a="1"/>
  <c r="K216" i="1050" s="1"/>
  <c r="K180" i="1050"/>
  <c r="K181" i="1050"/>
  <c r="K177" i="1050"/>
  <c r="K178" i="1050"/>
  <c r="N20" i="1050"/>
  <c r="Z20" i="1050"/>
  <c r="Y182" i="1050"/>
  <c r="Y68" i="1050"/>
  <c r="G44" i="1050"/>
  <c r="V140" i="1050"/>
  <c r="I146" i="1050"/>
  <c r="I141" i="1050"/>
  <c r="I148" i="1050" s="1"/>
  <c r="L174" i="1050"/>
  <c r="Y17" i="1050"/>
  <c r="M17" i="1050"/>
  <c r="X13" i="1050"/>
  <c r="X56" i="1050" s="1"/>
  <c r="L13" i="1050"/>
  <c r="Z21" i="1050"/>
  <c r="N21" i="1050"/>
  <c r="I112" i="1050"/>
  <c r="V207" i="1050"/>
  <c r="V95" i="1050"/>
  <c r="N51" i="1050"/>
  <c r="Z51" i="1050"/>
  <c r="M182" i="1050"/>
  <c r="Z23" i="1050"/>
  <c r="N23" i="1050"/>
  <c r="K108" i="1050"/>
  <c r="K68" i="1050"/>
  <c r="K66" i="1050"/>
  <c r="K60" i="1050"/>
  <c r="K56" i="1050"/>
  <c r="K63" i="1050"/>
  <c r="K53" i="1050"/>
  <c r="K61" i="1050"/>
  <c r="K57" i="1050"/>
  <c r="K65" i="1050"/>
  <c r="K55" i="1050"/>
  <c r="K69" i="1050"/>
  <c r="K62" i="1050"/>
  <c r="K58" i="1050"/>
  <c r="K64" i="1050"/>
  <c r="K59" i="1050"/>
  <c r="L8" i="1050"/>
  <c r="K54" i="1050"/>
  <c r="K71" i="1050" s="1"/>
  <c r="X8" i="1050"/>
  <c r="K67" i="1050"/>
  <c r="J211" i="1050"/>
  <c r="J99" i="1050"/>
  <c r="J140" i="1050"/>
  <c r="K171" i="1050"/>
  <c r="X14" i="1050"/>
  <c r="L14" i="1050"/>
  <c r="U112" i="1050"/>
  <c r="V214" i="1050"/>
  <c r="V102" i="1050"/>
  <c r="J121" i="1050"/>
  <c r="J111" i="1050"/>
  <c r="J221" i="1050"/>
  <c r="J70" i="1050"/>
  <c r="J109" i="1050"/>
  <c r="G110" i="1050"/>
  <c r="K203" i="1064" l="1"/>
  <c r="K91" i="1064"/>
  <c r="K70" i="1064"/>
  <c r="J113" i="1057"/>
  <c r="J114" i="1057" s="1"/>
  <c r="J115" i="1057" s="1"/>
  <c r="J116" i="1057" s="1"/>
  <c r="J225" i="1057"/>
  <c r="T225" i="1061"/>
  <c r="T113" i="1061"/>
  <c r="T114" i="1061" s="1"/>
  <c r="T115" i="1061" s="1"/>
  <c r="T116" i="1061" s="1"/>
  <c r="I120" i="1061"/>
  <c r="I119" i="1061"/>
  <c r="I119" i="1063"/>
  <c r="I120" i="1063"/>
  <c r="I127" i="1063"/>
  <c r="L98" i="1058"/>
  <c r="L210" i="1058"/>
  <c r="L211" i="1063"/>
  <c r="L99" i="1063"/>
  <c r="K141" i="1063"/>
  <c r="U120" i="1060"/>
  <c r="U119" i="1060"/>
  <c r="U122" i="1060" s="1"/>
  <c r="U127" i="1060"/>
  <c r="I120" i="1064"/>
  <c r="I119" i="1064"/>
  <c r="I127" i="1064"/>
  <c r="L205" i="1063"/>
  <c r="L93" i="1063"/>
  <c r="W208" i="1063"/>
  <c r="W96" i="1063"/>
  <c r="U120" i="1059"/>
  <c r="U119" i="1059"/>
  <c r="U122" i="1059" s="1"/>
  <c r="J225" i="1064"/>
  <c r="J113" i="1064"/>
  <c r="J114" i="1064" s="1"/>
  <c r="J115" i="1064" s="1"/>
  <c r="J116" i="1064" s="1"/>
  <c r="J126" i="1064" s="1"/>
  <c r="V113" i="1059"/>
  <c r="V225" i="1059" s="1"/>
  <c r="V114" i="1059"/>
  <c r="V115" i="1059" s="1"/>
  <c r="V116" i="1059" s="1"/>
  <c r="U119" i="1058"/>
  <c r="U122" i="1058" s="1"/>
  <c r="U120" i="1058"/>
  <c r="U127" i="1058"/>
  <c r="L215" i="1058"/>
  <c r="L103" i="1058"/>
  <c r="L185" i="1058"/>
  <c r="L184" i="1058"/>
  <c r="L215" i="1059"/>
  <c r="L103" i="1059"/>
  <c r="L184" i="1059"/>
  <c r="L185" i="1059"/>
  <c r="L203" i="1059"/>
  <c r="L91" i="1059"/>
  <c r="W141" i="1059"/>
  <c r="J219" i="1058"/>
  <c r="J106" i="1058"/>
  <c r="T113" i="1063"/>
  <c r="T114" i="1063" s="1"/>
  <c r="T115" i="1063" s="1"/>
  <c r="T116" i="1063" s="1"/>
  <c r="T126" i="1063" s="1"/>
  <c r="T225" i="1063"/>
  <c r="L212" i="1058"/>
  <c r="L100" i="1058"/>
  <c r="V112" i="1055"/>
  <c r="I144" i="1056"/>
  <c r="T144" i="1064"/>
  <c r="M12" i="1060"/>
  <c r="Y12" i="1060"/>
  <c r="L166" i="1060"/>
  <c r="L165" i="1060"/>
  <c r="K209" i="1060"/>
  <c r="K97" i="1060"/>
  <c r="AA50" i="1057"/>
  <c r="O50" i="1057"/>
  <c r="AC51" i="1059"/>
  <c r="Q51" i="1059"/>
  <c r="N88" i="1058" a="1"/>
  <c r="N88" i="1058" s="1"/>
  <c r="AA9" i="1058"/>
  <c r="AA88" i="1058" s="1"/>
  <c r="AA109" i="1058" s="1"/>
  <c r="O9" i="1058"/>
  <c r="M173" i="1059"/>
  <c r="N16" i="1059"/>
  <c r="Z16" i="1059"/>
  <c r="K71" i="1061"/>
  <c r="K70" i="1061"/>
  <c r="K215" i="1061"/>
  <c r="K103" i="1061"/>
  <c r="K184" i="1061"/>
  <c r="K185" i="1061"/>
  <c r="L176" i="1063"/>
  <c r="M19" i="1063"/>
  <c r="Y19" i="1063"/>
  <c r="I225" i="1058"/>
  <c r="I113" i="1058"/>
  <c r="I114" i="1058" s="1"/>
  <c r="I115" i="1058" s="1"/>
  <c r="I116" i="1058" s="1"/>
  <c r="I126" i="1058" s="1"/>
  <c r="L177" i="1058"/>
  <c r="Y20" i="1058"/>
  <c r="M20" i="1058"/>
  <c r="Y210" i="1057"/>
  <c r="Y98" i="1057"/>
  <c r="X133" i="1063"/>
  <c r="X132" i="1063"/>
  <c r="X131" i="1063"/>
  <c r="X55" i="1063" s="1"/>
  <c r="X134" i="1063"/>
  <c r="I144" i="1057"/>
  <c r="K221" i="1062"/>
  <c r="K109" i="1062"/>
  <c r="K70" i="1062"/>
  <c r="W97" i="1060"/>
  <c r="W209" i="1060"/>
  <c r="J112" i="1063"/>
  <c r="W197" i="1058"/>
  <c r="W198" i="1058"/>
  <c r="W196" i="1058"/>
  <c r="L212" i="1060"/>
  <c r="L100" i="1060"/>
  <c r="L208" i="1060"/>
  <c r="L96" i="1060"/>
  <c r="X172" i="1062"/>
  <c r="X58" i="1062"/>
  <c r="W203" i="1059"/>
  <c r="W91" i="1059"/>
  <c r="L208" i="1058"/>
  <c r="L96" i="1058"/>
  <c r="V203" i="1063"/>
  <c r="V91" i="1063"/>
  <c r="AA9" i="1057"/>
  <c r="AA88" i="1057" s="1"/>
  <c r="AA109" i="1057" s="1"/>
  <c r="O9" i="1057"/>
  <c r="N88" i="1057" a="1"/>
  <c r="N88" i="1057" s="1"/>
  <c r="X166" i="1064"/>
  <c r="X165" i="1064"/>
  <c r="T144" i="1057"/>
  <c r="G122" i="1061"/>
  <c r="K221" i="1059"/>
  <c r="K109" i="1059"/>
  <c r="K70" i="1059"/>
  <c r="K117" i="1059"/>
  <c r="N13" i="1059"/>
  <c r="Z13" i="1059"/>
  <c r="Z56" i="1059" s="1"/>
  <c r="L205" i="1059"/>
  <c r="L93" i="1059"/>
  <c r="L214" i="1059"/>
  <c r="L102" i="1059"/>
  <c r="AB51" i="1061"/>
  <c r="P51" i="1061"/>
  <c r="U114" i="1064"/>
  <c r="U115" i="1064" s="1"/>
  <c r="U116" i="1064" s="1"/>
  <c r="U126" i="1064" s="1"/>
  <c r="L207" i="1063"/>
  <c r="L95" i="1063"/>
  <c r="Y182" i="1063"/>
  <c r="Y68" i="1063"/>
  <c r="Y62" i="1061"/>
  <c r="Z165" i="1057"/>
  <c r="W167" i="1063"/>
  <c r="W217" i="1063"/>
  <c r="W176" i="1064"/>
  <c r="K207" i="1064"/>
  <c r="K95" i="1064"/>
  <c r="K208" i="1064"/>
  <c r="K96" i="1064"/>
  <c r="K121" i="1059"/>
  <c r="K111" i="1059"/>
  <c r="K112" i="1059" s="1"/>
  <c r="J219" i="1059"/>
  <c r="J106" i="1059"/>
  <c r="L129" i="1063"/>
  <c r="L163" i="1063" s="1"/>
  <c r="L123" i="1063"/>
  <c r="L125" i="1063"/>
  <c r="L130" i="1063" a="1"/>
  <c r="L130" i="1063" s="1"/>
  <c r="L164" i="1063" s="1"/>
  <c r="M10" i="1063"/>
  <c r="L216" i="1063" a="1"/>
  <c r="L216" i="1063" s="1"/>
  <c r="L180" i="1063"/>
  <c r="L181" i="1063"/>
  <c r="L182" i="1064"/>
  <c r="M23" i="1064"/>
  <c r="Y23" i="1064"/>
  <c r="M11" i="1064"/>
  <c r="Y11" i="1064"/>
  <c r="L236" i="1064"/>
  <c r="L104" i="1064"/>
  <c r="N50" i="1059"/>
  <c r="Z50" i="1059"/>
  <c r="X91" i="1061"/>
  <c r="X203" i="1061"/>
  <c r="V203" i="1064"/>
  <c r="V91" i="1064"/>
  <c r="K202" i="1057"/>
  <c r="K142" i="1057"/>
  <c r="K143" i="1057" s="1"/>
  <c r="K89" i="1057"/>
  <c r="K90" i="1057"/>
  <c r="K71" i="1057"/>
  <c r="K70" i="1057"/>
  <c r="X141" i="1057"/>
  <c r="M221" i="1061"/>
  <c r="M109" i="1061"/>
  <c r="V70" i="1063"/>
  <c r="W55" i="1060"/>
  <c r="L111" i="1062"/>
  <c r="L121" i="1062"/>
  <c r="L172" i="1064"/>
  <c r="M15" i="1064"/>
  <c r="Y15" i="1064"/>
  <c r="Y177" i="1061"/>
  <c r="AE92" i="1062"/>
  <c r="AE204" i="1062"/>
  <c r="W205" i="1064"/>
  <c r="W93" i="1064"/>
  <c r="X174" i="1060"/>
  <c r="U120" i="1057"/>
  <c r="U119" i="1057"/>
  <c r="K92" i="1058"/>
  <c r="K204" i="1058"/>
  <c r="O20" i="1061"/>
  <c r="AA20" i="1061"/>
  <c r="T112" i="1062"/>
  <c r="T89" i="1062"/>
  <c r="U147" i="1058"/>
  <c r="W206" i="1058"/>
  <c r="W94" i="1058"/>
  <c r="Y51" i="1063"/>
  <c r="M51" i="1063"/>
  <c r="M129" i="1057"/>
  <c r="M163" i="1057" s="1"/>
  <c r="M123" i="1057"/>
  <c r="M130" i="1057" a="1"/>
  <c r="M130" i="1057" s="1"/>
  <c r="M164" i="1057" s="1"/>
  <c r="M125" i="1057"/>
  <c r="N10" i="1057"/>
  <c r="M216" i="1057" a="1"/>
  <c r="M216" i="1057" s="1"/>
  <c r="M180" i="1057"/>
  <c r="M181" i="1057"/>
  <c r="N12" i="1059"/>
  <c r="Z12" i="1059"/>
  <c r="M165" i="1059"/>
  <c r="M166" i="1059"/>
  <c r="X10" i="1060"/>
  <c r="K149" i="1060"/>
  <c r="J147" i="1061"/>
  <c r="J145" i="1061"/>
  <c r="J144" i="1061" s="1"/>
  <c r="Z204" i="1061"/>
  <c r="Z92" i="1061"/>
  <c r="W176" i="1063"/>
  <c r="J147" i="1057"/>
  <c r="J145" i="1057"/>
  <c r="J144" i="1057" s="1"/>
  <c r="N11" i="1059"/>
  <c r="M104" i="1059"/>
  <c r="Z11" i="1059"/>
  <c r="M236" i="1059"/>
  <c r="X133" i="1058"/>
  <c r="O18" i="1061"/>
  <c r="AA18" i="1061"/>
  <c r="X92" i="1058"/>
  <c r="X204" i="1058"/>
  <c r="T89" i="1061"/>
  <c r="K98" i="1060"/>
  <c r="K210" i="1060"/>
  <c r="M133" i="1059"/>
  <c r="M169" i="1059"/>
  <c r="Z4" i="1059"/>
  <c r="M131" i="1059"/>
  <c r="M132" i="1059"/>
  <c r="N4" i="1059"/>
  <c r="M134" i="1059"/>
  <c r="W209" i="1058"/>
  <c r="W97" i="1058"/>
  <c r="K207" i="1061"/>
  <c r="K95" i="1061"/>
  <c r="K212" i="1061"/>
  <c r="K100" i="1061"/>
  <c r="L176" i="1060"/>
  <c r="Y19" i="1060"/>
  <c r="M19" i="1060"/>
  <c r="X197" i="1059"/>
  <c r="X198" i="1059"/>
  <c r="X196" i="1059"/>
  <c r="X61" i="1062"/>
  <c r="X10" i="1062"/>
  <c r="K149" i="1062"/>
  <c r="Z204" i="1062"/>
  <c r="Z92" i="1062"/>
  <c r="Z207" i="1057"/>
  <c r="Z95" i="1057"/>
  <c r="AA50" i="1062"/>
  <c r="O50" i="1062"/>
  <c r="D172" i="1061"/>
  <c r="B59" i="1061"/>
  <c r="L221" i="1064"/>
  <c r="L109" i="1064"/>
  <c r="V219" i="1062"/>
  <c r="V106" i="1062"/>
  <c r="W211" i="1058"/>
  <c r="W99" i="1058"/>
  <c r="W140" i="1058"/>
  <c r="W214" i="1062"/>
  <c r="W102" i="1062"/>
  <c r="W211" i="1060"/>
  <c r="W99" i="1060"/>
  <c r="L211" i="1060"/>
  <c r="L99" i="1060"/>
  <c r="L206" i="1060"/>
  <c r="L94" i="1060"/>
  <c r="L101" i="1060"/>
  <c r="L213" i="1060"/>
  <c r="K202" i="1062"/>
  <c r="K142" i="1062"/>
  <c r="K143" i="1062" s="1"/>
  <c r="K89" i="1062"/>
  <c r="K90" i="1062"/>
  <c r="K215" i="1062"/>
  <c r="K103" i="1062"/>
  <c r="K185" i="1062"/>
  <c r="K184" i="1062"/>
  <c r="W148" i="1059"/>
  <c r="W144" i="1059"/>
  <c r="W145" i="1059"/>
  <c r="W146" i="1059" s="1"/>
  <c r="W147" i="1059"/>
  <c r="V112" i="1062"/>
  <c r="Y17" i="1062"/>
  <c r="M17" i="1062"/>
  <c r="L174" i="1062"/>
  <c r="M12" i="1064"/>
  <c r="Y12" i="1064"/>
  <c r="L166" i="1064"/>
  <c r="L165" i="1064"/>
  <c r="L88" i="1059" a="1"/>
  <c r="L88" i="1059" s="1"/>
  <c r="M9" i="1059"/>
  <c r="Y9" i="1059"/>
  <c r="Y88" i="1059" s="1"/>
  <c r="Y109" i="1059" s="1"/>
  <c r="V212" i="1060"/>
  <c r="V100" i="1060"/>
  <c r="L211" i="1059"/>
  <c r="L99" i="1059"/>
  <c r="L202" i="1059"/>
  <c r="L142" i="1059"/>
  <c r="L143" i="1059" s="1"/>
  <c r="L90" i="1059"/>
  <c r="O49" i="1060"/>
  <c r="AA49" i="1060"/>
  <c r="AB11" i="1057"/>
  <c r="P11" i="1057"/>
  <c r="O236" i="1057"/>
  <c r="O104" i="1057"/>
  <c r="U148" i="1062"/>
  <c r="U147" i="1062"/>
  <c r="U145" i="1062"/>
  <c r="U146" i="1062" s="1"/>
  <c r="K55" i="1060"/>
  <c r="J145" i="1059"/>
  <c r="J147" i="1059"/>
  <c r="W211" i="1062"/>
  <c r="W99" i="1062"/>
  <c r="W140" i="1062"/>
  <c r="L173" i="1062"/>
  <c r="M16" i="1062"/>
  <c r="Y16" i="1062"/>
  <c r="L209" i="1063"/>
  <c r="L97" i="1063"/>
  <c r="L212" i="1063"/>
  <c r="L100" i="1063"/>
  <c r="M182" i="1063"/>
  <c r="N23" i="1063"/>
  <c r="Z23" i="1063"/>
  <c r="W208" i="1062"/>
  <c r="W96" i="1062"/>
  <c r="W179" i="1063"/>
  <c r="Z22" i="1062"/>
  <c r="N22" i="1062"/>
  <c r="U127" i="1059"/>
  <c r="L65" i="1064"/>
  <c r="L61" i="1064"/>
  <c r="L69" i="1064"/>
  <c r="L60" i="1064"/>
  <c r="L57" i="1064"/>
  <c r="L68" i="1064"/>
  <c r="L54" i="1064"/>
  <c r="L64" i="1064"/>
  <c r="L62" i="1064"/>
  <c r="L59" i="1064"/>
  <c r="L56" i="1064"/>
  <c r="L53" i="1064"/>
  <c r="L63" i="1064"/>
  <c r="L67" i="1064"/>
  <c r="L66" i="1064"/>
  <c r="Y8" i="1064"/>
  <c r="L108" i="1064"/>
  <c r="L58" i="1064"/>
  <c r="M8" i="1064"/>
  <c r="K211" i="1064"/>
  <c r="K99" i="1064"/>
  <c r="K140" i="1064"/>
  <c r="K197" i="1059"/>
  <c r="K196" i="1059"/>
  <c r="K198" i="1059"/>
  <c r="K209" i="1059"/>
  <c r="K97" i="1059"/>
  <c r="V121" i="1060"/>
  <c r="V111" i="1060"/>
  <c r="W206" i="1062"/>
  <c r="W94" i="1062"/>
  <c r="R228" i="1058"/>
  <c r="AE29" i="1058"/>
  <c r="AE228" i="1058" s="1"/>
  <c r="J141" i="1059"/>
  <c r="J148" i="1059" s="1"/>
  <c r="J146" i="1059"/>
  <c r="K211" i="1057"/>
  <c r="K99" i="1057"/>
  <c r="K140" i="1057"/>
  <c r="K207" i="1057"/>
  <c r="K95" i="1057"/>
  <c r="L175" i="1063"/>
  <c r="M18" i="1063"/>
  <c r="Y18" i="1063"/>
  <c r="G86" i="1057"/>
  <c r="T44" i="1057"/>
  <c r="T86" i="1057" s="1"/>
  <c r="M179" i="1061"/>
  <c r="Y63" i="1061"/>
  <c r="V117" i="1062"/>
  <c r="I144" i="1060"/>
  <c r="I145" i="1060"/>
  <c r="I146" i="1060" s="1"/>
  <c r="I148" i="1060"/>
  <c r="I147" i="1060"/>
  <c r="J91" i="1063"/>
  <c r="J203" i="1063"/>
  <c r="U119" i="1064"/>
  <c r="U122" i="1064" s="1"/>
  <c r="U120" i="1064"/>
  <c r="L174" i="1060"/>
  <c r="M17" i="1060"/>
  <c r="Y17" i="1060"/>
  <c r="H120" i="1059"/>
  <c r="H119" i="1059"/>
  <c r="H122" i="1059" s="1"/>
  <c r="H127" i="1059"/>
  <c r="W206" i="1059"/>
  <c r="W94" i="1059"/>
  <c r="L174" i="1064"/>
  <c r="M17" i="1064"/>
  <c r="Y17" i="1064"/>
  <c r="M22" i="1064"/>
  <c r="Y22" i="1064"/>
  <c r="G112" i="1062"/>
  <c r="G89" i="1062"/>
  <c r="N165" i="1057"/>
  <c r="D228" i="1061"/>
  <c r="B117" i="1061"/>
  <c r="W91" i="1062"/>
  <c r="W203" i="1062"/>
  <c r="M130" i="1064" a="1"/>
  <c r="M130" i="1064" s="1"/>
  <c r="M164" i="1064" s="1"/>
  <c r="M123" i="1064"/>
  <c r="M129" i="1064"/>
  <c r="M163" i="1064" s="1"/>
  <c r="M125" i="1064"/>
  <c r="N10" i="1064"/>
  <c r="M216" i="1064" a="1"/>
  <c r="M216" i="1064" s="1"/>
  <c r="M180" i="1064"/>
  <c r="M181" i="1064"/>
  <c r="B59" i="1062"/>
  <c r="D172" i="1062"/>
  <c r="W179" i="1064"/>
  <c r="X175" i="1059"/>
  <c r="X61" i="1059"/>
  <c r="Z166" i="1061"/>
  <c r="D228" i="1063"/>
  <c r="B117" i="1063"/>
  <c r="W70" i="1059"/>
  <c r="Y13" i="1058"/>
  <c r="Y56" i="1058" s="1"/>
  <c r="M13" i="1058"/>
  <c r="V89" i="1059"/>
  <c r="V126" i="1059" s="1"/>
  <c r="J117" i="1064"/>
  <c r="U114" i="1059"/>
  <c r="U115" i="1059" s="1"/>
  <c r="U116" i="1059" s="1"/>
  <c r="U126" i="1059" s="1"/>
  <c r="I144" i="1051"/>
  <c r="V112" i="1052"/>
  <c r="I126" i="1054"/>
  <c r="I225" i="1059"/>
  <c r="I113" i="1059"/>
  <c r="I114" i="1059" s="1"/>
  <c r="I115" i="1059" s="1"/>
  <c r="I116" i="1059" s="1"/>
  <c r="I126" i="1059" s="1"/>
  <c r="M109" i="1058"/>
  <c r="M221" i="1058"/>
  <c r="K93" i="1061"/>
  <c r="K205" i="1061"/>
  <c r="K202" i="1061"/>
  <c r="K90" i="1061"/>
  <c r="K89" i="1061"/>
  <c r="K142" i="1061"/>
  <c r="K143" i="1061" s="1"/>
  <c r="K117" i="1061"/>
  <c r="K214" i="1061"/>
  <c r="K102" i="1061"/>
  <c r="X213" i="1059"/>
  <c r="X101" i="1059"/>
  <c r="X202" i="1059"/>
  <c r="X90" i="1059"/>
  <c r="L175" i="1062"/>
  <c r="M18" i="1062"/>
  <c r="Y18" i="1062"/>
  <c r="M179" i="1062"/>
  <c r="M217" i="1062"/>
  <c r="M167" i="1062"/>
  <c r="M139" i="1062"/>
  <c r="M134" i="1062"/>
  <c r="M168" i="1062"/>
  <c r="M133" i="1062"/>
  <c r="M131" i="1062"/>
  <c r="N4" i="1062"/>
  <c r="M132" i="1062"/>
  <c r="Z4" i="1062"/>
  <c r="Y11" i="1062"/>
  <c r="M11" i="1062"/>
  <c r="L104" i="1062"/>
  <c r="L236" i="1062"/>
  <c r="J141" i="1058"/>
  <c r="K55" i="1063"/>
  <c r="L177" i="1064"/>
  <c r="M20" i="1064"/>
  <c r="Y20" i="1064"/>
  <c r="I147" i="1057"/>
  <c r="M11" i="1063"/>
  <c r="L104" i="1063"/>
  <c r="Y11" i="1063"/>
  <c r="L236" i="1063"/>
  <c r="K141" i="1059"/>
  <c r="X207" i="1063"/>
  <c r="X95" i="1063"/>
  <c r="U114" i="1062"/>
  <c r="U115" i="1062" s="1"/>
  <c r="U116" i="1062" s="1"/>
  <c r="N20" i="1059"/>
  <c r="Z20" i="1059"/>
  <c r="W70" i="1062"/>
  <c r="W71" i="1062"/>
  <c r="W207" i="1060"/>
  <c r="W95" i="1060"/>
  <c r="AA51" i="1062"/>
  <c r="O51" i="1062"/>
  <c r="W71" i="1058"/>
  <c r="L95" i="1060"/>
  <c r="L207" i="1060"/>
  <c r="L62" i="1060"/>
  <c r="K112" i="1062"/>
  <c r="K93" i="1062"/>
  <c r="K205" i="1062"/>
  <c r="K71" i="1062"/>
  <c r="L206" i="1058"/>
  <c r="L94" i="1058"/>
  <c r="L71" i="1058"/>
  <c r="L213" i="1058"/>
  <c r="L101" i="1058"/>
  <c r="W209" i="1062"/>
  <c r="W97" i="1062"/>
  <c r="Y205" i="1061"/>
  <c r="Y93" i="1061"/>
  <c r="X215" i="1063"/>
  <c r="X103" i="1063"/>
  <c r="X184" i="1063"/>
  <c r="X185" i="1063"/>
  <c r="X174" i="1062"/>
  <c r="X60" i="1062"/>
  <c r="T147" i="1057"/>
  <c r="D172" i="1064"/>
  <c r="B59" i="1064"/>
  <c r="L176" i="1064"/>
  <c r="M19" i="1064"/>
  <c r="Y19" i="1064"/>
  <c r="K111" i="1060"/>
  <c r="K121" i="1060"/>
  <c r="L98" i="1059"/>
  <c r="L210" i="1059"/>
  <c r="Q228" i="1063"/>
  <c r="R29" i="1063"/>
  <c r="AD29" i="1063"/>
  <c r="AD228" i="1063" s="1"/>
  <c r="AA10" i="1057"/>
  <c r="N149" i="1057"/>
  <c r="U126" i="1062"/>
  <c r="L167" i="1060"/>
  <c r="L169" i="1060"/>
  <c r="L134" i="1060"/>
  <c r="Y4" i="1060"/>
  <c r="M4" i="1060"/>
  <c r="L139" i="1060"/>
  <c r="L217" i="1060"/>
  <c r="L132" i="1060"/>
  <c r="L179" i="1060"/>
  <c r="L168" i="1060"/>
  <c r="L133" i="1060"/>
  <c r="L131" i="1060"/>
  <c r="X173" i="1062"/>
  <c r="X59" i="1062"/>
  <c r="L204" i="1063"/>
  <c r="L92" i="1063"/>
  <c r="O14" i="1061"/>
  <c r="N171" i="1061"/>
  <c r="AA14" i="1061"/>
  <c r="N175" i="1057"/>
  <c r="AA18" i="1057"/>
  <c r="O18" i="1057"/>
  <c r="T113" i="1058"/>
  <c r="T114" i="1058"/>
  <c r="T115" i="1058" s="1"/>
  <c r="T116" i="1058" s="1"/>
  <c r="T225" i="1058"/>
  <c r="K206" i="1064"/>
  <c r="K94" i="1064"/>
  <c r="K204" i="1064"/>
  <c r="K92" i="1064"/>
  <c r="K205" i="1064"/>
  <c r="K93" i="1064"/>
  <c r="Z92" i="1057"/>
  <c r="Z204" i="1057"/>
  <c r="K198" i="1063"/>
  <c r="K196" i="1063"/>
  <c r="K197" i="1063"/>
  <c r="X171" i="1059"/>
  <c r="X57" i="1059"/>
  <c r="X177" i="1060"/>
  <c r="X63" i="1060"/>
  <c r="V197" i="1060"/>
  <c r="V196" i="1060"/>
  <c r="V198" i="1060"/>
  <c r="K206" i="1057"/>
  <c r="K94" i="1057"/>
  <c r="K209" i="1057"/>
  <c r="K97" i="1057"/>
  <c r="K100" i="1057"/>
  <c r="K212" i="1057"/>
  <c r="G122" i="1059"/>
  <c r="W98" i="1059"/>
  <c r="W210" i="1059"/>
  <c r="O19" i="1061"/>
  <c r="AA19" i="1061"/>
  <c r="AA9" i="1061"/>
  <c r="AA88" i="1061" s="1"/>
  <c r="AA109" i="1061" s="1"/>
  <c r="O9" i="1061"/>
  <c r="N88" i="1061" a="1"/>
  <c r="N88" i="1061" s="1"/>
  <c r="T89" i="1059"/>
  <c r="T112" i="1059"/>
  <c r="W53" i="1060"/>
  <c r="W130" i="1060"/>
  <c r="W164" i="1060" s="1"/>
  <c r="W129" i="1060"/>
  <c r="W163" i="1060" s="1"/>
  <c r="W123" i="1060"/>
  <c r="W66" i="1060"/>
  <c r="W69" i="1060"/>
  <c r="W54" i="1060"/>
  <c r="W125" i="1060"/>
  <c r="W104" i="1060"/>
  <c r="W236" i="1060"/>
  <c r="W216" i="1060"/>
  <c r="W180" i="1060"/>
  <c r="W181" i="1060"/>
  <c r="W67" i="1060"/>
  <c r="W178" i="1060"/>
  <c r="W64" i="1060"/>
  <c r="W167" i="1060"/>
  <c r="X173" i="1058"/>
  <c r="X59" i="1058"/>
  <c r="J145" i="1062"/>
  <c r="J147" i="1062" s="1"/>
  <c r="N174" i="1057"/>
  <c r="AA17" i="1057"/>
  <c r="O17" i="1057"/>
  <c r="D172" i="1057"/>
  <c r="B59" i="1057"/>
  <c r="M139" i="1061"/>
  <c r="X176" i="1059"/>
  <c r="X62" i="1059"/>
  <c r="Y212" i="1057"/>
  <c r="Y100" i="1057"/>
  <c r="V119" i="1057"/>
  <c r="V122" i="1057" s="1"/>
  <c r="V120" i="1057"/>
  <c r="V110" i="1062"/>
  <c r="X172" i="1058"/>
  <c r="X58" i="1058"/>
  <c r="R228" i="1062"/>
  <c r="AE29" i="1062"/>
  <c r="AE228" i="1062" s="1"/>
  <c r="U114" i="1058"/>
  <c r="U115" i="1058" s="1"/>
  <c r="U116" i="1058" s="1"/>
  <c r="U126" i="1058" s="1"/>
  <c r="U113" i="1058"/>
  <c r="U225" i="1058" s="1"/>
  <c r="W209" i="1059"/>
  <c r="W97" i="1059"/>
  <c r="U114" i="1061"/>
  <c r="U115" i="1061" s="1"/>
  <c r="U116" i="1061" s="1"/>
  <c r="U126" i="1061" s="1"/>
  <c r="U113" i="1061"/>
  <c r="U225" i="1061" s="1"/>
  <c r="N165" i="1061"/>
  <c r="W206" i="1064"/>
  <c r="W94" i="1064"/>
  <c r="R30" i="1063"/>
  <c r="AE30" i="1063" s="1"/>
  <c r="AD30" i="1063"/>
  <c r="M177" i="1061"/>
  <c r="W112" i="1059"/>
  <c r="M167" i="1058"/>
  <c r="M139" i="1058"/>
  <c r="M217" i="1058"/>
  <c r="M168" i="1058"/>
  <c r="M179" i="1058"/>
  <c r="N4" i="1058"/>
  <c r="Z4" i="1058"/>
  <c r="Y175" i="1061"/>
  <c r="D229" i="1059"/>
  <c r="B118" i="1059"/>
  <c r="L121" i="1057"/>
  <c r="L111" i="1057"/>
  <c r="W65" i="1064"/>
  <c r="L174" i="1058"/>
  <c r="Y17" i="1058"/>
  <c r="M17" i="1058"/>
  <c r="L175" i="1059"/>
  <c r="M18" i="1059"/>
  <c r="Y18" i="1059"/>
  <c r="W60" i="1064"/>
  <c r="Y65" i="1061"/>
  <c r="M175" i="1061"/>
  <c r="J219" i="1064"/>
  <c r="J106" i="1064"/>
  <c r="W129" i="1063"/>
  <c r="W163" i="1063" s="1"/>
  <c r="W123" i="1063"/>
  <c r="W69" i="1063"/>
  <c r="W53" i="1063"/>
  <c r="W130" i="1063"/>
  <c r="W164" i="1063" s="1"/>
  <c r="W54" i="1063"/>
  <c r="W125" i="1063"/>
  <c r="W104" i="1063"/>
  <c r="W67" i="1063"/>
  <c r="W66" i="1063"/>
  <c r="W180" i="1063"/>
  <c r="W181" i="1063"/>
  <c r="W236" i="1063"/>
  <c r="W216" i="1063"/>
  <c r="W178" i="1063"/>
  <c r="W64" i="1063"/>
  <c r="L67" i="1061"/>
  <c r="L64" i="1061"/>
  <c r="L59" i="1061"/>
  <c r="L54" i="1061"/>
  <c r="L68" i="1061"/>
  <c r="L66" i="1061"/>
  <c r="L60" i="1061"/>
  <c r="L56" i="1061"/>
  <c r="L63" i="1061"/>
  <c r="L53" i="1061"/>
  <c r="L108" i="1061"/>
  <c r="L61" i="1061"/>
  <c r="L57" i="1061"/>
  <c r="L58" i="1061"/>
  <c r="Y8" i="1061"/>
  <c r="L65" i="1061"/>
  <c r="L62" i="1061"/>
  <c r="L55" i="1061"/>
  <c r="M8" i="1061"/>
  <c r="L69" i="1061"/>
  <c r="K211" i="1061"/>
  <c r="K99" i="1061"/>
  <c r="K140" i="1061"/>
  <c r="K206" i="1061"/>
  <c r="K94" i="1061"/>
  <c r="B118" i="1057"/>
  <c r="D229" i="1057"/>
  <c r="U148" i="1059"/>
  <c r="U144" i="1059"/>
  <c r="X214" i="1059"/>
  <c r="X102" i="1059"/>
  <c r="AA12" i="1057"/>
  <c r="O12" i="1057"/>
  <c r="V141" i="1059"/>
  <c r="V146" i="1059"/>
  <c r="X204" i="1064"/>
  <c r="X92" i="1064"/>
  <c r="AC22" i="1061"/>
  <c r="Q22" i="1061"/>
  <c r="Z176" i="1057"/>
  <c r="Z62" i="1057"/>
  <c r="X10" i="1063"/>
  <c r="K149" i="1063"/>
  <c r="O17" i="1061"/>
  <c r="AA17" i="1061"/>
  <c r="N17" i="1059"/>
  <c r="Z17" i="1059"/>
  <c r="X173" i="1064"/>
  <c r="X59" i="1064"/>
  <c r="M49" i="1064"/>
  <c r="Y49" i="1064"/>
  <c r="W213" i="1058"/>
  <c r="W101" i="1058"/>
  <c r="O173" i="1057"/>
  <c r="AB16" i="1057"/>
  <c r="P16" i="1057"/>
  <c r="M56" i="1060"/>
  <c r="M57" i="1060"/>
  <c r="N8" i="1060"/>
  <c r="Z8" i="1060"/>
  <c r="L102" i="1060"/>
  <c r="L214" i="1060"/>
  <c r="L184" i="1060"/>
  <c r="L103" i="1060"/>
  <c r="L215" i="1060"/>
  <c r="L185" i="1060"/>
  <c r="W148" i="1061"/>
  <c r="W145" i="1061"/>
  <c r="W146" i="1061" s="1"/>
  <c r="L196" i="1061"/>
  <c r="L197" i="1061"/>
  <c r="L198" i="1061"/>
  <c r="P51" i="1060"/>
  <c r="AB51" i="1060"/>
  <c r="Z50" i="1064"/>
  <c r="N50" i="1064"/>
  <c r="K210" i="1062"/>
  <c r="K98" i="1062"/>
  <c r="K211" i="1062"/>
  <c r="K99" i="1062"/>
  <c r="K140" i="1062"/>
  <c r="K207" i="1062"/>
  <c r="K95" i="1062"/>
  <c r="L93" i="1058"/>
  <c r="L205" i="1058"/>
  <c r="L207" i="1058"/>
  <c r="L95" i="1058"/>
  <c r="W113" i="1061"/>
  <c r="W225" i="1061" s="1"/>
  <c r="V141" i="1058"/>
  <c r="Z132" i="1057"/>
  <c r="Z167" i="1057"/>
  <c r="Z169" i="1057"/>
  <c r="Z217" i="1057"/>
  <c r="Z134" i="1057"/>
  <c r="Z179" i="1057"/>
  <c r="Z168" i="1057"/>
  <c r="Z133" i="1057"/>
  <c r="Z65" i="1057"/>
  <c r="Z131" i="1057"/>
  <c r="Z139" i="1057"/>
  <c r="B117" i="1058"/>
  <c r="D228" i="1058"/>
  <c r="M171" i="1062"/>
  <c r="Z14" i="1062"/>
  <c r="N14" i="1062"/>
  <c r="J219" i="1060"/>
  <c r="J106" i="1060"/>
  <c r="J110" i="1060" s="1"/>
  <c r="K197" i="1060"/>
  <c r="K196" i="1060"/>
  <c r="K198" i="1060"/>
  <c r="D228" i="1064"/>
  <c r="B117" i="1064"/>
  <c r="W174" i="1063"/>
  <c r="I148" i="1058"/>
  <c r="I147" i="1058"/>
  <c r="I145" i="1058"/>
  <c r="I146" i="1058" s="1"/>
  <c r="K140" i="1060"/>
  <c r="L206" i="1059"/>
  <c r="L94" i="1059"/>
  <c r="V117" i="1063"/>
  <c r="W215" i="1060"/>
  <c r="W103" i="1060"/>
  <c r="W184" i="1060"/>
  <c r="W185" i="1060"/>
  <c r="X139" i="1060"/>
  <c r="X134" i="1060"/>
  <c r="X65" i="1060"/>
  <c r="X179" i="1060"/>
  <c r="X217" i="1060"/>
  <c r="X131" i="1060"/>
  <c r="X167" i="1060"/>
  <c r="X168" i="1060"/>
  <c r="X132" i="1060"/>
  <c r="X133" i="1060"/>
  <c r="AD92" i="1061"/>
  <c r="AD204" i="1061"/>
  <c r="J110" i="1059"/>
  <c r="N21" i="1059"/>
  <c r="Z21" i="1059"/>
  <c r="J219" i="1057"/>
  <c r="J106" i="1057"/>
  <c r="L214" i="1063"/>
  <c r="L102" i="1063"/>
  <c r="L208" i="1063"/>
  <c r="L96" i="1063"/>
  <c r="L108" i="1063"/>
  <c r="Z171" i="1061"/>
  <c r="Z57" i="1061"/>
  <c r="Z175" i="1057"/>
  <c r="Z61" i="1057"/>
  <c r="W55" i="1063"/>
  <c r="H122" i="1062"/>
  <c r="G89" i="1058"/>
  <c r="G112" i="1058"/>
  <c r="K212" i="1064"/>
  <c r="K100" i="1064"/>
  <c r="K213" i="1064"/>
  <c r="K101" i="1064"/>
  <c r="K209" i="1064"/>
  <c r="K97" i="1064"/>
  <c r="L130" i="1059" a="1"/>
  <c r="L130" i="1059" s="1"/>
  <c r="L164" i="1059" s="1"/>
  <c r="M10" i="1059"/>
  <c r="M217" i="1059" s="1"/>
  <c r="L123" i="1059"/>
  <c r="L125" i="1059"/>
  <c r="L129" i="1059"/>
  <c r="L163" i="1059" s="1"/>
  <c r="L181" i="1059"/>
  <c r="L180" i="1059"/>
  <c r="L216" i="1059" a="1"/>
  <c r="L216" i="1059" s="1"/>
  <c r="W61" i="1063"/>
  <c r="K121" i="1063"/>
  <c r="K111" i="1063"/>
  <c r="L171" i="1059"/>
  <c r="M14" i="1059"/>
  <c r="Y14" i="1059"/>
  <c r="L177" i="1060"/>
  <c r="M20" i="1060"/>
  <c r="M63" i="1060" s="1"/>
  <c r="Y20" i="1060"/>
  <c r="AA51" i="1057"/>
  <c r="O51" i="1057"/>
  <c r="V90" i="1060"/>
  <c r="V142" i="1060"/>
  <c r="V143" i="1060" s="1"/>
  <c r="V202" i="1060"/>
  <c r="J141" i="1061"/>
  <c r="J148" i="1061" s="1"/>
  <c r="J146" i="1061"/>
  <c r="K210" i="1057"/>
  <c r="K98" i="1057"/>
  <c r="K204" i="1057"/>
  <c r="K92" i="1057"/>
  <c r="K205" i="1057"/>
  <c r="K93" i="1057"/>
  <c r="J89" i="1063"/>
  <c r="H122" i="1060"/>
  <c r="V114" i="1061"/>
  <c r="V115" i="1061" s="1"/>
  <c r="V116" i="1061" s="1"/>
  <c r="K112" i="1057"/>
  <c r="X171" i="1058"/>
  <c r="X57" i="1058"/>
  <c r="R30" i="1059"/>
  <c r="AE30" i="1059" s="1"/>
  <c r="AD30" i="1059"/>
  <c r="G89" i="1059"/>
  <c r="G112" i="1059"/>
  <c r="L173" i="1058"/>
  <c r="Y16" i="1058"/>
  <c r="M16" i="1058"/>
  <c r="X203" i="1057"/>
  <c r="X91" i="1057"/>
  <c r="X117" i="1057"/>
  <c r="X142" i="1057"/>
  <c r="X143" i="1057" s="1"/>
  <c r="Z174" i="1057"/>
  <c r="Z60" i="1057"/>
  <c r="M167" i="1061"/>
  <c r="L176" i="1059"/>
  <c r="M19" i="1059"/>
  <c r="Y19" i="1059"/>
  <c r="V89" i="1062"/>
  <c r="W219" i="1061"/>
  <c r="W106" i="1061"/>
  <c r="W110" i="1061" s="1"/>
  <c r="AA77" i="1063"/>
  <c r="AA194" i="1063"/>
  <c r="AA80" i="1063"/>
  <c r="AA195" i="1063"/>
  <c r="W205" i="1058"/>
  <c r="W93" i="1058"/>
  <c r="U120" i="1061"/>
  <c r="U119" i="1061"/>
  <c r="W95" i="1058"/>
  <c r="W207" i="1058"/>
  <c r="J146" i="1057"/>
  <c r="J141" i="1057"/>
  <c r="J148" i="1057" s="1"/>
  <c r="J145" i="1060"/>
  <c r="J144" i="1060" s="1"/>
  <c r="Y61" i="1061"/>
  <c r="Y215" i="1061"/>
  <c r="Y103" i="1061"/>
  <c r="Y184" i="1061"/>
  <c r="Y185" i="1061"/>
  <c r="D229" i="1060"/>
  <c r="B118" i="1060"/>
  <c r="G112" i="1063"/>
  <c r="G89" i="1063"/>
  <c r="V113" i="1057"/>
  <c r="V225" i="1057" s="1"/>
  <c r="V114" i="1057"/>
  <c r="V115" i="1057" s="1"/>
  <c r="V116" i="1057" s="1"/>
  <c r="L196" i="1057"/>
  <c r="L198" i="1057"/>
  <c r="L197" i="1057"/>
  <c r="W167" i="1064"/>
  <c r="W55" i="1064"/>
  <c r="N125" i="1058"/>
  <c r="N216" i="1058" a="1"/>
  <c r="N216" i="1058" s="1"/>
  <c r="N123" i="1058"/>
  <c r="N130" i="1058" a="1"/>
  <c r="N130" i="1058" s="1"/>
  <c r="N164" i="1058" s="1"/>
  <c r="N129" i="1058"/>
  <c r="N163" i="1058" s="1"/>
  <c r="O10" i="1058"/>
  <c r="N180" i="1058"/>
  <c r="N181" i="1058"/>
  <c r="K112" i="1061"/>
  <c r="W174" i="1064"/>
  <c r="V219" i="1058"/>
  <c r="V106" i="1058"/>
  <c r="V110" i="1058" s="1"/>
  <c r="H122" i="1058"/>
  <c r="V145" i="1064"/>
  <c r="V147" i="1064" s="1"/>
  <c r="V144" i="1064"/>
  <c r="U144" i="1053"/>
  <c r="U144" i="1054"/>
  <c r="AA51" i="1064"/>
  <c r="O51" i="1064"/>
  <c r="U113" i="1063"/>
  <c r="U225" i="1063" s="1"/>
  <c r="I113" i="1057"/>
  <c r="I225" i="1057"/>
  <c r="I114" i="1057"/>
  <c r="I115" i="1057" s="1"/>
  <c r="I116" i="1057" s="1"/>
  <c r="I126" i="1057" s="1"/>
  <c r="V112" i="1063"/>
  <c r="L217" i="1064"/>
  <c r="L133" i="1064"/>
  <c r="L168" i="1064"/>
  <c r="L179" i="1064"/>
  <c r="L169" i="1064"/>
  <c r="L132" i="1064"/>
  <c r="L131" i="1064"/>
  <c r="L55" i="1064" s="1"/>
  <c r="L167" i="1064"/>
  <c r="L134" i="1064"/>
  <c r="L139" i="1064"/>
  <c r="Y4" i="1064"/>
  <c r="M4" i="1064"/>
  <c r="K203" i="1061"/>
  <c r="K91" i="1061"/>
  <c r="K204" i="1061"/>
  <c r="K92" i="1061"/>
  <c r="K210" i="1061"/>
  <c r="K98" i="1061"/>
  <c r="Y60" i="1061"/>
  <c r="K145" i="1058"/>
  <c r="N173" i="1061"/>
  <c r="O16" i="1061"/>
  <c r="AA16" i="1061"/>
  <c r="M13" i="1064"/>
  <c r="Y13" i="1064"/>
  <c r="Y56" i="1064" s="1"/>
  <c r="V145" i="1058"/>
  <c r="V147" i="1058" s="1"/>
  <c r="N176" i="1057"/>
  <c r="AA19" i="1057"/>
  <c r="O19" i="1057"/>
  <c r="J141" i="1064"/>
  <c r="J112" i="1059"/>
  <c r="Y64" i="1061"/>
  <c r="J225" i="1061"/>
  <c r="J113" i="1061"/>
  <c r="J114" i="1061" s="1"/>
  <c r="J115" i="1061" s="1"/>
  <c r="J116" i="1061" s="1"/>
  <c r="J126" i="1061" s="1"/>
  <c r="Z130" i="1057"/>
  <c r="Z164" i="1057" s="1"/>
  <c r="Z125" i="1057"/>
  <c r="Z129" i="1057"/>
  <c r="Z163" i="1057" s="1"/>
  <c r="Z123" i="1057"/>
  <c r="Z69" i="1057"/>
  <c r="Z54" i="1057"/>
  <c r="Z53" i="1057"/>
  <c r="Z104" i="1057"/>
  <c r="Z216" i="1057"/>
  <c r="O50" i="1060"/>
  <c r="AA50" i="1060"/>
  <c r="L173" i="1064"/>
  <c r="M16" i="1064"/>
  <c r="Y16" i="1064"/>
  <c r="W212" i="1062"/>
  <c r="W100" i="1062"/>
  <c r="O21" i="1061"/>
  <c r="AA21" i="1061"/>
  <c r="W102" i="1058"/>
  <c r="W214" i="1058"/>
  <c r="AA173" i="1057"/>
  <c r="AA59" i="1057"/>
  <c r="D172" i="1058"/>
  <c r="B59" i="1058"/>
  <c r="L202" i="1060"/>
  <c r="L90" i="1060"/>
  <c r="L182" i="1062"/>
  <c r="M23" i="1062"/>
  <c r="Y23" i="1062"/>
  <c r="X58" i="1060"/>
  <c r="X172" i="1060"/>
  <c r="L121" i="1061"/>
  <c r="L111" i="1061"/>
  <c r="K204" i="1062"/>
  <c r="K92" i="1062"/>
  <c r="K203" i="1062"/>
  <c r="K91" i="1062"/>
  <c r="K212" i="1062"/>
  <c r="K100" i="1062"/>
  <c r="Y173" i="1063"/>
  <c r="Y59" i="1063"/>
  <c r="L209" i="1058"/>
  <c r="L97" i="1058"/>
  <c r="W207" i="1064"/>
  <c r="W95" i="1064"/>
  <c r="V141" i="1063"/>
  <c r="X182" i="1058"/>
  <c r="X68" i="1058"/>
  <c r="I119" i="1060"/>
  <c r="I120" i="1060"/>
  <c r="Y215" i="1057"/>
  <c r="Y103" i="1057"/>
  <c r="Y184" i="1057"/>
  <c r="Y185" i="1057"/>
  <c r="Y209" i="1057"/>
  <c r="Y97" i="1057"/>
  <c r="Y57" i="1062"/>
  <c r="Y171" i="1062"/>
  <c r="L213" i="1059"/>
  <c r="L101" i="1059"/>
  <c r="U110" i="1062"/>
  <c r="AE204" i="1061"/>
  <c r="AE92" i="1061"/>
  <c r="U127" i="1063"/>
  <c r="AA49" i="1062"/>
  <c r="O49" i="1062"/>
  <c r="L213" i="1063"/>
  <c r="L101" i="1063"/>
  <c r="L206" i="1063"/>
  <c r="L94" i="1063"/>
  <c r="X203" i="1062"/>
  <c r="X91" i="1062"/>
  <c r="Z182" i="1057"/>
  <c r="Z68" i="1057"/>
  <c r="Z66" i="1057"/>
  <c r="K214" i="1064"/>
  <c r="K102" i="1064"/>
  <c r="W175" i="1063"/>
  <c r="K208" i="1057"/>
  <c r="K96" i="1057"/>
  <c r="K214" i="1057"/>
  <c r="K102" i="1057"/>
  <c r="X117" i="1061"/>
  <c r="J148" i="1063"/>
  <c r="J145" i="1063"/>
  <c r="J146" i="1063" s="1"/>
  <c r="J144" i="1063"/>
  <c r="G119" i="1058"/>
  <c r="G120" i="1058"/>
  <c r="G127" i="1058"/>
  <c r="M176" i="1061"/>
  <c r="Z14" i="1060"/>
  <c r="N14" i="1060"/>
  <c r="M171" i="1060"/>
  <c r="M9" i="1060"/>
  <c r="L88" i="1060" a="1"/>
  <c r="L88" i="1060" s="1"/>
  <c r="Y9" i="1060"/>
  <c r="Y88" i="1060" s="1"/>
  <c r="Y109" i="1060" s="1"/>
  <c r="L174" i="1063"/>
  <c r="M17" i="1063"/>
  <c r="M60" i="1063" s="1"/>
  <c r="Y17" i="1063"/>
  <c r="L171" i="1058"/>
  <c r="Y14" i="1058"/>
  <c r="M14" i="1058"/>
  <c r="V219" i="1059"/>
  <c r="V106" i="1059"/>
  <c r="V110" i="1059" s="1"/>
  <c r="V117" i="1059"/>
  <c r="D230" i="1062"/>
  <c r="B119" i="1062"/>
  <c r="I146" i="1061"/>
  <c r="G89" i="1061"/>
  <c r="G112" i="1061"/>
  <c r="V147" i="1062"/>
  <c r="V145" i="1062"/>
  <c r="V144" i="1062"/>
  <c r="L172" i="1058"/>
  <c r="Y15" i="1058"/>
  <c r="M15" i="1058"/>
  <c r="V211" i="1060"/>
  <c r="V99" i="1060"/>
  <c r="V140" i="1060"/>
  <c r="T225" i="1064"/>
  <c r="T114" i="1064"/>
  <c r="T115" i="1064" s="1"/>
  <c r="T116" i="1064" s="1"/>
  <c r="T126" i="1064" s="1"/>
  <c r="T113" i="1064"/>
  <c r="U113" i="1060"/>
  <c r="U225" i="1060" s="1"/>
  <c r="U114" i="1060"/>
  <c r="U115" i="1060" s="1"/>
  <c r="U116" i="1060" s="1"/>
  <c r="U126" i="1060" s="1"/>
  <c r="L172" i="1063"/>
  <c r="M15" i="1063"/>
  <c r="Y15" i="1063"/>
  <c r="N178" i="1057"/>
  <c r="AA21" i="1057"/>
  <c r="O21" i="1057"/>
  <c r="L121" i="1064"/>
  <c r="L111" i="1064"/>
  <c r="AC157" i="1059"/>
  <c r="W139" i="1064"/>
  <c r="W217" i="1064"/>
  <c r="I144" i="1059"/>
  <c r="M197" i="1058"/>
  <c r="M196" i="1058"/>
  <c r="M198" i="1058"/>
  <c r="Y205" i="1057"/>
  <c r="Y93" i="1057"/>
  <c r="X166" i="1058"/>
  <c r="X165" i="1058"/>
  <c r="X169" i="1058" s="1"/>
  <c r="J117" i="1057"/>
  <c r="W62" i="1060"/>
  <c r="Y22" i="1058"/>
  <c r="M22" i="1058"/>
  <c r="Y168" i="1061"/>
  <c r="Y139" i="1061"/>
  <c r="Y207" i="1061"/>
  <c r="Y95" i="1061"/>
  <c r="N182" i="1061"/>
  <c r="O23" i="1061"/>
  <c r="AA23" i="1061"/>
  <c r="D172" i="1059"/>
  <c r="B59" i="1059"/>
  <c r="X70" i="1057"/>
  <c r="K70" i="1058"/>
  <c r="K140" i="1058"/>
  <c r="I146" i="1053"/>
  <c r="X182" i="1059"/>
  <c r="X68" i="1059"/>
  <c r="Y134" i="1059"/>
  <c r="Y131" i="1059"/>
  <c r="Y132" i="1059"/>
  <c r="Y133" i="1059"/>
  <c r="X169" i="1064"/>
  <c r="X133" i="1064"/>
  <c r="X134" i="1064"/>
  <c r="X132" i="1064"/>
  <c r="X131" i="1064"/>
  <c r="W208" i="1058"/>
  <c r="W96" i="1058"/>
  <c r="AA13" i="1060"/>
  <c r="AA56" i="1060" s="1"/>
  <c r="O13" i="1060"/>
  <c r="K209" i="1061"/>
  <c r="K97" i="1061"/>
  <c r="K208" i="1061"/>
  <c r="K96" i="1061"/>
  <c r="R228" i="1060"/>
  <c r="AE29" i="1060"/>
  <c r="AE228" i="1060" s="1"/>
  <c r="N171" i="1057"/>
  <c r="AA14" i="1057"/>
  <c r="O14" i="1057"/>
  <c r="W63" i="1063"/>
  <c r="X121" i="1059"/>
  <c r="X111" i="1059"/>
  <c r="T144" i="1062"/>
  <c r="Y132" i="1062"/>
  <c r="Y131" i="1062"/>
  <c r="Y134" i="1062"/>
  <c r="Y133" i="1062"/>
  <c r="Z59" i="1061"/>
  <c r="Z173" i="1061"/>
  <c r="I119" i="1059"/>
  <c r="I122" i="1059" s="1"/>
  <c r="I120" i="1059"/>
  <c r="Y178" i="1061"/>
  <c r="Y204" i="1063"/>
  <c r="Y92" i="1063"/>
  <c r="T126" i="1058"/>
  <c r="I225" i="1060"/>
  <c r="I113" i="1060"/>
  <c r="I114" i="1060"/>
  <c r="I115" i="1060" s="1"/>
  <c r="I116" i="1060" s="1"/>
  <c r="I126" i="1060" s="1"/>
  <c r="X207" i="1059"/>
  <c r="X95" i="1059"/>
  <c r="J219" i="1063"/>
  <c r="J106" i="1063"/>
  <c r="U119" i="1063"/>
  <c r="U120" i="1063"/>
  <c r="L177" i="1063"/>
  <c r="M20" i="1063"/>
  <c r="Y20" i="1063"/>
  <c r="Q228" i="1064"/>
  <c r="R29" i="1064"/>
  <c r="AD29" i="1064"/>
  <c r="AD228" i="1064" s="1"/>
  <c r="W202" i="1062"/>
  <c r="W90" i="1062"/>
  <c r="W142" i="1062"/>
  <c r="W143" i="1062" s="1"/>
  <c r="W89" i="1062"/>
  <c r="W117" i="1062"/>
  <c r="V141" i="1064"/>
  <c r="V146" i="1064"/>
  <c r="L205" i="1060"/>
  <c r="L93" i="1060"/>
  <c r="X182" i="1062"/>
  <c r="X68" i="1062"/>
  <c r="L172" i="1060"/>
  <c r="M15" i="1060"/>
  <c r="Y15" i="1060"/>
  <c r="J219" i="1062"/>
  <c r="J106" i="1062"/>
  <c r="M125" i="1061"/>
  <c r="N10" i="1061"/>
  <c r="N176" i="1061" s="1"/>
  <c r="M123" i="1061"/>
  <c r="M130" i="1061" a="1"/>
  <c r="M130" i="1061" s="1"/>
  <c r="M164" i="1061" s="1"/>
  <c r="M129" i="1061"/>
  <c r="M163" i="1061" s="1"/>
  <c r="M216" i="1061" a="1"/>
  <c r="M216" i="1061" s="1"/>
  <c r="M180" i="1061"/>
  <c r="M181" i="1061"/>
  <c r="L108" i="1062"/>
  <c r="L64" i="1062"/>
  <c r="L59" i="1062"/>
  <c r="L54" i="1062"/>
  <c r="L71" i="1062" s="1"/>
  <c r="L68" i="1062"/>
  <c r="L66" i="1062"/>
  <c r="L60" i="1062"/>
  <c r="L56" i="1062"/>
  <c r="L61" i="1062"/>
  <c r="L55" i="1062"/>
  <c r="L63" i="1062"/>
  <c r="L57" i="1062"/>
  <c r="L53" i="1062"/>
  <c r="Y8" i="1062"/>
  <c r="L67" i="1062"/>
  <c r="L62" i="1062"/>
  <c r="L58" i="1062"/>
  <c r="L69" i="1062"/>
  <c r="L65" i="1062"/>
  <c r="M8" i="1062"/>
  <c r="K209" i="1062"/>
  <c r="K97" i="1062"/>
  <c r="M173" i="1063"/>
  <c r="N16" i="1063"/>
  <c r="Z16" i="1063"/>
  <c r="L202" i="1058"/>
  <c r="L142" i="1058"/>
  <c r="L143" i="1058" s="1"/>
  <c r="L90" i="1058"/>
  <c r="L182" i="1058"/>
  <c r="Y23" i="1058"/>
  <c r="M23" i="1058"/>
  <c r="Y211" i="1057"/>
  <c r="Y99" i="1057"/>
  <c r="Y140" i="1057"/>
  <c r="M18" i="1060"/>
  <c r="M61" i="1060" s="1"/>
  <c r="L175" i="1060"/>
  <c r="Y18" i="1060"/>
  <c r="N104" i="1061"/>
  <c r="O11" i="1061"/>
  <c r="AA11" i="1061"/>
  <c r="I119" i="1057"/>
  <c r="I120" i="1057"/>
  <c r="I110" i="1058"/>
  <c r="I127" i="1058" s="1"/>
  <c r="M68" i="1059"/>
  <c r="M67" i="1059"/>
  <c r="M59" i="1059"/>
  <c r="M56" i="1059"/>
  <c r="M55" i="1059"/>
  <c r="M54" i="1059"/>
  <c r="M61" i="1059"/>
  <c r="M108" i="1059"/>
  <c r="Z8" i="1059"/>
  <c r="M60" i="1059"/>
  <c r="M63" i="1059"/>
  <c r="M53" i="1059"/>
  <c r="M57" i="1059"/>
  <c r="M69" i="1059"/>
  <c r="M62" i="1059"/>
  <c r="M66" i="1059"/>
  <c r="N8" i="1059"/>
  <c r="M65" i="1059"/>
  <c r="M64" i="1059"/>
  <c r="L209" i="1059"/>
  <c r="L97" i="1059"/>
  <c r="L71" i="1059"/>
  <c r="I148" i="1064"/>
  <c r="W212" i="1064"/>
  <c r="W100" i="1064"/>
  <c r="J141" i="1062"/>
  <c r="J148" i="1062" s="1"/>
  <c r="J146" i="1062"/>
  <c r="V126" i="1061"/>
  <c r="M108" i="1063"/>
  <c r="M69" i="1063"/>
  <c r="M62" i="1063"/>
  <c r="M68" i="1063"/>
  <c r="M66" i="1063"/>
  <c r="M58" i="1063"/>
  <c r="M64" i="1063"/>
  <c r="M61" i="1063"/>
  <c r="M57" i="1063"/>
  <c r="M53" i="1063"/>
  <c r="M67" i="1063"/>
  <c r="M59" i="1063"/>
  <c r="M56" i="1063"/>
  <c r="M54" i="1063"/>
  <c r="Z8" i="1063"/>
  <c r="N8" i="1063"/>
  <c r="N177" i="1057"/>
  <c r="AA20" i="1057"/>
  <c r="O20" i="1057"/>
  <c r="N182" i="1057"/>
  <c r="AA23" i="1057"/>
  <c r="O23" i="1057"/>
  <c r="Z67" i="1057"/>
  <c r="L171" i="1063"/>
  <c r="M14" i="1063"/>
  <c r="Y14" i="1063"/>
  <c r="K210" i="1064"/>
  <c r="K98" i="1064"/>
  <c r="K71" i="1064"/>
  <c r="K112" i="1064" s="1"/>
  <c r="W55" i="1058"/>
  <c r="X173" i="1060"/>
  <c r="X59" i="1060"/>
  <c r="K96" i="1060"/>
  <c r="K208" i="1060"/>
  <c r="X182" i="1060"/>
  <c r="X68" i="1060"/>
  <c r="L64" i="1057"/>
  <c r="L59" i="1057"/>
  <c r="L54" i="1057"/>
  <c r="L68" i="1057"/>
  <c r="Y8" i="1057"/>
  <c r="L108" i="1057"/>
  <c r="L66" i="1057"/>
  <c r="L60" i="1057"/>
  <c r="L56" i="1057"/>
  <c r="L65" i="1057"/>
  <c r="L63" i="1057"/>
  <c r="L53" i="1057"/>
  <c r="L55" i="1057"/>
  <c r="L61" i="1057"/>
  <c r="L57" i="1057"/>
  <c r="M8" i="1057"/>
  <c r="L69" i="1057"/>
  <c r="L62" i="1057"/>
  <c r="L58" i="1057"/>
  <c r="L67" i="1057"/>
  <c r="K213" i="1057"/>
  <c r="K101" i="1057"/>
  <c r="M50" i="1063"/>
  <c r="Y50" i="1063"/>
  <c r="G122" i="1057"/>
  <c r="AB22" i="1057"/>
  <c r="P22" i="1057"/>
  <c r="I147" i="1062"/>
  <c r="K109" i="1060"/>
  <c r="K70" i="1060"/>
  <c r="K221" i="1060"/>
  <c r="K117" i="1060"/>
  <c r="AD157" i="1060" s="1"/>
  <c r="X174" i="1063"/>
  <c r="X60" i="1063"/>
  <c r="X171" i="1064"/>
  <c r="X57" i="1064"/>
  <c r="B59" i="1060"/>
  <c r="D172" i="1060"/>
  <c r="V113" i="1058"/>
  <c r="V225" i="1058" s="1"/>
  <c r="M49" i="1063"/>
  <c r="Y49" i="1063"/>
  <c r="I127" i="1061"/>
  <c r="G89" i="1064"/>
  <c r="G112" i="1064"/>
  <c r="U113" i="1057"/>
  <c r="U225" i="1057" s="1"/>
  <c r="U114" i="1057"/>
  <c r="U115" i="1057" s="1"/>
  <c r="U116" i="1057" s="1"/>
  <c r="X172" i="1063"/>
  <c r="X58" i="1063"/>
  <c r="G122" i="1062"/>
  <c r="L175" i="1058"/>
  <c r="Y18" i="1058"/>
  <c r="M18" i="1058"/>
  <c r="J219" i="1061"/>
  <c r="J106" i="1061"/>
  <c r="J110" i="1061" s="1"/>
  <c r="X141" i="1061"/>
  <c r="Z178" i="1057"/>
  <c r="Z64" i="1057"/>
  <c r="J89" i="1060"/>
  <c r="V126" i="1057"/>
  <c r="L198" i="1064"/>
  <c r="L196" i="1064"/>
  <c r="L197" i="1064"/>
  <c r="D172" i="1063"/>
  <c r="B59" i="1063"/>
  <c r="M121" i="1058"/>
  <c r="M111" i="1058"/>
  <c r="X172" i="1059"/>
  <c r="X58" i="1059"/>
  <c r="Y12" i="1058"/>
  <c r="M12" i="1058"/>
  <c r="M131" i="1058" s="1"/>
  <c r="L166" i="1058"/>
  <c r="L165" i="1058"/>
  <c r="L169" i="1058" s="1"/>
  <c r="J89" i="1057"/>
  <c r="W176" i="1060"/>
  <c r="Y167" i="1061"/>
  <c r="Y217" i="1061"/>
  <c r="O15" i="1061"/>
  <c r="AA15" i="1061"/>
  <c r="N172" i="1061"/>
  <c r="X134" i="1058"/>
  <c r="Z182" i="1061"/>
  <c r="Z68" i="1061"/>
  <c r="V127" i="1057"/>
  <c r="T147" i="1051"/>
  <c r="I144" i="1054"/>
  <c r="U144" i="1055"/>
  <c r="Q228" i="1059"/>
  <c r="R29" i="1059"/>
  <c r="AD29" i="1059"/>
  <c r="AD228" i="1059" s="1"/>
  <c r="X165" i="1060"/>
  <c r="X169" i="1060" s="1"/>
  <c r="X166" i="1060"/>
  <c r="L182" i="1059"/>
  <c r="M23" i="1059"/>
  <c r="Y23" i="1059"/>
  <c r="N21" i="1063"/>
  <c r="M178" i="1063"/>
  <c r="Z21" i="1063"/>
  <c r="Z92" i="1060"/>
  <c r="Z204" i="1060"/>
  <c r="K213" i="1061"/>
  <c r="K101" i="1061"/>
  <c r="Y206" i="1057"/>
  <c r="Y94" i="1057"/>
  <c r="M9" i="1063"/>
  <c r="L88" i="1063" a="1"/>
  <c r="L88" i="1063" s="1"/>
  <c r="Y9" i="1063"/>
  <c r="Y88" i="1063" s="1"/>
  <c r="Y109" i="1063" s="1"/>
  <c r="X178" i="1058"/>
  <c r="Z171" i="1057"/>
  <c r="Z57" i="1057"/>
  <c r="W177" i="1063"/>
  <c r="T147" i="1062"/>
  <c r="J146" i="1060"/>
  <c r="J141" i="1060"/>
  <c r="J148" i="1060" s="1"/>
  <c r="X176" i="1058"/>
  <c r="J114" i="1060"/>
  <c r="J115" i="1060" s="1"/>
  <c r="J116" i="1060" s="1"/>
  <c r="J225" i="1060"/>
  <c r="J113" i="1060"/>
  <c r="N13" i="1063"/>
  <c r="Z13" i="1063"/>
  <c r="Z56" i="1063" s="1"/>
  <c r="X10" i="1058"/>
  <c r="K149" i="1058"/>
  <c r="L175" i="1064"/>
  <c r="M18" i="1064"/>
  <c r="Y18" i="1064"/>
  <c r="N172" i="1057"/>
  <c r="AA15" i="1057"/>
  <c r="O15" i="1057"/>
  <c r="W212" i="1058"/>
  <c r="W100" i="1058"/>
  <c r="X63" i="1063"/>
  <c r="X177" i="1063"/>
  <c r="W213" i="1062"/>
  <c r="W101" i="1062"/>
  <c r="W121" i="1062"/>
  <c r="W111" i="1062"/>
  <c r="W112" i="1062" s="1"/>
  <c r="J110" i="1064"/>
  <c r="W90" i="1058"/>
  <c r="W202" i="1058"/>
  <c r="W209" i="1064"/>
  <c r="W97" i="1064"/>
  <c r="M12" i="1063"/>
  <c r="Y12" i="1063"/>
  <c r="L165" i="1063"/>
  <c r="L166" i="1063"/>
  <c r="L209" i="1060"/>
  <c r="L97" i="1060"/>
  <c r="X208" i="1059"/>
  <c r="X96" i="1059"/>
  <c r="V146" i="1062"/>
  <c r="V148" i="1062" s="1"/>
  <c r="V141" i="1062"/>
  <c r="K213" i="1062"/>
  <c r="K101" i="1062"/>
  <c r="K206" i="1062"/>
  <c r="K94" i="1062"/>
  <c r="K214" i="1062"/>
  <c r="K102" i="1062"/>
  <c r="L63" i="1058"/>
  <c r="L102" i="1058"/>
  <c r="L214" i="1058"/>
  <c r="N169" i="1057"/>
  <c r="N139" i="1057"/>
  <c r="N217" i="1057"/>
  <c r="N133" i="1057"/>
  <c r="N179" i="1057"/>
  <c r="N168" i="1057"/>
  <c r="N132" i="1057"/>
  <c r="N131" i="1057"/>
  <c r="N167" i="1057"/>
  <c r="N134" i="1057"/>
  <c r="O4" i="1057"/>
  <c r="AA4" i="1057"/>
  <c r="W210" i="1058"/>
  <c r="W98" i="1058"/>
  <c r="X61" i="1060"/>
  <c r="X175" i="1060"/>
  <c r="Z10" i="1061"/>
  <c r="Z61" i="1061" s="1"/>
  <c r="M149" i="1061"/>
  <c r="L125" i="1060"/>
  <c r="M10" i="1060"/>
  <c r="M60" i="1060" s="1"/>
  <c r="L130" i="1060" a="1"/>
  <c r="L130" i="1060" s="1"/>
  <c r="L164" i="1060" s="1"/>
  <c r="L129" i="1060"/>
  <c r="L163" i="1060" s="1"/>
  <c r="L123" i="1060"/>
  <c r="L180" i="1060"/>
  <c r="L181" i="1060"/>
  <c r="L216" i="1060" a="1"/>
  <c r="L216" i="1060" s="1"/>
  <c r="W205" i="1059"/>
  <c r="W93" i="1059"/>
  <c r="W130" i="1064"/>
  <c r="W164" i="1064" s="1"/>
  <c r="W123" i="1064"/>
  <c r="W125" i="1064"/>
  <c r="W129" i="1064"/>
  <c r="W163" i="1064" s="1"/>
  <c r="W69" i="1064"/>
  <c r="W54" i="1064"/>
  <c r="W53" i="1064"/>
  <c r="W181" i="1064"/>
  <c r="W216" i="1064"/>
  <c r="W180" i="1064"/>
  <c r="W67" i="1064"/>
  <c r="W104" i="1064"/>
  <c r="W236" i="1064"/>
  <c r="W66" i="1064"/>
  <c r="W215" i="1062"/>
  <c r="W103" i="1062"/>
  <c r="W184" i="1062"/>
  <c r="W185" i="1062"/>
  <c r="L207" i="1059"/>
  <c r="L95" i="1059"/>
  <c r="O12" i="1061"/>
  <c r="AA12" i="1061"/>
  <c r="W178" i="1064"/>
  <c r="V120" i="1061"/>
  <c r="V119" i="1061"/>
  <c r="W103" i="1058"/>
  <c r="W215" i="1058"/>
  <c r="W184" i="1058"/>
  <c r="W185" i="1058"/>
  <c r="L53" i="1063"/>
  <c r="L215" i="1063"/>
  <c r="L103" i="1063"/>
  <c r="L184" i="1063"/>
  <c r="L185" i="1063"/>
  <c r="Z177" i="1057"/>
  <c r="Z63" i="1057"/>
  <c r="Z181" i="1057"/>
  <c r="W65" i="1063"/>
  <c r="W168" i="1063"/>
  <c r="X171" i="1063"/>
  <c r="X57" i="1063"/>
  <c r="L173" i="1060"/>
  <c r="M16" i="1060"/>
  <c r="Y16" i="1060"/>
  <c r="M22" i="1059"/>
  <c r="Y22" i="1059"/>
  <c r="V70" i="1060"/>
  <c r="V89" i="1060" s="1"/>
  <c r="V71" i="1060"/>
  <c r="W208" i="1060"/>
  <c r="W96" i="1060"/>
  <c r="V147" i="1059"/>
  <c r="AB49" i="1061"/>
  <c r="P49" i="1061"/>
  <c r="M23" i="1060"/>
  <c r="Y23" i="1060"/>
  <c r="L182" i="1060"/>
  <c r="N50" i="1061"/>
  <c r="Z50" i="1061"/>
  <c r="X212" i="1059"/>
  <c r="X100" i="1059"/>
  <c r="K91" i="1057"/>
  <c r="K203" i="1057"/>
  <c r="Y208" i="1057"/>
  <c r="Y96" i="1057"/>
  <c r="Y55" i="1057"/>
  <c r="Y70" i="1057" s="1"/>
  <c r="Y171" i="1060"/>
  <c r="Y57" i="1060"/>
  <c r="AA77" i="1062"/>
  <c r="AA194" i="1062"/>
  <c r="AA80" i="1062"/>
  <c r="AA195" i="1062"/>
  <c r="AA56" i="1062"/>
  <c r="AB13" i="1057"/>
  <c r="AB56" i="1057" s="1"/>
  <c r="P13" i="1057"/>
  <c r="I225" i="1063"/>
  <c r="I113" i="1063"/>
  <c r="I114" i="1063" s="1"/>
  <c r="I115" i="1063" s="1"/>
  <c r="I116" i="1063" s="1"/>
  <c r="I126" i="1063" s="1"/>
  <c r="L171" i="1064"/>
  <c r="M14" i="1064"/>
  <c r="Y14" i="1064"/>
  <c r="W206" i="1063"/>
  <c r="W94" i="1063"/>
  <c r="M130" i="1062" a="1"/>
  <c r="M130" i="1062" s="1"/>
  <c r="M164" i="1062" s="1"/>
  <c r="M125" i="1062"/>
  <c r="M123" i="1062"/>
  <c r="M129" i="1062"/>
  <c r="M163" i="1062" s="1"/>
  <c r="N10" i="1062"/>
  <c r="M216" i="1062" a="1"/>
  <c r="M216" i="1062" s="1"/>
  <c r="M180" i="1062"/>
  <c r="M181" i="1062"/>
  <c r="Z217" i="1061"/>
  <c r="Z139" i="1061"/>
  <c r="Z134" i="1061"/>
  <c r="Z65" i="1061"/>
  <c r="Z133" i="1061"/>
  <c r="Z132" i="1061"/>
  <c r="Z131" i="1061"/>
  <c r="Z169" i="1061"/>
  <c r="Z51" i="1058"/>
  <c r="N51" i="1058"/>
  <c r="J112" i="1062"/>
  <c r="X205" i="1060"/>
  <c r="X93" i="1060"/>
  <c r="U126" i="1057"/>
  <c r="AA166" i="1061"/>
  <c r="AA165" i="1061"/>
  <c r="AA194" i="1061"/>
  <c r="AA77" i="1061"/>
  <c r="AA80" i="1061"/>
  <c r="AA195" i="1061"/>
  <c r="AA56" i="1061"/>
  <c r="Z21" i="1060"/>
  <c r="N21" i="1060"/>
  <c r="M177" i="1062"/>
  <c r="N20" i="1062"/>
  <c r="Z20" i="1062"/>
  <c r="M22" i="1063"/>
  <c r="Y22" i="1063"/>
  <c r="AA21" i="1062"/>
  <c r="O21" i="1062"/>
  <c r="W215" i="1059"/>
  <c r="W103" i="1059"/>
  <c r="W184" i="1059"/>
  <c r="W185" i="1059"/>
  <c r="X55" i="1059"/>
  <c r="K206" i="1059"/>
  <c r="K94" i="1059"/>
  <c r="L172" i="1059"/>
  <c r="M15" i="1059"/>
  <c r="Y15" i="1059"/>
  <c r="N12" i="1062"/>
  <c r="Z12" i="1062"/>
  <c r="M166" i="1062"/>
  <c r="M165" i="1062"/>
  <c r="M169" i="1062" s="1"/>
  <c r="AA49" i="1057"/>
  <c r="O49" i="1057"/>
  <c r="J110" i="1057"/>
  <c r="W126" i="1057"/>
  <c r="Z172" i="1061"/>
  <c r="Z58" i="1061"/>
  <c r="AA80" i="1064"/>
  <c r="AA77" i="1064"/>
  <c r="AA194" i="1064"/>
  <c r="AA195" i="1064"/>
  <c r="Y173" i="1059"/>
  <c r="Y59" i="1059"/>
  <c r="K221" i="1063"/>
  <c r="K109" i="1063"/>
  <c r="K70" i="1063"/>
  <c r="K117" i="1063"/>
  <c r="P157" i="1063" s="1"/>
  <c r="L178" i="1058"/>
  <c r="Y21" i="1058"/>
  <c r="M21" i="1058"/>
  <c r="Z49" i="1058"/>
  <c r="N49" i="1058"/>
  <c r="X177" i="1058"/>
  <c r="X63" i="1058"/>
  <c r="W211" i="1064"/>
  <c r="W99" i="1064"/>
  <c r="W140" i="1064"/>
  <c r="L217" i="1063"/>
  <c r="L169" i="1063"/>
  <c r="L139" i="1063"/>
  <c r="L134" i="1063"/>
  <c r="L133" i="1063"/>
  <c r="L132" i="1063"/>
  <c r="L168" i="1063"/>
  <c r="L167" i="1063"/>
  <c r="L179" i="1063"/>
  <c r="L131" i="1063"/>
  <c r="L55" i="1063" s="1"/>
  <c r="Y4" i="1063"/>
  <c r="M4" i="1063"/>
  <c r="M65" i="1063" s="1"/>
  <c r="L176" i="1058"/>
  <c r="Y19" i="1058"/>
  <c r="M19" i="1058"/>
  <c r="Y53" i="1061"/>
  <c r="Y129" i="1061"/>
  <c r="Y163" i="1061" s="1"/>
  <c r="Y123" i="1061"/>
  <c r="Y69" i="1061"/>
  <c r="Y54" i="1061"/>
  <c r="Y125" i="1061"/>
  <c r="Y130" i="1061"/>
  <c r="Y164" i="1061" s="1"/>
  <c r="Y104" i="1061"/>
  <c r="Y216" i="1061"/>
  <c r="Y181" i="1061"/>
  <c r="Y66" i="1061"/>
  <c r="Y180" i="1061"/>
  <c r="Y236" i="1061"/>
  <c r="Y67" i="1061"/>
  <c r="L104" i="1058"/>
  <c r="Y11" i="1058"/>
  <c r="M11" i="1058"/>
  <c r="L236" i="1058"/>
  <c r="K145" i="1059"/>
  <c r="K144" i="1059" s="1"/>
  <c r="K148" i="1059"/>
  <c r="W94" i="1060"/>
  <c r="W206" i="1060"/>
  <c r="L88" i="1062" a="1"/>
  <c r="L88" i="1062" s="1"/>
  <c r="M9" i="1062"/>
  <c r="Y9" i="1062"/>
  <c r="Y88" i="1062" s="1"/>
  <c r="Y109" i="1062" s="1"/>
  <c r="M49" i="1059"/>
  <c r="Y49" i="1059"/>
  <c r="Z172" i="1057"/>
  <c r="Z58" i="1057"/>
  <c r="M88" i="1064" a="1"/>
  <c r="M88" i="1064" s="1"/>
  <c r="Z9" i="1064"/>
  <c r="Z88" i="1064" s="1"/>
  <c r="Z109" i="1064" s="1"/>
  <c r="N9" i="1064"/>
  <c r="X219" i="1061"/>
  <c r="X106" i="1061"/>
  <c r="X110" i="1061" s="1"/>
  <c r="W197" i="1062"/>
  <c r="W198" i="1062"/>
  <c r="W196" i="1062"/>
  <c r="J148" i="1064"/>
  <c r="J147" i="1064"/>
  <c r="J145" i="1064"/>
  <c r="J144" i="1064" s="1"/>
  <c r="X205" i="1062"/>
  <c r="X93" i="1062"/>
  <c r="W121" i="1058"/>
  <c r="W111" i="1058"/>
  <c r="X166" i="1063"/>
  <c r="X165" i="1063"/>
  <c r="X169" i="1063" s="1"/>
  <c r="L92" i="1060"/>
  <c r="L204" i="1060"/>
  <c r="L172" i="1062"/>
  <c r="M15" i="1062"/>
  <c r="Y15" i="1062"/>
  <c r="Z50" i="1058"/>
  <c r="N50" i="1058"/>
  <c r="K208" i="1062"/>
  <c r="K96" i="1062"/>
  <c r="M108" i="1058"/>
  <c r="M65" i="1058"/>
  <c r="M62" i="1058"/>
  <c r="M58" i="1058"/>
  <c r="M64" i="1058"/>
  <c r="M59" i="1058"/>
  <c r="M54" i="1058"/>
  <c r="M60" i="1058"/>
  <c r="M56" i="1058"/>
  <c r="M63" i="1058"/>
  <c r="M53" i="1058"/>
  <c r="M61" i="1058"/>
  <c r="M57" i="1058"/>
  <c r="M69" i="1058"/>
  <c r="M68" i="1058"/>
  <c r="M66" i="1058"/>
  <c r="M67" i="1058"/>
  <c r="N8" i="1058"/>
  <c r="Z8" i="1058"/>
  <c r="L204" i="1058"/>
  <c r="L92" i="1058"/>
  <c r="L203" i="1058"/>
  <c r="L91" i="1058"/>
  <c r="M221" i="1057"/>
  <c r="M109" i="1057"/>
  <c r="X211" i="1059"/>
  <c r="X99" i="1059"/>
  <c r="X140" i="1059"/>
  <c r="W210" i="1062"/>
  <c r="W98" i="1062"/>
  <c r="W205" i="1063"/>
  <c r="W93" i="1063"/>
  <c r="Y204" i="1059"/>
  <c r="Y92" i="1059"/>
  <c r="L208" i="1059"/>
  <c r="L96" i="1059"/>
  <c r="L204" i="1059"/>
  <c r="L92" i="1059"/>
  <c r="L212" i="1059"/>
  <c r="L100" i="1059"/>
  <c r="V147" i="1063"/>
  <c r="V145" i="1063"/>
  <c r="V144" i="1063" s="1"/>
  <c r="L62" i="1063"/>
  <c r="L71" i="1063"/>
  <c r="Y176" i="1061"/>
  <c r="Z180" i="1057"/>
  <c r="W139" i="1063"/>
  <c r="W210" i="1064"/>
  <c r="W98" i="1064"/>
  <c r="K202" i="1064"/>
  <c r="K142" i="1064"/>
  <c r="K143" i="1064" s="1"/>
  <c r="K90" i="1064"/>
  <c r="K89" i="1064"/>
  <c r="K215" i="1064"/>
  <c r="K103" i="1064"/>
  <c r="K184" i="1064"/>
  <c r="K185" i="1064"/>
  <c r="J127" i="1059"/>
  <c r="X182" i="1064"/>
  <c r="X68" i="1064"/>
  <c r="V203" i="1060"/>
  <c r="V91" i="1060"/>
  <c r="X10" i="1064"/>
  <c r="X174" i="1064" s="1"/>
  <c r="K149" i="1064"/>
  <c r="Q157" i="1059"/>
  <c r="V144" i="1059"/>
  <c r="L178" i="1064"/>
  <c r="M21" i="1064"/>
  <c r="Y21" i="1064"/>
  <c r="K215" i="1057"/>
  <c r="K103" i="1057"/>
  <c r="K184" i="1057"/>
  <c r="K185" i="1057"/>
  <c r="W207" i="1062"/>
  <c r="W95" i="1062"/>
  <c r="X145" i="1061"/>
  <c r="X147" i="1061" s="1"/>
  <c r="AA204" i="1057"/>
  <c r="AA92" i="1057"/>
  <c r="W215" i="1064"/>
  <c r="W103" i="1064"/>
  <c r="W185" i="1064"/>
  <c r="W184" i="1064"/>
  <c r="L198" i="1062"/>
  <c r="L196" i="1062"/>
  <c r="L197" i="1062"/>
  <c r="X172" i="1064"/>
  <c r="X58" i="1064"/>
  <c r="AA22" i="1060"/>
  <c r="O22" i="1060"/>
  <c r="N217" i="1061"/>
  <c r="N179" i="1061"/>
  <c r="N169" i="1061"/>
  <c r="N168" i="1061"/>
  <c r="N167" i="1061"/>
  <c r="O4" i="1061"/>
  <c r="N139" i="1061"/>
  <c r="N134" i="1061"/>
  <c r="N133" i="1061"/>
  <c r="AA4" i="1061"/>
  <c r="N132" i="1061"/>
  <c r="N131" i="1061"/>
  <c r="M217" i="1061"/>
  <c r="AD92" i="1062"/>
  <c r="AD204" i="1062"/>
  <c r="J203" i="1058"/>
  <c r="J91" i="1058"/>
  <c r="J110" i="1058" s="1"/>
  <c r="J117" i="1058"/>
  <c r="J127" i="1058" s="1"/>
  <c r="J142" i="1058"/>
  <c r="J143" i="1058" s="1"/>
  <c r="J112" i="1058"/>
  <c r="J89" i="1058"/>
  <c r="M176" i="1062"/>
  <c r="Z19" i="1062"/>
  <c r="N19" i="1062"/>
  <c r="G225" i="1060"/>
  <c r="G114" i="1060"/>
  <c r="G113" i="1060"/>
  <c r="U148" i="1057"/>
  <c r="U145" i="1057"/>
  <c r="U146" i="1057" s="1"/>
  <c r="U148" i="1061"/>
  <c r="U145" i="1061"/>
  <c r="U146" i="1061" s="1"/>
  <c r="L178" i="1060"/>
  <c r="X112" i="1061"/>
  <c r="Y206" i="1061"/>
  <c r="Y94" i="1061"/>
  <c r="M178" i="1062"/>
  <c r="AA181" i="1057"/>
  <c r="AA166" i="1057"/>
  <c r="AA165" i="1057"/>
  <c r="AA180" i="1057"/>
  <c r="AA67" i="1057"/>
  <c r="AA66" i="1057"/>
  <c r="AA80" i="1057"/>
  <c r="AA194" i="1057"/>
  <c r="AA195" i="1057"/>
  <c r="AA236" i="1057"/>
  <c r="AA77" i="1057"/>
  <c r="I110" i="1062"/>
  <c r="Y166" i="1059"/>
  <c r="Y165" i="1059"/>
  <c r="Y169" i="1059" s="1"/>
  <c r="V70" i="1064"/>
  <c r="Y11" i="1060"/>
  <c r="M11" i="1060"/>
  <c r="M108" i="1060" s="1"/>
  <c r="L104" i="1060"/>
  <c r="L236" i="1060"/>
  <c r="J117" i="1061"/>
  <c r="Q157" i="1061" s="1"/>
  <c r="W62" i="1063"/>
  <c r="Y166" i="1062"/>
  <c r="Y165" i="1062"/>
  <c r="Y169" i="1062" s="1"/>
  <c r="W120" i="1057"/>
  <c r="W119" i="1057"/>
  <c r="Y10" i="1059"/>
  <c r="Y63" i="1059" s="1"/>
  <c r="L149" i="1059"/>
  <c r="Y203" i="1061"/>
  <c r="Y91" i="1061"/>
  <c r="X131" i="1058"/>
  <c r="X55" i="1058" s="1"/>
  <c r="W209" i="1053"/>
  <c r="W97" i="1053"/>
  <c r="L210" i="1055"/>
  <c r="L98" i="1055"/>
  <c r="L207" i="1055"/>
  <c r="L95" i="1055"/>
  <c r="L206" i="1055"/>
  <c r="L94" i="1055"/>
  <c r="L209" i="1055"/>
  <c r="L97" i="1055"/>
  <c r="V219" i="1054"/>
  <c r="V106" i="1054"/>
  <c r="K203" i="1056"/>
  <c r="K91" i="1056"/>
  <c r="K70" i="1056"/>
  <c r="K213" i="1053"/>
  <c r="K101" i="1053"/>
  <c r="K206" i="1053"/>
  <c r="K94" i="1053"/>
  <c r="L171" i="1054"/>
  <c r="M14" i="1054"/>
  <c r="Y14" i="1054"/>
  <c r="G89" i="1055"/>
  <c r="G112" i="1055"/>
  <c r="W209" i="1055"/>
  <c r="W97" i="1055"/>
  <c r="X172" i="1055"/>
  <c r="X58" i="1055"/>
  <c r="J203" i="1054"/>
  <c r="J91" i="1054"/>
  <c r="J112" i="1054"/>
  <c r="J117" i="1054"/>
  <c r="J89" i="1054"/>
  <c r="J142" i="1054"/>
  <c r="J143" i="1054" s="1"/>
  <c r="L217" i="1055"/>
  <c r="L132" i="1055"/>
  <c r="L179" i="1055"/>
  <c r="L167" i="1055"/>
  <c r="L134" i="1055"/>
  <c r="L131" i="1055"/>
  <c r="L168" i="1055"/>
  <c r="L139" i="1055"/>
  <c r="L133" i="1055"/>
  <c r="Y4" i="1055"/>
  <c r="M4" i="1055"/>
  <c r="G122" i="1055"/>
  <c r="K204" i="1055"/>
  <c r="K92" i="1055"/>
  <c r="U120" i="1053"/>
  <c r="U119" i="1053"/>
  <c r="U122" i="1053" s="1"/>
  <c r="Z4" i="1053"/>
  <c r="N4" i="1053"/>
  <c r="U127" i="1053"/>
  <c r="V141" i="1054"/>
  <c r="M88" i="1056" a="1"/>
  <c r="M88" i="1056" s="1"/>
  <c r="Z9" i="1056"/>
  <c r="Z88" i="1056" s="1"/>
  <c r="Z109" i="1056" s="1"/>
  <c r="N9" i="1056"/>
  <c r="L207" i="1054"/>
  <c r="L95" i="1054"/>
  <c r="L208" i="1054"/>
  <c r="L96" i="1054"/>
  <c r="T89" i="1053"/>
  <c r="T112" i="1053"/>
  <c r="K215" i="1056"/>
  <c r="K103" i="1056"/>
  <c r="K185" i="1056"/>
  <c r="K184" i="1056"/>
  <c r="M221" i="1055"/>
  <c r="M109" i="1055"/>
  <c r="X202" i="1056"/>
  <c r="X90" i="1056"/>
  <c r="J203" i="1055"/>
  <c r="J91" i="1055"/>
  <c r="J70" i="1055"/>
  <c r="J89" i="1055" s="1"/>
  <c r="J142" i="1055"/>
  <c r="J143" i="1055" s="1"/>
  <c r="K210" i="1055"/>
  <c r="K98" i="1055"/>
  <c r="V112" i="1054"/>
  <c r="U147" i="1054"/>
  <c r="X178" i="1056"/>
  <c r="X64" i="1056"/>
  <c r="D228" i="1054"/>
  <c r="B117" i="1054"/>
  <c r="U146" i="1055"/>
  <c r="M196" i="1054"/>
  <c r="M197" i="1054"/>
  <c r="M198" i="1054"/>
  <c r="L173" i="1056"/>
  <c r="Y16" i="1056"/>
  <c r="M16" i="1056"/>
  <c r="Y166" i="1056"/>
  <c r="Y165" i="1056"/>
  <c r="W212" i="1056"/>
  <c r="W100" i="1056"/>
  <c r="W209" i="1056"/>
  <c r="W97" i="1056"/>
  <c r="K111" i="1053"/>
  <c r="K121" i="1053"/>
  <c r="AA22" i="1054"/>
  <c r="O22" i="1054"/>
  <c r="M22" i="1053"/>
  <c r="Y22" i="1053"/>
  <c r="L213" i="1055"/>
  <c r="L101" i="1055"/>
  <c r="L65" i="1055"/>
  <c r="J141" i="1054"/>
  <c r="W64" i="1054"/>
  <c r="W140" i="1054" s="1"/>
  <c r="H122" i="1053"/>
  <c r="Q228" i="1054"/>
  <c r="R29" i="1054"/>
  <c r="AD29" i="1054"/>
  <c r="AD228" i="1054" s="1"/>
  <c r="J219" i="1054"/>
  <c r="J106" i="1054"/>
  <c r="D228" i="1056"/>
  <c r="B117" i="1056"/>
  <c r="X134" i="1055"/>
  <c r="X133" i="1055"/>
  <c r="X132" i="1055"/>
  <c r="X131" i="1055"/>
  <c r="T44" i="1056"/>
  <c r="T86" i="1056" s="1"/>
  <c r="G86" i="1056"/>
  <c r="W203" i="1055"/>
  <c r="W91" i="1055"/>
  <c r="L215" i="1054"/>
  <c r="L103" i="1054"/>
  <c r="L184" i="1054"/>
  <c r="L185" i="1054"/>
  <c r="L206" i="1054"/>
  <c r="L94" i="1054"/>
  <c r="L213" i="1054"/>
  <c r="L101" i="1054"/>
  <c r="G89" i="1053"/>
  <c r="G112" i="1053"/>
  <c r="K206" i="1056"/>
  <c r="K94" i="1056"/>
  <c r="K205" i="1056"/>
  <c r="K93" i="1056"/>
  <c r="K71" i="1056"/>
  <c r="W211" i="1054"/>
  <c r="W99" i="1054"/>
  <c r="I225" i="1055"/>
  <c r="I113" i="1055"/>
  <c r="I114" i="1055" s="1"/>
  <c r="I115" i="1055" s="1"/>
  <c r="I116" i="1055" s="1"/>
  <c r="I126" i="1055" s="1"/>
  <c r="W211" i="1055"/>
  <c r="W99" i="1055"/>
  <c r="W210" i="1056"/>
  <c r="W98" i="1056"/>
  <c r="W207" i="1054"/>
  <c r="W95" i="1054"/>
  <c r="X131" i="1054"/>
  <c r="X133" i="1054"/>
  <c r="X134" i="1054"/>
  <c r="X132" i="1054"/>
  <c r="K55" i="1054"/>
  <c r="I120" i="1056"/>
  <c r="I119" i="1056"/>
  <c r="V113" i="1055"/>
  <c r="V225" i="1055" s="1"/>
  <c r="L182" i="1054"/>
  <c r="Y23" i="1054"/>
  <c r="M23" i="1054"/>
  <c r="L174" i="1056"/>
  <c r="Y17" i="1056"/>
  <c r="M17" i="1056"/>
  <c r="X215" i="1055"/>
  <c r="X103" i="1055"/>
  <c r="X184" i="1055"/>
  <c r="X185" i="1055"/>
  <c r="M221" i="1053"/>
  <c r="M109" i="1053"/>
  <c r="X173" i="1056"/>
  <c r="X59" i="1056"/>
  <c r="W215" i="1054"/>
  <c r="W103" i="1054"/>
  <c r="W184" i="1054"/>
  <c r="W185" i="1054"/>
  <c r="M13" i="1055"/>
  <c r="Y13" i="1055"/>
  <c r="Y56" i="1055" s="1"/>
  <c r="K197" i="1053"/>
  <c r="K196" i="1053"/>
  <c r="K198" i="1053"/>
  <c r="AD30" i="1055"/>
  <c r="R30" i="1055"/>
  <c r="AE30" i="1055" s="1"/>
  <c r="L215" i="1055"/>
  <c r="L103" i="1055"/>
  <c r="L184" i="1055"/>
  <c r="L185" i="1055"/>
  <c r="N51" i="1055"/>
  <c r="Z51" i="1055"/>
  <c r="J219" i="1053"/>
  <c r="J106" i="1053"/>
  <c r="V117" i="1054"/>
  <c r="AB9" i="1054"/>
  <c r="AB88" i="1054" s="1"/>
  <c r="AB109" i="1054" s="1"/>
  <c r="P9" i="1054"/>
  <c r="O88" i="1054" a="1"/>
  <c r="O88" i="1054" s="1"/>
  <c r="V219" i="1055"/>
  <c r="V106" i="1055"/>
  <c r="W178" i="1054"/>
  <c r="K207" i="1055"/>
  <c r="K95" i="1055"/>
  <c r="K215" i="1053"/>
  <c r="K103" i="1053"/>
  <c r="K184" i="1053"/>
  <c r="K185" i="1053"/>
  <c r="K211" i="1053"/>
  <c r="K99" i="1053"/>
  <c r="K140" i="1053"/>
  <c r="Z51" i="1056"/>
  <c r="N51" i="1056"/>
  <c r="I120" i="1053"/>
  <c r="I119" i="1053"/>
  <c r="I122" i="1053" s="1"/>
  <c r="V110" i="1055"/>
  <c r="N13" i="1053"/>
  <c r="Z13" i="1053"/>
  <c r="Z56" i="1053" s="1"/>
  <c r="Z13" i="1056"/>
  <c r="Z56" i="1056" s="1"/>
  <c r="N13" i="1056"/>
  <c r="K55" i="1055"/>
  <c r="W205" i="1055"/>
  <c r="W93" i="1055"/>
  <c r="J141" i="1056"/>
  <c r="K205" i="1055"/>
  <c r="K93" i="1055"/>
  <c r="W55" i="1056"/>
  <c r="W205" i="1056"/>
  <c r="W93" i="1056"/>
  <c r="L221" i="1056"/>
  <c r="L109" i="1056"/>
  <c r="L71" i="1054"/>
  <c r="L210" i="1054"/>
  <c r="L98" i="1054"/>
  <c r="L214" i="1054"/>
  <c r="L102" i="1054"/>
  <c r="L108" i="1056"/>
  <c r="L68" i="1056"/>
  <c r="L66" i="1056"/>
  <c r="L60" i="1056"/>
  <c r="L56" i="1056"/>
  <c r="L63" i="1056"/>
  <c r="L53" i="1056"/>
  <c r="L61" i="1056"/>
  <c r="L57" i="1056"/>
  <c r="L65" i="1056"/>
  <c r="L69" i="1056"/>
  <c r="L62" i="1056"/>
  <c r="L58" i="1056"/>
  <c r="L67" i="1056"/>
  <c r="Y8" i="1056"/>
  <c r="M8" i="1056"/>
  <c r="L64" i="1056"/>
  <c r="L59" i="1056"/>
  <c r="L54" i="1056"/>
  <c r="L71" i="1056" s="1"/>
  <c r="K209" i="1056"/>
  <c r="K97" i="1056"/>
  <c r="K207" i="1056"/>
  <c r="K95" i="1056"/>
  <c r="K211" i="1055"/>
  <c r="K99" i="1055"/>
  <c r="K140" i="1055"/>
  <c r="I148" i="1055"/>
  <c r="I145" i="1055"/>
  <c r="I146" i="1055" s="1"/>
  <c r="I147" i="1055"/>
  <c r="X213" i="1056"/>
  <c r="X101" i="1056"/>
  <c r="L177" i="1054"/>
  <c r="Y20" i="1054"/>
  <c r="M20" i="1054"/>
  <c r="X182" i="1054"/>
  <c r="X68" i="1054"/>
  <c r="X173" i="1054"/>
  <c r="X59" i="1054"/>
  <c r="X174" i="1056"/>
  <c r="X60" i="1056"/>
  <c r="U113" i="1053"/>
  <c r="U225" i="1053" s="1"/>
  <c r="N88" i="1053" a="1"/>
  <c r="N88" i="1053" s="1"/>
  <c r="AA9" i="1053"/>
  <c r="AA88" i="1053" s="1"/>
  <c r="AA109" i="1053" s="1"/>
  <c r="O9" i="1053"/>
  <c r="X204" i="1055"/>
  <c r="X92" i="1055"/>
  <c r="L172" i="1053"/>
  <c r="M15" i="1053"/>
  <c r="Y15" i="1053"/>
  <c r="AC50" i="1054"/>
  <c r="Q50" i="1054"/>
  <c r="L175" i="1053"/>
  <c r="M18" i="1053"/>
  <c r="Y18" i="1053"/>
  <c r="L71" i="1055"/>
  <c r="V142" i="1054"/>
  <c r="V143" i="1054" s="1"/>
  <c r="N109" i="1054"/>
  <c r="N221" i="1054"/>
  <c r="W206" i="1056"/>
  <c r="W94" i="1056"/>
  <c r="W130" i="1055"/>
  <c r="W164" i="1055" s="1"/>
  <c r="W125" i="1055"/>
  <c r="W129" i="1055"/>
  <c r="W163" i="1055" s="1"/>
  <c r="W123" i="1055"/>
  <c r="W53" i="1055"/>
  <c r="W54" i="1055"/>
  <c r="W69" i="1055"/>
  <c r="W181" i="1055"/>
  <c r="W180" i="1055"/>
  <c r="W216" i="1055"/>
  <c r="W66" i="1055"/>
  <c r="W104" i="1055"/>
  <c r="W67" i="1055"/>
  <c r="W236" i="1055"/>
  <c r="I144" i="1053"/>
  <c r="L177" i="1056"/>
  <c r="Y20" i="1056"/>
  <c r="M20" i="1056"/>
  <c r="W62" i="1054"/>
  <c r="O51" i="1054"/>
  <c r="AA51" i="1054"/>
  <c r="N50" i="1055"/>
  <c r="Z50" i="1055"/>
  <c r="M12" i="1055"/>
  <c r="Y12" i="1055"/>
  <c r="L166" i="1055"/>
  <c r="L165" i="1055"/>
  <c r="L169" i="1055" s="1"/>
  <c r="Y204" i="1053"/>
  <c r="Y92" i="1053"/>
  <c r="Y204" i="1056"/>
  <c r="Y92" i="1056"/>
  <c r="L171" i="1056"/>
  <c r="Y14" i="1056"/>
  <c r="M14" i="1056"/>
  <c r="M49" i="1053"/>
  <c r="Y49" i="1053"/>
  <c r="W215" i="1053"/>
  <c r="W103" i="1053"/>
  <c r="W185" i="1053"/>
  <c r="W184" i="1053"/>
  <c r="M51" i="1053"/>
  <c r="Y51" i="1053"/>
  <c r="L171" i="1055"/>
  <c r="M14" i="1055"/>
  <c r="Y14" i="1055"/>
  <c r="W212" i="1055"/>
  <c r="W100" i="1055"/>
  <c r="L57" i="1054"/>
  <c r="L212" i="1054"/>
  <c r="L100" i="1054"/>
  <c r="K210" i="1056"/>
  <c r="K98" i="1056"/>
  <c r="K202" i="1056"/>
  <c r="K142" i="1056"/>
  <c r="K143" i="1056" s="1"/>
  <c r="K89" i="1056"/>
  <c r="K90" i="1056"/>
  <c r="K212" i="1056"/>
  <c r="K100" i="1056"/>
  <c r="AA80" i="1053"/>
  <c r="AA77" i="1053"/>
  <c r="AA194" i="1053"/>
  <c r="AA195" i="1053"/>
  <c r="L182" i="1053"/>
  <c r="M23" i="1053"/>
  <c r="Y23" i="1053"/>
  <c r="X214" i="1056"/>
  <c r="X102" i="1056"/>
  <c r="X121" i="1056"/>
  <c r="X111" i="1056"/>
  <c r="L217" i="1054"/>
  <c r="L134" i="1054"/>
  <c r="L179" i="1054"/>
  <c r="L131" i="1054"/>
  <c r="L133" i="1054"/>
  <c r="L139" i="1054"/>
  <c r="L132" i="1054"/>
  <c r="Y4" i="1054"/>
  <c r="L168" i="1054"/>
  <c r="M4" i="1054"/>
  <c r="L167" i="1054"/>
  <c r="Z11" i="1056"/>
  <c r="N11" i="1056"/>
  <c r="M236" i="1056"/>
  <c r="M104" i="1056"/>
  <c r="W206" i="1054"/>
  <c r="W94" i="1054"/>
  <c r="K141" i="1054"/>
  <c r="L174" i="1055"/>
  <c r="M17" i="1055"/>
  <c r="Y17" i="1055"/>
  <c r="L173" i="1054"/>
  <c r="M16" i="1054"/>
  <c r="Y16" i="1054"/>
  <c r="W206" i="1053"/>
  <c r="W94" i="1053"/>
  <c r="W208" i="1054"/>
  <c r="W96" i="1054"/>
  <c r="X172" i="1054"/>
  <c r="X58" i="1054"/>
  <c r="W207" i="1053"/>
  <c r="W95" i="1053"/>
  <c r="J141" i="1053"/>
  <c r="X172" i="1053"/>
  <c r="X58" i="1053"/>
  <c r="L129" i="1056"/>
  <c r="L163" i="1056" s="1"/>
  <c r="L123" i="1056"/>
  <c r="L125" i="1056"/>
  <c r="L130" i="1056" a="1"/>
  <c r="L130" i="1056" s="1"/>
  <c r="L164" i="1056" s="1"/>
  <c r="M10" i="1056"/>
  <c r="L216" i="1056" a="1"/>
  <c r="L216" i="1056" s="1"/>
  <c r="L181" i="1056"/>
  <c r="L180" i="1056"/>
  <c r="V219" i="1053"/>
  <c r="V106" i="1053"/>
  <c r="V110" i="1053" s="1"/>
  <c r="L173" i="1053"/>
  <c r="Y16" i="1053"/>
  <c r="M16" i="1053"/>
  <c r="M69" i="1055"/>
  <c r="M67" i="1055"/>
  <c r="M54" i="1055"/>
  <c r="M68" i="1055"/>
  <c r="M66" i="1055"/>
  <c r="M60" i="1055"/>
  <c r="M56" i="1055"/>
  <c r="M53" i="1055"/>
  <c r="M65" i="1055"/>
  <c r="Z8" i="1055"/>
  <c r="N8" i="1055"/>
  <c r="J117" i="1053"/>
  <c r="V89" i="1054"/>
  <c r="W205" i="1054"/>
  <c r="W93" i="1054"/>
  <c r="X177" i="1056"/>
  <c r="X63" i="1056"/>
  <c r="J219" i="1056"/>
  <c r="J106" i="1056"/>
  <c r="V117" i="1050"/>
  <c r="U113" i="1055"/>
  <c r="U225" i="1055" s="1"/>
  <c r="X165" i="1055"/>
  <c r="X169" i="1055" s="1"/>
  <c r="X166" i="1055"/>
  <c r="V203" i="1056"/>
  <c r="V91" i="1056"/>
  <c r="V142" i="1056"/>
  <c r="V143" i="1056" s="1"/>
  <c r="V147" i="1055"/>
  <c r="V145" i="1055"/>
  <c r="V144" i="1055"/>
  <c r="X171" i="1056"/>
  <c r="X57" i="1056"/>
  <c r="G122" i="1056"/>
  <c r="V144" i="1053"/>
  <c r="V145" i="1053"/>
  <c r="V147" i="1053" s="1"/>
  <c r="U219" i="1056"/>
  <c r="U106" i="1056"/>
  <c r="U110" i="1056" s="1"/>
  <c r="U112" i="1056"/>
  <c r="D172" i="1053"/>
  <c r="B59" i="1053"/>
  <c r="I127" i="1053"/>
  <c r="X171" i="1055"/>
  <c r="X57" i="1055"/>
  <c r="L97" i="1054"/>
  <c r="L209" i="1054"/>
  <c r="L90" i="1054"/>
  <c r="L202" i="1054"/>
  <c r="K211" i="1056"/>
  <c r="K99" i="1056"/>
  <c r="K140" i="1056"/>
  <c r="Q228" i="1056"/>
  <c r="R29" i="1056"/>
  <c r="AD29" i="1056"/>
  <c r="AD228" i="1056" s="1"/>
  <c r="P17" i="1053"/>
  <c r="AB17" i="1053"/>
  <c r="X182" i="1053"/>
  <c r="X68" i="1053"/>
  <c r="X198" i="1056"/>
  <c r="X197" i="1056"/>
  <c r="X196" i="1056"/>
  <c r="Y12" i="1053"/>
  <c r="Y133" i="1053" s="1"/>
  <c r="M12" i="1053"/>
  <c r="M132" i="1053" s="1"/>
  <c r="L166" i="1053"/>
  <c r="L165" i="1053"/>
  <c r="L169" i="1053" s="1"/>
  <c r="L178" i="1055"/>
  <c r="M21" i="1055"/>
  <c r="Y21" i="1055"/>
  <c r="Y10" i="1056"/>
  <c r="L149" i="1056"/>
  <c r="X205" i="1053"/>
  <c r="X93" i="1053"/>
  <c r="L175" i="1056"/>
  <c r="Y18" i="1056"/>
  <c r="M18" i="1056"/>
  <c r="N130" i="1054" a="1"/>
  <c r="N130" i="1054" s="1"/>
  <c r="N164" i="1054" s="1"/>
  <c r="N129" i="1054"/>
  <c r="N163" i="1054" s="1"/>
  <c r="N125" i="1054"/>
  <c r="N123" i="1054"/>
  <c r="O10" i="1054"/>
  <c r="N216" i="1054" a="1"/>
  <c r="N216" i="1054" s="1"/>
  <c r="N181" i="1054"/>
  <c r="N180" i="1054"/>
  <c r="J112" i="1053"/>
  <c r="N19" i="1053"/>
  <c r="Z19" i="1053"/>
  <c r="L172" i="1054"/>
  <c r="M15" i="1054"/>
  <c r="Y15" i="1054"/>
  <c r="X62" i="1054"/>
  <c r="W129" i="1054"/>
  <c r="W163" i="1054" s="1"/>
  <c r="W125" i="1054"/>
  <c r="W123" i="1054"/>
  <c r="W54" i="1054"/>
  <c r="W130" i="1054"/>
  <c r="W164" i="1054" s="1"/>
  <c r="W53" i="1054"/>
  <c r="W69" i="1054"/>
  <c r="W66" i="1054"/>
  <c r="W181" i="1054"/>
  <c r="W180" i="1054"/>
  <c r="W104" i="1054"/>
  <c r="W216" i="1054"/>
  <c r="W236" i="1054"/>
  <c r="W67" i="1054"/>
  <c r="U120" i="1054"/>
  <c r="U119" i="1054"/>
  <c r="K121" i="1056"/>
  <c r="K111" i="1056"/>
  <c r="K112" i="1056" s="1"/>
  <c r="X173" i="1053"/>
  <c r="X59" i="1053"/>
  <c r="L202" i="1055"/>
  <c r="L90" i="1055"/>
  <c r="L64" i="1055"/>
  <c r="X10" i="1054"/>
  <c r="X178" i="1054" s="1"/>
  <c r="K149" i="1054"/>
  <c r="J89" i="1053"/>
  <c r="V146" i="1055"/>
  <c r="V148" i="1055" s="1"/>
  <c r="V141" i="1055"/>
  <c r="K204" i="1053"/>
  <c r="K92" i="1053"/>
  <c r="K210" i="1053"/>
  <c r="K98" i="1053"/>
  <c r="K202" i="1053"/>
  <c r="K142" i="1053"/>
  <c r="K143" i="1053" s="1"/>
  <c r="K90" i="1053"/>
  <c r="K208" i="1053"/>
  <c r="K96" i="1053"/>
  <c r="K71" i="1053"/>
  <c r="K117" i="1053" s="1"/>
  <c r="K70" i="1053"/>
  <c r="V110" i="1050"/>
  <c r="U144" i="1052"/>
  <c r="V89" i="1052"/>
  <c r="T144" i="1051"/>
  <c r="D172" i="1056"/>
  <c r="B59" i="1056"/>
  <c r="K207" i="1053"/>
  <c r="K95" i="1053"/>
  <c r="L108" i="1053"/>
  <c r="L61" i="1053"/>
  <c r="L57" i="1053"/>
  <c r="M8" i="1053"/>
  <c r="L65" i="1053"/>
  <c r="L55" i="1053"/>
  <c r="L69" i="1053"/>
  <c r="L62" i="1053"/>
  <c r="L58" i="1053"/>
  <c r="L67" i="1053"/>
  <c r="L64" i="1053"/>
  <c r="L68" i="1053"/>
  <c r="L60" i="1053"/>
  <c r="Y8" i="1053"/>
  <c r="L66" i="1053"/>
  <c r="L53" i="1053"/>
  <c r="L54" i="1053"/>
  <c r="L63" i="1053"/>
  <c r="L59" i="1053"/>
  <c r="L56" i="1053"/>
  <c r="Z50" i="1056"/>
  <c r="N50" i="1056"/>
  <c r="G89" i="1054"/>
  <c r="G112" i="1054"/>
  <c r="N49" i="1054"/>
  <c r="Z49" i="1054"/>
  <c r="M11" i="1055"/>
  <c r="M108" i="1055" s="1"/>
  <c r="Y11" i="1055"/>
  <c r="L104" i="1055"/>
  <c r="L236" i="1055"/>
  <c r="X166" i="1054"/>
  <c r="X165" i="1054"/>
  <c r="X169" i="1054" s="1"/>
  <c r="K117" i="1056"/>
  <c r="R157" i="1056" s="1"/>
  <c r="U147" i="1053"/>
  <c r="Z22" i="1056"/>
  <c r="N22" i="1056"/>
  <c r="U117" i="1056"/>
  <c r="V141" i="1056"/>
  <c r="Y18" i="1054"/>
  <c r="M18" i="1054"/>
  <c r="L175" i="1054"/>
  <c r="L182" i="1056"/>
  <c r="Y23" i="1056"/>
  <c r="M23" i="1056"/>
  <c r="L63" i="1054"/>
  <c r="K214" i="1056"/>
  <c r="K102" i="1056"/>
  <c r="K204" i="1056"/>
  <c r="K92" i="1056"/>
  <c r="W207" i="1055"/>
  <c r="W95" i="1055"/>
  <c r="X166" i="1053"/>
  <c r="X165" i="1053"/>
  <c r="X169" i="1053" s="1"/>
  <c r="J112" i="1056"/>
  <c r="W208" i="1055"/>
  <c r="W96" i="1055"/>
  <c r="L173" i="1055"/>
  <c r="M16" i="1055"/>
  <c r="Y16" i="1055"/>
  <c r="L176" i="1055"/>
  <c r="Y19" i="1055"/>
  <c r="M19" i="1055"/>
  <c r="L177" i="1055"/>
  <c r="Y20" i="1055"/>
  <c r="M20" i="1055"/>
  <c r="X131" i="1053"/>
  <c r="M182" i="1055"/>
  <c r="Z23" i="1055"/>
  <c r="N23" i="1055"/>
  <c r="X175" i="1056"/>
  <c r="X61" i="1056"/>
  <c r="L177" i="1053"/>
  <c r="Y20" i="1053"/>
  <c r="M20" i="1053"/>
  <c r="M121" i="1055"/>
  <c r="M111" i="1055"/>
  <c r="L176" i="1054"/>
  <c r="Y19" i="1054"/>
  <c r="M19" i="1054"/>
  <c r="Y171" i="1053"/>
  <c r="Y57" i="1053"/>
  <c r="L172" i="1056"/>
  <c r="Y15" i="1056"/>
  <c r="M15" i="1056"/>
  <c r="W207" i="1056"/>
  <c r="W95" i="1056"/>
  <c r="L57" i="1055"/>
  <c r="L214" i="1055"/>
  <c r="L102" i="1055"/>
  <c r="M11" i="1054"/>
  <c r="L104" i="1054"/>
  <c r="Y11" i="1054"/>
  <c r="L236" i="1054"/>
  <c r="J110" i="1053"/>
  <c r="AA80" i="1055"/>
  <c r="AA195" i="1055"/>
  <c r="AA77" i="1055"/>
  <c r="AA194" i="1055"/>
  <c r="D229" i="1055"/>
  <c r="B118" i="1055"/>
  <c r="U127" i="1054"/>
  <c r="R228" i="1055"/>
  <c r="AE29" i="1055"/>
  <c r="AE228" i="1055" s="1"/>
  <c r="V89" i="1050"/>
  <c r="K100" i="1053"/>
  <c r="K212" i="1053"/>
  <c r="K205" i="1053"/>
  <c r="K93" i="1053"/>
  <c r="V141" i="1053"/>
  <c r="V146" i="1053"/>
  <c r="X10" i="1055"/>
  <c r="K149" i="1055"/>
  <c r="M12" i="1054"/>
  <c r="Y12" i="1054"/>
  <c r="L165" i="1054"/>
  <c r="L169" i="1054" s="1"/>
  <c r="L166" i="1054"/>
  <c r="W211" i="1056"/>
  <c r="W99" i="1056"/>
  <c r="W140" i="1056"/>
  <c r="R228" i="1053"/>
  <c r="AE29" i="1053"/>
  <c r="AE228" i="1053" s="1"/>
  <c r="D172" i="1054"/>
  <c r="B59" i="1054"/>
  <c r="Z49" i="1055"/>
  <c r="N49" i="1055"/>
  <c r="U89" i="1056"/>
  <c r="L176" i="1056"/>
  <c r="Y19" i="1056"/>
  <c r="M19" i="1056"/>
  <c r="X182" i="1056"/>
  <c r="X68" i="1056"/>
  <c r="J110" i="1056"/>
  <c r="K208" i="1056"/>
  <c r="K96" i="1056"/>
  <c r="D229" i="1053"/>
  <c r="B118" i="1053"/>
  <c r="L217" i="1056"/>
  <c r="L179" i="1056"/>
  <c r="L168" i="1056"/>
  <c r="L167" i="1056"/>
  <c r="L169" i="1056"/>
  <c r="L132" i="1056"/>
  <c r="L131" i="1056"/>
  <c r="L55" i="1056" s="1"/>
  <c r="L139" i="1056"/>
  <c r="L134" i="1056"/>
  <c r="L133" i="1056"/>
  <c r="M4" i="1056"/>
  <c r="Y4" i="1056"/>
  <c r="AD30" i="1056"/>
  <c r="R30" i="1056"/>
  <c r="AE30" i="1056" s="1"/>
  <c r="M11" i="1053"/>
  <c r="Y11" i="1053"/>
  <c r="L104" i="1053"/>
  <c r="L236" i="1053"/>
  <c r="W203" i="1053"/>
  <c r="W91" i="1053"/>
  <c r="X173" i="1055"/>
  <c r="X59" i="1055"/>
  <c r="X62" i="1055"/>
  <c r="W63" i="1053"/>
  <c r="Y182" i="1055"/>
  <c r="Y68" i="1055"/>
  <c r="U119" i="1055"/>
  <c r="U120" i="1055"/>
  <c r="J141" i="1055"/>
  <c r="V112" i="1053"/>
  <c r="U127" i="1055"/>
  <c r="M50" i="1053"/>
  <c r="Y50" i="1053"/>
  <c r="N130" i="1055" a="1"/>
  <c r="N130" i="1055" s="1"/>
  <c r="N164" i="1055" s="1"/>
  <c r="N125" i="1055"/>
  <c r="N129" i="1055"/>
  <c r="N163" i="1055" s="1"/>
  <c r="N123" i="1055"/>
  <c r="O10" i="1055"/>
  <c r="N216" i="1055" a="1"/>
  <c r="N216" i="1055" s="1"/>
  <c r="M171" i="1053"/>
  <c r="N14" i="1053"/>
  <c r="Z14" i="1053"/>
  <c r="X172" i="1056"/>
  <c r="X58" i="1056"/>
  <c r="M10" i="1053"/>
  <c r="M167" i="1053" s="1"/>
  <c r="L129" i="1053"/>
  <c r="L163" i="1053" s="1"/>
  <c r="L123" i="1053"/>
  <c r="L130" i="1053" a="1"/>
  <c r="L130" i="1053" s="1"/>
  <c r="L164" i="1053" s="1"/>
  <c r="L125" i="1053"/>
  <c r="L216" i="1053" a="1"/>
  <c r="L216" i="1053" s="1"/>
  <c r="L180" i="1053"/>
  <c r="L174" i="1053"/>
  <c r="L181" i="1053"/>
  <c r="L174" i="1054"/>
  <c r="M17" i="1054"/>
  <c r="Y17" i="1054"/>
  <c r="I147" i="1056"/>
  <c r="L63" i="1055"/>
  <c r="L56" i="1055"/>
  <c r="J144" i="1053"/>
  <c r="J145" i="1053"/>
  <c r="J146" i="1053" s="1"/>
  <c r="J147" i="1053"/>
  <c r="J148" i="1053"/>
  <c r="Y22" i="1055"/>
  <c r="M22" i="1055"/>
  <c r="X204" i="1054"/>
  <c r="X92" i="1054"/>
  <c r="I110" i="1054"/>
  <c r="K203" i="1053"/>
  <c r="K91" i="1053"/>
  <c r="I117" i="1052"/>
  <c r="W206" i="1055"/>
  <c r="W94" i="1055"/>
  <c r="I146" i="1051"/>
  <c r="T89" i="1054"/>
  <c r="T112" i="1054"/>
  <c r="K214" i="1053"/>
  <c r="K102" i="1053"/>
  <c r="K209" i="1053"/>
  <c r="K97" i="1053"/>
  <c r="X171" i="1054"/>
  <c r="X57" i="1054"/>
  <c r="T89" i="1055"/>
  <c r="T112" i="1055"/>
  <c r="Z49" i="1056"/>
  <c r="N49" i="1056"/>
  <c r="L178" i="1054"/>
  <c r="M21" i="1054"/>
  <c r="Y21" i="1054"/>
  <c r="L172" i="1055"/>
  <c r="M15" i="1055"/>
  <c r="M58" i="1055" s="1"/>
  <c r="Y15" i="1055"/>
  <c r="W209" i="1054"/>
  <c r="W97" i="1054"/>
  <c r="G122" i="1053"/>
  <c r="L175" i="1055"/>
  <c r="M18" i="1055"/>
  <c r="M61" i="1055" s="1"/>
  <c r="Y18" i="1055"/>
  <c r="V203" i="1054"/>
  <c r="V91" i="1054"/>
  <c r="V110" i="1054" s="1"/>
  <c r="U145" i="1056"/>
  <c r="U146" i="1056" s="1"/>
  <c r="U148" i="1056"/>
  <c r="X176" i="1056"/>
  <c r="X62" i="1056"/>
  <c r="W129" i="1053"/>
  <c r="W163" i="1053" s="1"/>
  <c r="W123" i="1053"/>
  <c r="W69" i="1053"/>
  <c r="W54" i="1053"/>
  <c r="W130" i="1053"/>
  <c r="W164" i="1053" s="1"/>
  <c r="W125" i="1053"/>
  <c r="W53" i="1053"/>
  <c r="W236" i="1053"/>
  <c r="W67" i="1053"/>
  <c r="W66" i="1053"/>
  <c r="W104" i="1053"/>
  <c r="W181" i="1053"/>
  <c r="W216" i="1053"/>
  <c r="W180" i="1053"/>
  <c r="W174" i="1053"/>
  <c r="W60" i="1053"/>
  <c r="W178" i="1053"/>
  <c r="W62" i="1053"/>
  <c r="W64" i="1053"/>
  <c r="W167" i="1053"/>
  <c r="W65" i="1053"/>
  <c r="W139" i="1053"/>
  <c r="W179" i="1053"/>
  <c r="W168" i="1053"/>
  <c r="W176" i="1053"/>
  <c r="W217" i="1053"/>
  <c r="M64" i="1054"/>
  <c r="M59" i="1054"/>
  <c r="M54" i="1054"/>
  <c r="M108" i="1054"/>
  <c r="M63" i="1054"/>
  <c r="M53" i="1054"/>
  <c r="M61" i="1054"/>
  <c r="M57" i="1054"/>
  <c r="M69" i="1054"/>
  <c r="M66" i="1054"/>
  <c r="M65" i="1054"/>
  <c r="M68" i="1054"/>
  <c r="M67" i="1054"/>
  <c r="Z8" i="1054"/>
  <c r="M62" i="1054"/>
  <c r="M60" i="1054"/>
  <c r="M58" i="1054"/>
  <c r="N8" i="1054"/>
  <c r="L204" i="1054"/>
  <c r="L92" i="1054"/>
  <c r="J148" i="1056"/>
  <c r="J145" i="1056"/>
  <c r="J146" i="1056" s="1"/>
  <c r="K213" i="1056"/>
  <c r="K101" i="1056"/>
  <c r="I219" i="1055"/>
  <c r="I106" i="1055"/>
  <c r="W210" i="1055"/>
  <c r="W98" i="1055"/>
  <c r="X217" i="1056"/>
  <c r="X179" i="1056"/>
  <c r="X167" i="1056"/>
  <c r="X134" i="1056"/>
  <c r="X168" i="1056"/>
  <c r="X133" i="1056"/>
  <c r="X169" i="1056"/>
  <c r="X132" i="1056"/>
  <c r="X131" i="1056"/>
  <c r="X139" i="1056"/>
  <c r="X65" i="1056"/>
  <c r="W55" i="1054"/>
  <c r="N88" i="1055" a="1"/>
  <c r="N88" i="1055" s="1"/>
  <c r="AA9" i="1055"/>
  <c r="AA88" i="1055" s="1"/>
  <c r="AA109" i="1055" s="1"/>
  <c r="O9" i="1055"/>
  <c r="X10" i="1053"/>
  <c r="X61" i="1053" s="1"/>
  <c r="K149" i="1053"/>
  <c r="W215" i="1056"/>
  <c r="W103" i="1056"/>
  <c r="W184" i="1056"/>
  <c r="W185" i="1056"/>
  <c r="W177" i="1053"/>
  <c r="X132" i="1053"/>
  <c r="L178" i="1056"/>
  <c r="Y21" i="1056"/>
  <c r="M21" i="1056"/>
  <c r="M111" i="1054"/>
  <c r="M121" i="1054"/>
  <c r="N21" i="1053"/>
  <c r="M178" i="1053"/>
  <c r="Z21" i="1053"/>
  <c r="W175" i="1053"/>
  <c r="M198" i="1055"/>
  <c r="M196" i="1055"/>
  <c r="M197" i="1055"/>
  <c r="Z12" i="1056"/>
  <c r="N12" i="1056"/>
  <c r="M166" i="1056"/>
  <c r="M165" i="1056"/>
  <c r="I225" i="1056"/>
  <c r="I113" i="1056"/>
  <c r="I114" i="1056" s="1"/>
  <c r="I115" i="1056" s="1"/>
  <c r="I116" i="1056" s="1"/>
  <c r="I126" i="1056" s="1"/>
  <c r="W208" i="1056"/>
  <c r="W96" i="1056"/>
  <c r="K197" i="1056"/>
  <c r="K196" i="1056"/>
  <c r="K198" i="1056"/>
  <c r="L60" i="1055"/>
  <c r="D172" i="1055"/>
  <c r="B59" i="1055"/>
  <c r="M13" i="1054"/>
  <c r="M56" i="1054" s="1"/>
  <c r="Y13" i="1054"/>
  <c r="Y56" i="1054" s="1"/>
  <c r="V70" i="1056"/>
  <c r="L205" i="1052"/>
  <c r="L93" i="1052"/>
  <c r="U119" i="1051"/>
  <c r="U120" i="1051"/>
  <c r="U127" i="1051"/>
  <c r="L207" i="1052"/>
  <c r="L95" i="1052"/>
  <c r="T225" i="1051"/>
  <c r="T113" i="1051"/>
  <c r="T114" i="1051" s="1"/>
  <c r="T115" i="1051" s="1"/>
  <c r="T116" i="1051" s="1"/>
  <c r="M198" i="1052"/>
  <c r="M197" i="1052"/>
  <c r="M196" i="1052"/>
  <c r="AD30" i="1051"/>
  <c r="R30" i="1051"/>
  <c r="AE30" i="1051" s="1"/>
  <c r="M221" i="1052"/>
  <c r="M109" i="1052"/>
  <c r="G86" i="1052"/>
  <c r="T44" i="1052"/>
  <c r="T86" i="1052" s="1"/>
  <c r="V219" i="1051"/>
  <c r="V106" i="1051"/>
  <c r="V110" i="1051" s="1"/>
  <c r="V117" i="1051"/>
  <c r="X71" i="1051"/>
  <c r="U114" i="1051"/>
  <c r="U115" i="1051" s="1"/>
  <c r="U116" i="1051" s="1"/>
  <c r="U126" i="1051" s="1"/>
  <c r="X171" i="1051"/>
  <c r="X57" i="1051"/>
  <c r="L129" i="1051"/>
  <c r="L163" i="1051" s="1"/>
  <c r="L123" i="1051"/>
  <c r="L130" i="1051" a="1"/>
  <c r="L130" i="1051" s="1"/>
  <c r="L164" i="1051" s="1"/>
  <c r="L125" i="1051"/>
  <c r="M10" i="1051"/>
  <c r="L216" i="1051" a="1"/>
  <c r="L216" i="1051" s="1"/>
  <c r="L180" i="1051"/>
  <c r="L181" i="1051"/>
  <c r="L179" i="1051"/>
  <c r="L217" i="1051"/>
  <c r="L167" i="1051"/>
  <c r="L168" i="1051"/>
  <c r="L139" i="1051"/>
  <c r="L88" i="1051" a="1"/>
  <c r="L88" i="1051" s="1"/>
  <c r="Y9" i="1051"/>
  <c r="Y88" i="1051" s="1"/>
  <c r="Y109" i="1051" s="1"/>
  <c r="M9" i="1051"/>
  <c r="J117" i="1051"/>
  <c r="U119" i="1052"/>
  <c r="U120" i="1052"/>
  <c r="K211" i="1051"/>
  <c r="K99" i="1051"/>
  <c r="K140" i="1051"/>
  <c r="K210" i="1051"/>
  <c r="K98" i="1051"/>
  <c r="L202" i="1052"/>
  <c r="L90" i="1052"/>
  <c r="L182" i="1052"/>
  <c r="M23" i="1052"/>
  <c r="Y23" i="1052"/>
  <c r="W71" i="1052"/>
  <c r="W209" i="1052"/>
  <c r="W97" i="1052"/>
  <c r="V147" i="1052"/>
  <c r="V145" i="1052"/>
  <c r="V146" i="1052" s="1"/>
  <c r="V144" i="1052"/>
  <c r="M12" i="1051"/>
  <c r="Y12" i="1051"/>
  <c r="L165" i="1051"/>
  <c r="L169" i="1051" s="1"/>
  <c r="L166" i="1051"/>
  <c r="L131" i="1051"/>
  <c r="L133" i="1051"/>
  <c r="L134" i="1051"/>
  <c r="L132" i="1051"/>
  <c r="V141" i="1052"/>
  <c r="W208" i="1052"/>
  <c r="W96" i="1052"/>
  <c r="U144" i="1051"/>
  <c r="X212" i="1051"/>
  <c r="X100" i="1051"/>
  <c r="X208" i="1051"/>
  <c r="X96" i="1051"/>
  <c r="N88" i="1052" a="1"/>
  <c r="N88" i="1052" s="1"/>
  <c r="AA9" i="1052"/>
  <c r="AA88" i="1052" s="1"/>
  <c r="AA109" i="1052" s="1"/>
  <c r="O9" i="1052"/>
  <c r="AA50" i="1052"/>
  <c r="O50" i="1052"/>
  <c r="K207" i="1051"/>
  <c r="K95" i="1051"/>
  <c r="J117" i="1050"/>
  <c r="M177" i="1051"/>
  <c r="Z20" i="1051"/>
  <c r="N20" i="1051"/>
  <c r="V145" i="1051"/>
  <c r="V146" i="1051" s="1"/>
  <c r="J145" i="1051"/>
  <c r="J147" i="1051" s="1"/>
  <c r="M14" i="1051"/>
  <c r="L171" i="1051"/>
  <c r="Y14" i="1051"/>
  <c r="L177" i="1052"/>
  <c r="M20" i="1052"/>
  <c r="Y20" i="1052"/>
  <c r="K203" i="1052"/>
  <c r="K91" i="1052"/>
  <c r="W211" i="1052"/>
  <c r="W99" i="1052"/>
  <c r="W140" i="1052"/>
  <c r="X210" i="1051"/>
  <c r="X98" i="1051"/>
  <c r="K209" i="1051"/>
  <c r="K97" i="1051"/>
  <c r="K204" i="1051"/>
  <c r="K92" i="1051"/>
  <c r="K203" i="1051"/>
  <c r="K91" i="1051"/>
  <c r="L209" i="1052"/>
  <c r="L97" i="1052"/>
  <c r="L63" i="1052"/>
  <c r="X172" i="1052"/>
  <c r="X58" i="1052"/>
  <c r="X172" i="1051"/>
  <c r="X58" i="1051"/>
  <c r="W214" i="1052"/>
  <c r="W102" i="1052"/>
  <c r="U127" i="1052"/>
  <c r="M174" i="1051"/>
  <c r="N17" i="1051"/>
  <c r="Z17" i="1051"/>
  <c r="Z22" i="1051"/>
  <c r="N22" i="1051"/>
  <c r="I225" i="1051"/>
  <c r="I113" i="1051"/>
  <c r="I114" i="1051" s="1"/>
  <c r="I115" i="1051" s="1"/>
  <c r="I116" i="1051" s="1"/>
  <c r="I126" i="1051" s="1"/>
  <c r="W210" i="1052"/>
  <c r="W98" i="1052"/>
  <c r="Y173" i="1051"/>
  <c r="Y59" i="1051"/>
  <c r="I145" i="1052"/>
  <c r="I146" i="1052" s="1"/>
  <c r="I148" i="1052"/>
  <c r="W141" i="1051"/>
  <c r="M175" i="1051"/>
  <c r="Z18" i="1051"/>
  <c r="N18" i="1051"/>
  <c r="W55" i="1052"/>
  <c r="N129" i="1052"/>
  <c r="N163" i="1052" s="1"/>
  <c r="N123" i="1052"/>
  <c r="N130" i="1052" a="1"/>
  <c r="N130" i="1052" s="1"/>
  <c r="N164" i="1052" s="1"/>
  <c r="N125" i="1052"/>
  <c r="O10" i="1052"/>
  <c r="N216" i="1052" a="1"/>
  <c r="N216" i="1052" s="1"/>
  <c r="X214" i="1051"/>
  <c r="X102" i="1051"/>
  <c r="Y50" i="1051"/>
  <c r="M50" i="1051"/>
  <c r="X62" i="1052"/>
  <c r="M176" i="1051"/>
  <c r="Z19" i="1051"/>
  <c r="N19" i="1051"/>
  <c r="D172" i="1052"/>
  <c r="B59" i="1052"/>
  <c r="K142" i="1052"/>
  <c r="K143" i="1052" s="1"/>
  <c r="U146" i="1052"/>
  <c r="I110" i="1051"/>
  <c r="K205" i="1051"/>
  <c r="K93" i="1051"/>
  <c r="K208" i="1051"/>
  <c r="K96" i="1051"/>
  <c r="X10" i="1052"/>
  <c r="X176" i="1052" s="1"/>
  <c r="K149" i="1052"/>
  <c r="K204" i="1052"/>
  <c r="K92" i="1052"/>
  <c r="X207" i="1051"/>
  <c r="X95" i="1051"/>
  <c r="L172" i="1052"/>
  <c r="M15" i="1052"/>
  <c r="Y15" i="1052"/>
  <c r="J112" i="1051"/>
  <c r="L172" i="1051"/>
  <c r="M15" i="1051"/>
  <c r="Y15" i="1051"/>
  <c r="J141" i="1052"/>
  <c r="T89" i="1051"/>
  <c r="X178" i="1052"/>
  <c r="L174" i="1051"/>
  <c r="U113" i="1052"/>
  <c r="U225" i="1052" s="1"/>
  <c r="K206" i="1052"/>
  <c r="K94" i="1052"/>
  <c r="X202" i="1051"/>
  <c r="X90" i="1051"/>
  <c r="W207" i="1052"/>
  <c r="W95" i="1052"/>
  <c r="Y182" i="1051"/>
  <c r="Y68" i="1051"/>
  <c r="I144" i="1050"/>
  <c r="M182" i="1051"/>
  <c r="Z23" i="1051"/>
  <c r="N23" i="1051"/>
  <c r="X121" i="1051"/>
  <c r="X111" i="1051"/>
  <c r="AA49" i="1052"/>
  <c r="O49" i="1052"/>
  <c r="X211" i="1051"/>
  <c r="X99" i="1051"/>
  <c r="X140" i="1051"/>
  <c r="W205" i="1051"/>
  <c r="W93" i="1051"/>
  <c r="K111" i="1051"/>
  <c r="K121" i="1051"/>
  <c r="I225" i="1052"/>
  <c r="I113" i="1052"/>
  <c r="I114" i="1052" s="1"/>
  <c r="I115" i="1052" s="1"/>
  <c r="I116" i="1052" s="1"/>
  <c r="I126" i="1052" s="1"/>
  <c r="L176" i="1052"/>
  <c r="M19" i="1052"/>
  <c r="Y19" i="1052"/>
  <c r="L176" i="1051"/>
  <c r="W205" i="1052"/>
  <c r="W93" i="1052"/>
  <c r="I219" i="1052"/>
  <c r="I106" i="1052"/>
  <c r="K213" i="1051"/>
  <c r="K101" i="1051"/>
  <c r="K215" i="1051"/>
  <c r="K103" i="1051"/>
  <c r="K185" i="1051"/>
  <c r="K184" i="1051"/>
  <c r="M11" i="1052"/>
  <c r="Y11" i="1052"/>
  <c r="L104" i="1052"/>
  <c r="L236" i="1052"/>
  <c r="X175" i="1052"/>
  <c r="X61" i="1052"/>
  <c r="M63" i="1052"/>
  <c r="M68" i="1052"/>
  <c r="M67" i="1052"/>
  <c r="M66" i="1052"/>
  <c r="M64" i="1052"/>
  <c r="M62" i="1052"/>
  <c r="M69" i="1052"/>
  <c r="M58" i="1052"/>
  <c r="Z8" i="1052"/>
  <c r="M65" i="1052"/>
  <c r="M54" i="1052"/>
  <c r="M53" i="1052"/>
  <c r="M56" i="1052"/>
  <c r="N8" i="1052"/>
  <c r="L108" i="1052"/>
  <c r="G112" i="1051"/>
  <c r="G89" i="1051"/>
  <c r="W213" i="1052"/>
  <c r="W101" i="1052"/>
  <c r="W121" i="1052"/>
  <c r="W111" i="1052"/>
  <c r="W206" i="1052"/>
  <c r="W94" i="1052"/>
  <c r="Y178" i="1051"/>
  <c r="L178" i="1052"/>
  <c r="M21" i="1052"/>
  <c r="Y21" i="1052"/>
  <c r="V112" i="1051"/>
  <c r="Y10" i="1051"/>
  <c r="Y174" i="1051" s="1"/>
  <c r="L149" i="1051"/>
  <c r="D228" i="1051"/>
  <c r="B117" i="1051"/>
  <c r="X204" i="1052"/>
  <c r="X92" i="1052"/>
  <c r="X213" i="1051"/>
  <c r="X101" i="1051"/>
  <c r="X198" i="1051"/>
  <c r="X197" i="1051"/>
  <c r="X196" i="1051"/>
  <c r="M121" i="1052"/>
  <c r="M111" i="1052"/>
  <c r="K196" i="1051"/>
  <c r="K198" i="1051"/>
  <c r="K197" i="1051"/>
  <c r="X171" i="1052"/>
  <c r="X57" i="1052"/>
  <c r="Y51" i="1051"/>
  <c r="M51" i="1051"/>
  <c r="AA77" i="1052"/>
  <c r="AA80" i="1052"/>
  <c r="AA194" i="1052"/>
  <c r="AA195" i="1052"/>
  <c r="N180" i="1052"/>
  <c r="L175" i="1052"/>
  <c r="M18" i="1052"/>
  <c r="Y18" i="1052"/>
  <c r="L71" i="1052"/>
  <c r="L62" i="1052"/>
  <c r="L204" i="1052"/>
  <c r="L92" i="1052"/>
  <c r="W197" i="1052"/>
  <c r="W196" i="1052"/>
  <c r="W198" i="1052"/>
  <c r="V117" i="1052"/>
  <c r="K207" i="1052"/>
  <c r="K95" i="1052"/>
  <c r="M178" i="1051"/>
  <c r="Z21" i="1051"/>
  <c r="N21" i="1051"/>
  <c r="X204" i="1051"/>
  <c r="X92" i="1051"/>
  <c r="W55" i="1051"/>
  <c r="M104" i="1051"/>
  <c r="N11" i="1051"/>
  <c r="Z11" i="1051"/>
  <c r="M236" i="1051"/>
  <c r="M13" i="1052"/>
  <c r="Y13" i="1052"/>
  <c r="Y56" i="1052" s="1"/>
  <c r="L212" i="1052"/>
  <c r="L100" i="1052"/>
  <c r="L208" i="1052"/>
  <c r="L96" i="1052"/>
  <c r="X174" i="1052"/>
  <c r="X60" i="1052"/>
  <c r="W215" i="1052"/>
  <c r="W103" i="1052"/>
  <c r="W184" i="1052"/>
  <c r="W185" i="1052"/>
  <c r="X173" i="1052"/>
  <c r="X59" i="1052"/>
  <c r="L178" i="1051"/>
  <c r="P4" i="1051"/>
  <c r="AB4" i="1051"/>
  <c r="M13" i="1051"/>
  <c r="Y13" i="1051"/>
  <c r="Y56" i="1051" s="1"/>
  <c r="W212" i="1052"/>
  <c r="W100" i="1052"/>
  <c r="Y177" i="1051"/>
  <c r="M22" i="1052"/>
  <c r="Y22" i="1052"/>
  <c r="Y61" i="1051"/>
  <c r="L171" i="1052"/>
  <c r="M14" i="1052"/>
  <c r="Y14" i="1052"/>
  <c r="L217" i="1052"/>
  <c r="L179" i="1052"/>
  <c r="L167" i="1052"/>
  <c r="L134" i="1052"/>
  <c r="L133" i="1052"/>
  <c r="L139" i="1052"/>
  <c r="L131" i="1052"/>
  <c r="L55" i="1052" s="1"/>
  <c r="L168" i="1052"/>
  <c r="L132" i="1052"/>
  <c r="Y4" i="1052"/>
  <c r="M4" i="1052"/>
  <c r="K214" i="1051"/>
  <c r="K102" i="1051"/>
  <c r="X215" i="1051"/>
  <c r="X103" i="1051"/>
  <c r="X184" i="1051"/>
  <c r="X185" i="1051"/>
  <c r="X209" i="1051"/>
  <c r="X97" i="1051"/>
  <c r="J141" i="1051"/>
  <c r="J148" i="1051" s="1"/>
  <c r="X217" i="1052"/>
  <c r="X179" i="1052"/>
  <c r="X168" i="1052"/>
  <c r="X133" i="1052"/>
  <c r="X167" i="1052"/>
  <c r="X139" i="1052"/>
  <c r="X131" i="1052"/>
  <c r="X132" i="1052"/>
  <c r="X134" i="1052"/>
  <c r="X65" i="1052"/>
  <c r="H122" i="1051"/>
  <c r="M173" i="1051"/>
  <c r="N16" i="1051"/>
  <c r="Z16" i="1051"/>
  <c r="L67" i="1051"/>
  <c r="L108" i="1051"/>
  <c r="L62" i="1051"/>
  <c r="L58" i="1051"/>
  <c r="L64" i="1051"/>
  <c r="L59" i="1051"/>
  <c r="L54" i="1051"/>
  <c r="L68" i="1051"/>
  <c r="Y8" i="1051"/>
  <c r="L69" i="1051"/>
  <c r="L60" i="1051"/>
  <c r="L56" i="1051"/>
  <c r="L63" i="1051"/>
  <c r="L53" i="1051"/>
  <c r="L66" i="1051"/>
  <c r="L61" i="1051"/>
  <c r="L57" i="1051"/>
  <c r="L65" i="1051"/>
  <c r="L55" i="1051"/>
  <c r="M8" i="1051"/>
  <c r="K212" i="1051"/>
  <c r="K100" i="1051"/>
  <c r="X165" i="1052"/>
  <c r="X169" i="1052" s="1"/>
  <c r="X166" i="1052"/>
  <c r="L214" i="1052"/>
  <c r="L102" i="1052"/>
  <c r="L213" i="1052"/>
  <c r="L101" i="1052"/>
  <c r="L174" i="1052"/>
  <c r="M17" i="1052"/>
  <c r="M60" i="1052" s="1"/>
  <c r="Y17" i="1052"/>
  <c r="L173" i="1052"/>
  <c r="M16" i="1052"/>
  <c r="Y16" i="1052"/>
  <c r="W206" i="1051"/>
  <c r="W94" i="1051"/>
  <c r="K140" i="1052"/>
  <c r="H122" i="1052"/>
  <c r="R228" i="1051"/>
  <c r="AE29" i="1051"/>
  <c r="AE228" i="1051" s="1"/>
  <c r="K221" i="1051"/>
  <c r="K109" i="1051"/>
  <c r="K70" i="1051"/>
  <c r="K117" i="1051" s="1"/>
  <c r="D172" i="1051"/>
  <c r="B59" i="1051"/>
  <c r="V113" i="1052"/>
  <c r="V225" i="1052" s="1"/>
  <c r="J219" i="1051"/>
  <c r="J106" i="1051"/>
  <c r="J110" i="1051" s="1"/>
  <c r="J219" i="1052"/>
  <c r="J106" i="1052"/>
  <c r="D228" i="1052"/>
  <c r="B117" i="1052"/>
  <c r="Q228" i="1052"/>
  <c r="R29" i="1052"/>
  <c r="AD29" i="1052"/>
  <c r="AD228" i="1052" s="1"/>
  <c r="K202" i="1051"/>
  <c r="K90" i="1051"/>
  <c r="K142" i="1051"/>
  <c r="K143" i="1051" s="1"/>
  <c r="K206" i="1051"/>
  <c r="K94" i="1051"/>
  <c r="M12" i="1052"/>
  <c r="Y12" i="1052"/>
  <c r="L166" i="1052"/>
  <c r="L165" i="1052"/>
  <c r="L169" i="1052" s="1"/>
  <c r="V219" i="1052"/>
  <c r="V106" i="1052"/>
  <c r="L206" i="1052"/>
  <c r="L94" i="1052"/>
  <c r="L215" i="1052"/>
  <c r="L103" i="1052"/>
  <c r="L185" i="1052"/>
  <c r="L184" i="1052"/>
  <c r="X182" i="1052"/>
  <c r="X68" i="1052"/>
  <c r="AA51" i="1052"/>
  <c r="O51" i="1052"/>
  <c r="W202" i="1052"/>
  <c r="W142" i="1052"/>
  <c r="W143" i="1052" s="1"/>
  <c r="W90" i="1052"/>
  <c r="X166" i="1051"/>
  <c r="X165" i="1051"/>
  <c r="X169" i="1051" s="1"/>
  <c r="X133" i="1051"/>
  <c r="X134" i="1051"/>
  <c r="X131" i="1051"/>
  <c r="X55" i="1051" s="1"/>
  <c r="X132" i="1051"/>
  <c r="G120" i="1052"/>
  <c r="G119" i="1052"/>
  <c r="J203" i="1052"/>
  <c r="J91" i="1052"/>
  <c r="J110" i="1052" s="1"/>
  <c r="J142" i="1052"/>
  <c r="J143" i="1052" s="1"/>
  <c r="J112" i="1052"/>
  <c r="J89" i="1052"/>
  <c r="J117" i="1052"/>
  <c r="V203" i="1052"/>
  <c r="V91" i="1052"/>
  <c r="Y49" i="1051"/>
  <c r="M49" i="1051"/>
  <c r="K70" i="1052"/>
  <c r="X209" i="1050"/>
  <c r="X97" i="1050"/>
  <c r="V119" i="1050"/>
  <c r="V120" i="1050"/>
  <c r="U119" i="1050"/>
  <c r="U120" i="1050"/>
  <c r="U127" i="1050"/>
  <c r="K206" i="1050"/>
  <c r="K94" i="1050"/>
  <c r="Z182" i="1050"/>
  <c r="Z68" i="1050"/>
  <c r="K197" i="1050"/>
  <c r="K198" i="1050"/>
  <c r="K196" i="1050"/>
  <c r="V141" i="1050"/>
  <c r="W205" i="1050"/>
  <c r="W93" i="1050"/>
  <c r="V127" i="1050"/>
  <c r="N50" i="1050"/>
  <c r="Z50" i="1050"/>
  <c r="X165" i="1050"/>
  <c r="X169" i="1050" s="1"/>
  <c r="X166" i="1050"/>
  <c r="W55" i="1050"/>
  <c r="M175" i="1050"/>
  <c r="N18" i="1050"/>
  <c r="Z18" i="1050"/>
  <c r="V113" i="1050"/>
  <c r="V225" i="1050" s="1"/>
  <c r="Y12" i="1050"/>
  <c r="M12" i="1050"/>
  <c r="L166" i="1050"/>
  <c r="L165" i="1050"/>
  <c r="G119" i="1050"/>
  <c r="G120" i="1050"/>
  <c r="K210" i="1050"/>
  <c r="K98" i="1050"/>
  <c r="K204" i="1050"/>
  <c r="K92" i="1050"/>
  <c r="L217" i="1050"/>
  <c r="L134" i="1050"/>
  <c r="L133" i="1050"/>
  <c r="L167" i="1050"/>
  <c r="L169" i="1050"/>
  <c r="L132" i="1050"/>
  <c r="L131" i="1050"/>
  <c r="L168" i="1050"/>
  <c r="L179" i="1050"/>
  <c r="L139" i="1050"/>
  <c r="M4" i="1050"/>
  <c r="Y4" i="1050"/>
  <c r="K214" i="1050"/>
  <c r="K102" i="1050"/>
  <c r="K208" i="1050"/>
  <c r="K96" i="1050"/>
  <c r="Y13" i="1050"/>
  <c r="Y56" i="1050" s="1"/>
  <c r="M13" i="1050"/>
  <c r="T44" i="1050"/>
  <c r="T86" i="1050" s="1"/>
  <c r="G86" i="1050"/>
  <c r="M176" i="1050"/>
  <c r="Z19" i="1050"/>
  <c r="N19" i="1050"/>
  <c r="J89" i="1050"/>
  <c r="X62" i="1050"/>
  <c r="I147" i="1050"/>
  <c r="H122" i="1050"/>
  <c r="Y175" i="1050"/>
  <c r="Y61" i="1050"/>
  <c r="Y10" i="1050"/>
  <c r="L149" i="1050"/>
  <c r="X131" i="1050"/>
  <c r="X217" i="1050"/>
  <c r="X139" i="1050"/>
  <c r="X132" i="1050"/>
  <c r="X179" i="1050"/>
  <c r="X167" i="1050"/>
  <c r="X168" i="1050"/>
  <c r="X134" i="1050"/>
  <c r="X65" i="1050"/>
  <c r="X133" i="1050"/>
  <c r="I120" i="1050"/>
  <c r="I119" i="1050"/>
  <c r="W207" i="1050"/>
  <c r="W95" i="1050"/>
  <c r="X130" i="1050"/>
  <c r="X164" i="1050" s="1"/>
  <c r="X123" i="1050"/>
  <c r="X125" i="1050"/>
  <c r="X129" i="1050"/>
  <c r="X163" i="1050" s="1"/>
  <c r="X69" i="1050"/>
  <c r="X54" i="1050"/>
  <c r="X53" i="1050"/>
  <c r="X236" i="1050"/>
  <c r="X216" i="1050"/>
  <c r="X67" i="1050"/>
  <c r="X66" i="1050"/>
  <c r="X104" i="1050"/>
  <c r="X181" i="1050"/>
  <c r="X180" i="1050"/>
  <c r="X178" i="1050"/>
  <c r="X63" i="1050"/>
  <c r="X64" i="1050"/>
  <c r="X177" i="1050"/>
  <c r="U113" i="1050"/>
  <c r="U225" i="1050" s="1"/>
  <c r="K203" i="1050"/>
  <c r="K91" i="1050"/>
  <c r="K213" i="1050"/>
  <c r="K101" i="1050"/>
  <c r="O51" i="1050"/>
  <c r="AA51" i="1050"/>
  <c r="X204" i="1050"/>
  <c r="X92" i="1050"/>
  <c r="G127" i="1050"/>
  <c r="Y215" i="1050"/>
  <c r="Y103" i="1050"/>
  <c r="Y185" i="1050"/>
  <c r="Y184" i="1050"/>
  <c r="Y176" i="1050"/>
  <c r="Y62" i="1050"/>
  <c r="J145" i="1050"/>
  <c r="J147" i="1050" s="1"/>
  <c r="L88" i="1050" a="1"/>
  <c r="L88" i="1050" s="1"/>
  <c r="M9" i="1050"/>
  <c r="Y9" i="1050"/>
  <c r="Y88" i="1050" s="1"/>
  <c r="Y109" i="1050" s="1"/>
  <c r="X176" i="1050"/>
  <c r="N49" i="1050"/>
  <c r="Z49" i="1050"/>
  <c r="X175" i="1050"/>
  <c r="L173" i="1050"/>
  <c r="Y16" i="1050"/>
  <c r="M16" i="1050"/>
  <c r="W140" i="1050"/>
  <c r="U147" i="1050"/>
  <c r="X173" i="1050"/>
  <c r="X59" i="1050"/>
  <c r="K211" i="1050"/>
  <c r="K99" i="1050"/>
  <c r="K140" i="1050"/>
  <c r="L171" i="1050"/>
  <c r="M14" i="1050"/>
  <c r="Y14" i="1050"/>
  <c r="Z17" i="1050"/>
  <c r="N17" i="1050"/>
  <c r="J219" i="1050"/>
  <c r="J106" i="1050"/>
  <c r="X171" i="1050"/>
  <c r="X57" i="1050"/>
  <c r="L66" i="1050"/>
  <c r="L60" i="1050"/>
  <c r="L56" i="1050"/>
  <c r="L63" i="1050"/>
  <c r="L53" i="1050"/>
  <c r="L61" i="1050"/>
  <c r="L57" i="1050"/>
  <c r="L65" i="1050"/>
  <c r="L55" i="1050"/>
  <c r="L69" i="1050"/>
  <c r="L62" i="1050"/>
  <c r="L58" i="1050"/>
  <c r="L67" i="1050"/>
  <c r="L54" i="1050"/>
  <c r="L59" i="1050"/>
  <c r="Y8" i="1050"/>
  <c r="L68" i="1050"/>
  <c r="M8" i="1050"/>
  <c r="L108" i="1050"/>
  <c r="L64" i="1050"/>
  <c r="K205" i="1050"/>
  <c r="K93" i="1050"/>
  <c r="Y174" i="1050"/>
  <c r="Y60" i="1050"/>
  <c r="K207" i="1050"/>
  <c r="K95" i="1050"/>
  <c r="K209" i="1050"/>
  <c r="K97" i="1050"/>
  <c r="I225" i="1050"/>
  <c r="I113" i="1050"/>
  <c r="I114" i="1050" s="1"/>
  <c r="I115" i="1050" s="1"/>
  <c r="I116" i="1050" s="1"/>
  <c r="I126" i="1050" s="1"/>
  <c r="O20" i="1050"/>
  <c r="AA20" i="1050"/>
  <c r="L129" i="1050"/>
  <c r="L163" i="1050" s="1"/>
  <c r="L123" i="1050"/>
  <c r="L125" i="1050"/>
  <c r="L130" i="1050" a="1"/>
  <c r="L130" i="1050" s="1"/>
  <c r="L164" i="1050" s="1"/>
  <c r="M10" i="1050"/>
  <c r="M174" i="1050" s="1"/>
  <c r="L181" i="1050"/>
  <c r="L180" i="1050"/>
  <c r="L216" i="1050" a="1"/>
  <c r="L216" i="1050" s="1"/>
  <c r="L178" i="1050"/>
  <c r="L177" i="1050"/>
  <c r="D228" i="1050"/>
  <c r="B117" i="1050"/>
  <c r="V145" i="1050"/>
  <c r="V144" i="1050" s="1"/>
  <c r="U144" i="1050"/>
  <c r="D172" i="1050"/>
  <c r="B59" i="1050"/>
  <c r="I127" i="1050"/>
  <c r="L172" i="1050"/>
  <c r="M15" i="1050"/>
  <c r="Y15" i="1050"/>
  <c r="K215" i="1050"/>
  <c r="K103" i="1050"/>
  <c r="K185" i="1050"/>
  <c r="K184" i="1050"/>
  <c r="K221" i="1050"/>
  <c r="K70" i="1050"/>
  <c r="K117" i="1050" s="1"/>
  <c r="R157" i="1050" s="1"/>
  <c r="K109" i="1050"/>
  <c r="J112" i="1050"/>
  <c r="J141" i="1050"/>
  <c r="J148" i="1050" s="1"/>
  <c r="K212" i="1050"/>
  <c r="K100" i="1050"/>
  <c r="K142" i="1050"/>
  <c r="K143" i="1050" s="1"/>
  <c r="K202" i="1050"/>
  <c r="K90" i="1050"/>
  <c r="N182" i="1050"/>
  <c r="O23" i="1050"/>
  <c r="AA23" i="1050"/>
  <c r="AA21" i="1050"/>
  <c r="O21" i="1050"/>
  <c r="K121" i="1050"/>
  <c r="K111" i="1050"/>
  <c r="X60" i="1050"/>
  <c r="N11" i="1050"/>
  <c r="Z11" i="1050"/>
  <c r="M104" i="1050"/>
  <c r="M236" i="1050"/>
  <c r="N22" i="1050"/>
  <c r="Z22" i="1050"/>
  <c r="W206" i="1050"/>
  <c r="W94" i="1050"/>
  <c r="X172" i="1050"/>
  <c r="X58" i="1050"/>
  <c r="J120" i="1060" l="1"/>
  <c r="J119" i="1060"/>
  <c r="J122" i="1060" s="1"/>
  <c r="J127" i="1060"/>
  <c r="K225" i="1064"/>
  <c r="K113" i="1064"/>
  <c r="K114" i="1064" s="1"/>
  <c r="K115" i="1064" s="1"/>
  <c r="K116" i="1064" s="1"/>
  <c r="K126" i="1064" s="1"/>
  <c r="Z209" i="1061"/>
  <c r="Z97" i="1061"/>
  <c r="M209" i="1060"/>
  <c r="M97" i="1060"/>
  <c r="M208" i="1063"/>
  <c r="M96" i="1063"/>
  <c r="V120" i="1058"/>
  <c r="V119" i="1058"/>
  <c r="V127" i="1058"/>
  <c r="Y99" i="1059"/>
  <c r="Y211" i="1059"/>
  <c r="W120" i="1061"/>
  <c r="W119" i="1061"/>
  <c r="W127" i="1061"/>
  <c r="M99" i="1060"/>
  <c r="M211" i="1060"/>
  <c r="L70" i="1064"/>
  <c r="J119" i="1061"/>
  <c r="J120" i="1061"/>
  <c r="V120" i="1059"/>
  <c r="V119" i="1059"/>
  <c r="Y219" i="1057"/>
  <c r="Y106" i="1057"/>
  <c r="X120" i="1061"/>
  <c r="X119" i="1061"/>
  <c r="X122" i="1061" s="1"/>
  <c r="M208" i="1060"/>
  <c r="M96" i="1060"/>
  <c r="L203" i="1064"/>
  <c r="L91" i="1064"/>
  <c r="Y10" i="1060"/>
  <c r="L149" i="1060"/>
  <c r="X215" i="1064"/>
  <c r="X103" i="1064"/>
  <c r="X185" i="1064"/>
  <c r="X184" i="1064"/>
  <c r="N67" i="1058"/>
  <c r="N66" i="1058"/>
  <c r="AA8" i="1058"/>
  <c r="N53" i="1058"/>
  <c r="O8" i="1058"/>
  <c r="N69" i="1058"/>
  <c r="N65" i="1058"/>
  <c r="N64" i="1058"/>
  <c r="N54" i="1058"/>
  <c r="M202" i="1058"/>
  <c r="M90" i="1058"/>
  <c r="M98" i="1058"/>
  <c r="M210" i="1058"/>
  <c r="Y58" i="1062"/>
  <c r="Y172" i="1062"/>
  <c r="Z94" i="1057"/>
  <c r="Z206" i="1057"/>
  <c r="Y10" i="1058"/>
  <c r="L149" i="1058"/>
  <c r="Y202" i="1061"/>
  <c r="Y142" i="1061"/>
  <c r="Y143" i="1061" s="1"/>
  <c r="Y90" i="1061"/>
  <c r="W141" i="1064"/>
  <c r="M178" i="1058"/>
  <c r="Z21" i="1058"/>
  <c r="N21" i="1058"/>
  <c r="Y172" i="1059"/>
  <c r="Y58" i="1059"/>
  <c r="AA204" i="1061"/>
  <c r="AA92" i="1061"/>
  <c r="J225" i="1062"/>
  <c r="J113" i="1062"/>
  <c r="J114" i="1062"/>
  <c r="J115" i="1062" s="1"/>
  <c r="J116" i="1062" s="1"/>
  <c r="J126" i="1062" s="1"/>
  <c r="Y171" i="1064"/>
  <c r="Y57" i="1064"/>
  <c r="AA204" i="1062"/>
  <c r="AA92" i="1062"/>
  <c r="Q49" i="1061"/>
  <c r="AC49" i="1061"/>
  <c r="N22" i="1059"/>
  <c r="Z22" i="1059"/>
  <c r="O166" i="1061"/>
  <c r="O165" i="1061"/>
  <c r="AB12" i="1061"/>
  <c r="P12" i="1061"/>
  <c r="O134" i="1057"/>
  <c r="O132" i="1057"/>
  <c r="O131" i="1057"/>
  <c r="AB4" i="1057"/>
  <c r="O133" i="1057"/>
  <c r="P4" i="1057"/>
  <c r="N12" i="1063"/>
  <c r="Z12" i="1063"/>
  <c r="M166" i="1063"/>
  <c r="M165" i="1063"/>
  <c r="J120" i="1064"/>
  <c r="J119" i="1064"/>
  <c r="J122" i="1064" s="1"/>
  <c r="M182" i="1059"/>
  <c r="N23" i="1059"/>
  <c r="Z23" i="1059"/>
  <c r="O172" i="1061"/>
  <c r="AB15" i="1061"/>
  <c r="P15" i="1061"/>
  <c r="Y166" i="1058"/>
  <c r="Y165" i="1058"/>
  <c r="Y169" i="1058" s="1"/>
  <c r="Z212" i="1057"/>
  <c r="Z100" i="1057"/>
  <c r="X206" i="1063"/>
  <c r="X94" i="1063"/>
  <c r="AE157" i="1061"/>
  <c r="X208" i="1063"/>
  <c r="X96" i="1063"/>
  <c r="Q22" i="1057"/>
  <c r="AC22" i="1057"/>
  <c r="L209" i="1057"/>
  <c r="L97" i="1057"/>
  <c r="M212" i="1063"/>
  <c r="M100" i="1063"/>
  <c r="M205" i="1059"/>
  <c r="M93" i="1059"/>
  <c r="M71" i="1059"/>
  <c r="Y141" i="1057"/>
  <c r="L145" i="1058"/>
  <c r="M108" i="1062"/>
  <c r="M68" i="1062"/>
  <c r="Z8" i="1062"/>
  <c r="M66" i="1062"/>
  <c r="M60" i="1062"/>
  <c r="M56" i="1062"/>
  <c r="M63" i="1062"/>
  <c r="M53" i="1062"/>
  <c r="M64" i="1062"/>
  <c r="M57" i="1062"/>
  <c r="M59" i="1062"/>
  <c r="M54" i="1062"/>
  <c r="N8" i="1062"/>
  <c r="M67" i="1062"/>
  <c r="M62" i="1062"/>
  <c r="M58" i="1062"/>
  <c r="M55" i="1062"/>
  <c r="M69" i="1062"/>
  <c r="M65" i="1062"/>
  <c r="M61" i="1062"/>
  <c r="L205" i="1062"/>
  <c r="L93" i="1062"/>
  <c r="Y58" i="1060"/>
  <c r="Y172" i="1060"/>
  <c r="V148" i="1064"/>
  <c r="X55" i="1064"/>
  <c r="AA182" i="1061"/>
  <c r="AA68" i="1061"/>
  <c r="Y172" i="1063"/>
  <c r="Y58" i="1063"/>
  <c r="V141" i="1060"/>
  <c r="L221" i="1060"/>
  <c r="L109" i="1060"/>
  <c r="X215" i="1058"/>
  <c r="X103" i="1058"/>
  <c r="X185" i="1058"/>
  <c r="X184" i="1058"/>
  <c r="Y207" i="1063"/>
  <c r="Y95" i="1063"/>
  <c r="Y173" i="1064"/>
  <c r="Y59" i="1064"/>
  <c r="J146" i="1064"/>
  <c r="Y204" i="1064"/>
  <c r="Y92" i="1064"/>
  <c r="N121" i="1058"/>
  <c r="N111" i="1058"/>
  <c r="Y57" i="1059"/>
  <c r="Y171" i="1059"/>
  <c r="G113" i="1058"/>
  <c r="G114" i="1058" s="1"/>
  <c r="G225" i="1058"/>
  <c r="AA14" i="1062"/>
  <c r="N171" i="1062"/>
  <c r="O14" i="1062"/>
  <c r="M205" i="1060"/>
  <c r="M93" i="1060"/>
  <c r="M62" i="1060"/>
  <c r="AB173" i="1057"/>
  <c r="AB59" i="1057"/>
  <c r="AD157" i="1063"/>
  <c r="L206" i="1061"/>
  <c r="L94" i="1061"/>
  <c r="L213" i="1061"/>
  <c r="L101" i="1061"/>
  <c r="W70" i="1063"/>
  <c r="W71" i="1063"/>
  <c r="N18" i="1059"/>
  <c r="M175" i="1059"/>
  <c r="Z18" i="1059"/>
  <c r="D230" i="1059"/>
  <c r="B119" i="1059"/>
  <c r="M132" i="1058"/>
  <c r="M55" i="1058" s="1"/>
  <c r="X206" i="1058"/>
  <c r="X94" i="1058"/>
  <c r="X210" i="1059"/>
  <c r="X98" i="1059"/>
  <c r="J144" i="1062"/>
  <c r="W71" i="1060"/>
  <c r="W70" i="1060"/>
  <c r="AB18" i="1057"/>
  <c r="P18" i="1057"/>
  <c r="X207" i="1062"/>
  <c r="X95" i="1062"/>
  <c r="X208" i="1062"/>
  <c r="X96" i="1062"/>
  <c r="K146" i="1059"/>
  <c r="M177" i="1064"/>
  <c r="Z20" i="1064"/>
  <c r="N20" i="1064"/>
  <c r="Y10" i="1062"/>
  <c r="L149" i="1062"/>
  <c r="M175" i="1062"/>
  <c r="Z18" i="1062"/>
  <c r="N18" i="1062"/>
  <c r="Z175" i="1061"/>
  <c r="D229" i="1061"/>
  <c r="B118" i="1061"/>
  <c r="Z22" i="1064"/>
  <c r="N22" i="1064"/>
  <c r="L206" i="1064"/>
  <c r="L94" i="1064"/>
  <c r="L207" i="1064"/>
  <c r="L95" i="1064"/>
  <c r="L209" i="1064"/>
  <c r="L97" i="1064"/>
  <c r="Y173" i="1062"/>
  <c r="Y59" i="1062"/>
  <c r="L109" i="1059"/>
  <c r="L221" i="1059"/>
  <c r="L117" i="1059"/>
  <c r="L70" i="1059"/>
  <c r="W141" i="1058"/>
  <c r="X129" i="1062"/>
  <c r="X163" i="1062" s="1"/>
  <c r="X123" i="1062"/>
  <c r="X53" i="1062"/>
  <c r="X130" i="1062"/>
  <c r="X164" i="1062" s="1"/>
  <c r="X125" i="1062"/>
  <c r="X54" i="1062"/>
  <c r="X69" i="1062"/>
  <c r="X216" i="1062"/>
  <c r="X66" i="1062"/>
  <c r="X67" i="1062"/>
  <c r="X104" i="1062"/>
  <c r="X180" i="1062"/>
  <c r="X181" i="1062"/>
  <c r="X236" i="1062"/>
  <c r="X64" i="1062"/>
  <c r="X178" i="1062"/>
  <c r="X65" i="1062"/>
  <c r="X176" i="1062"/>
  <c r="X139" i="1062"/>
  <c r="X62" i="1062"/>
  <c r="X179" i="1062"/>
  <c r="X217" i="1062"/>
  <c r="X167" i="1062"/>
  <c r="X168" i="1062"/>
  <c r="X177" i="1062"/>
  <c r="X63" i="1062"/>
  <c r="M179" i="1059"/>
  <c r="X54" i="1060"/>
  <c r="X67" i="1060"/>
  <c r="X66" i="1060"/>
  <c r="X69" i="1060"/>
  <c r="X125" i="1060"/>
  <c r="X129" i="1060"/>
  <c r="X163" i="1060" s="1"/>
  <c r="X130" i="1060"/>
  <c r="X164" i="1060" s="1"/>
  <c r="X123" i="1060"/>
  <c r="X180" i="1060"/>
  <c r="X53" i="1060"/>
  <c r="X104" i="1060"/>
  <c r="X181" i="1060"/>
  <c r="X216" i="1060"/>
  <c r="X236" i="1060"/>
  <c r="X64" i="1060"/>
  <c r="X178" i="1060"/>
  <c r="K225" i="1059"/>
  <c r="K113" i="1059"/>
  <c r="K114" i="1059" s="1"/>
  <c r="K115" i="1059" s="1"/>
  <c r="K116" i="1059" s="1"/>
  <c r="P9" i="1057"/>
  <c r="O88" i="1057" a="1"/>
  <c r="O88" i="1057" s="1"/>
  <c r="AB9" i="1057"/>
  <c r="AB88" i="1057" s="1"/>
  <c r="AB109" i="1057" s="1"/>
  <c r="K219" i="1062"/>
  <c r="K106" i="1062"/>
  <c r="X62" i="1060"/>
  <c r="AB9" i="1058"/>
  <c r="AB88" i="1058" s="1"/>
  <c r="AB109" i="1058" s="1"/>
  <c r="P9" i="1058"/>
  <c r="O88" i="1058" a="1"/>
  <c r="O88" i="1058" s="1"/>
  <c r="R157" i="1060"/>
  <c r="V122" i="1050"/>
  <c r="J144" i="1056"/>
  <c r="I144" i="1055"/>
  <c r="V114" i="1055"/>
  <c r="V115" i="1055" s="1"/>
  <c r="V116" i="1055" s="1"/>
  <c r="V126" i="1055" s="1"/>
  <c r="V219" i="1064"/>
  <c r="V106" i="1064"/>
  <c r="V110" i="1064" s="1"/>
  <c r="V89" i="1064"/>
  <c r="V117" i="1064"/>
  <c r="U144" i="1061"/>
  <c r="J225" i="1058"/>
  <c r="J113" i="1058"/>
  <c r="J114" i="1058" s="1"/>
  <c r="J115" i="1058" s="1"/>
  <c r="J116" i="1058" s="1"/>
  <c r="J126" i="1058" s="1"/>
  <c r="M102" i="1058"/>
  <c r="M214" i="1058"/>
  <c r="M211" i="1058"/>
  <c r="M99" i="1058"/>
  <c r="M140" i="1058"/>
  <c r="M172" i="1062"/>
  <c r="N15" i="1062"/>
  <c r="Z15" i="1062"/>
  <c r="M176" i="1058"/>
  <c r="Z19" i="1058"/>
  <c r="N19" i="1058"/>
  <c r="N62" i="1058" s="1"/>
  <c r="Y178" i="1058"/>
  <c r="Y64" i="1058"/>
  <c r="J120" i="1057"/>
  <c r="J119" i="1057"/>
  <c r="N15" i="1059"/>
  <c r="M172" i="1059"/>
  <c r="Z15" i="1059"/>
  <c r="N22" i="1063"/>
  <c r="Z22" i="1063"/>
  <c r="AA51" i="1058"/>
  <c r="O51" i="1058"/>
  <c r="N125" i="1062"/>
  <c r="N130" i="1062" a="1"/>
  <c r="N130" i="1062" s="1"/>
  <c r="N164" i="1062" s="1"/>
  <c r="N129" i="1062"/>
  <c r="N163" i="1062" s="1"/>
  <c r="N123" i="1062"/>
  <c r="O10" i="1062"/>
  <c r="N216" i="1062" a="1"/>
  <c r="N216" i="1062" s="1"/>
  <c r="N181" i="1062"/>
  <c r="N180" i="1062"/>
  <c r="M171" i="1064"/>
  <c r="Z14" i="1064"/>
  <c r="N14" i="1064"/>
  <c r="X64" i="1064"/>
  <c r="Y173" i="1060"/>
  <c r="Y59" i="1060"/>
  <c r="Z211" i="1057"/>
  <c r="Z99" i="1057"/>
  <c r="Z140" i="1057"/>
  <c r="W197" i="1064"/>
  <c r="W198" i="1064"/>
  <c r="W196" i="1064"/>
  <c r="W113" i="1062"/>
  <c r="W225" i="1062" s="1"/>
  <c r="W114" i="1062"/>
  <c r="W115" i="1062" s="1"/>
  <c r="W116" i="1062" s="1"/>
  <c r="O172" i="1057"/>
  <c r="AB15" i="1057"/>
  <c r="P15" i="1057"/>
  <c r="X125" i="1058"/>
  <c r="X129" i="1058"/>
  <c r="X163" i="1058" s="1"/>
  <c r="X123" i="1058"/>
  <c r="X130" i="1058"/>
  <c r="X164" i="1058" s="1"/>
  <c r="X54" i="1058"/>
  <c r="X53" i="1058"/>
  <c r="X69" i="1058"/>
  <c r="X104" i="1058"/>
  <c r="X216" i="1058"/>
  <c r="X67" i="1058"/>
  <c r="X66" i="1058"/>
  <c r="X236" i="1058"/>
  <c r="X180" i="1058"/>
  <c r="X181" i="1058"/>
  <c r="X167" i="1058"/>
  <c r="X139" i="1058"/>
  <c r="X65" i="1058"/>
  <c r="X217" i="1058"/>
  <c r="X179" i="1058"/>
  <c r="X168" i="1058"/>
  <c r="X64" i="1058"/>
  <c r="X206" i="1059"/>
  <c r="X94" i="1059"/>
  <c r="P157" i="1061"/>
  <c r="V114" i="1058"/>
  <c r="V115" i="1058" s="1"/>
  <c r="V116" i="1058" s="1"/>
  <c r="V126" i="1058" s="1"/>
  <c r="L203" i="1057"/>
  <c r="L91" i="1057"/>
  <c r="AB20" i="1057"/>
  <c r="P20" i="1057"/>
  <c r="M204" i="1063"/>
  <c r="M92" i="1063"/>
  <c r="M206" i="1063"/>
  <c r="M94" i="1063"/>
  <c r="M202" i="1059"/>
  <c r="M142" i="1059"/>
  <c r="M90" i="1059"/>
  <c r="M203" i="1059"/>
  <c r="M91" i="1059"/>
  <c r="I122" i="1057"/>
  <c r="L211" i="1062"/>
  <c r="L99" i="1062"/>
  <c r="L140" i="1062"/>
  <c r="L207" i="1062"/>
  <c r="L95" i="1062"/>
  <c r="M121" i="1061"/>
  <c r="M111" i="1061"/>
  <c r="Z15" i="1060"/>
  <c r="N15" i="1060"/>
  <c r="M172" i="1060"/>
  <c r="U122" i="1063"/>
  <c r="P13" i="1060"/>
  <c r="AB13" i="1060"/>
  <c r="AB56" i="1060" s="1"/>
  <c r="Y217" i="1059"/>
  <c r="O182" i="1061"/>
  <c r="AB23" i="1061"/>
  <c r="P23" i="1061"/>
  <c r="W210" i="1060"/>
  <c r="W98" i="1060"/>
  <c r="AB21" i="1057"/>
  <c r="P21" i="1057"/>
  <c r="M172" i="1063"/>
  <c r="N15" i="1063"/>
  <c r="Z15" i="1063"/>
  <c r="G225" i="1061"/>
  <c r="G113" i="1061"/>
  <c r="G114" i="1061"/>
  <c r="M171" i="1058"/>
  <c r="Z14" i="1058"/>
  <c r="N14" i="1058"/>
  <c r="N57" i="1058" s="1"/>
  <c r="Z9" i="1060"/>
  <c r="Z88" i="1060" s="1"/>
  <c r="Z109" i="1060" s="1"/>
  <c r="M88" i="1060" a="1"/>
  <c r="M88" i="1060" s="1"/>
  <c r="N9" i="1060"/>
  <c r="G122" i="1058"/>
  <c r="U120" i="1062"/>
  <c r="U119" i="1062"/>
  <c r="M173" i="1064"/>
  <c r="Z16" i="1064"/>
  <c r="N16" i="1064"/>
  <c r="Z202" i="1057"/>
  <c r="Z90" i="1057"/>
  <c r="AB19" i="1057"/>
  <c r="P19" i="1057"/>
  <c r="Z13" i="1064"/>
  <c r="Z56" i="1064" s="1"/>
  <c r="N13" i="1064"/>
  <c r="J147" i="1060"/>
  <c r="U122" i="1061"/>
  <c r="Z208" i="1057"/>
  <c r="Z96" i="1057"/>
  <c r="M173" i="1058"/>
  <c r="Z16" i="1058"/>
  <c r="N16" i="1058"/>
  <c r="N59" i="1058" s="1"/>
  <c r="X205" i="1058"/>
  <c r="X93" i="1058"/>
  <c r="V145" i="1060"/>
  <c r="V144" i="1060" s="1"/>
  <c r="V147" i="1060"/>
  <c r="M171" i="1059"/>
  <c r="N14" i="1059"/>
  <c r="Z14" i="1059"/>
  <c r="Z64" i="1059"/>
  <c r="D229" i="1064"/>
  <c r="B118" i="1064"/>
  <c r="Z171" i="1062"/>
  <c r="Z57" i="1062"/>
  <c r="W144" i="1061"/>
  <c r="M69" i="1060"/>
  <c r="M174" i="1059"/>
  <c r="AE157" i="1063"/>
  <c r="X129" i="1063"/>
  <c r="X163" i="1063" s="1"/>
  <c r="X123" i="1063"/>
  <c r="X130" i="1063"/>
  <c r="X164" i="1063" s="1"/>
  <c r="X53" i="1063"/>
  <c r="X125" i="1063"/>
  <c r="X69" i="1063"/>
  <c r="X54" i="1063"/>
  <c r="X67" i="1063"/>
  <c r="X236" i="1063"/>
  <c r="X180" i="1063"/>
  <c r="X216" i="1063"/>
  <c r="X181" i="1063"/>
  <c r="X66" i="1063"/>
  <c r="X104" i="1063"/>
  <c r="X178" i="1063"/>
  <c r="X64" i="1063"/>
  <c r="V148" i="1059"/>
  <c r="L205" i="1061"/>
  <c r="L93" i="1061"/>
  <c r="L215" i="1061"/>
  <c r="L103" i="1061"/>
  <c r="L184" i="1061"/>
  <c r="L185" i="1061"/>
  <c r="W214" i="1060"/>
  <c r="W102" i="1060"/>
  <c r="X61" i="1063"/>
  <c r="AA175" i="1057"/>
  <c r="AA61" i="1057"/>
  <c r="K112" i="1060"/>
  <c r="P51" i="1062"/>
  <c r="AB51" i="1062"/>
  <c r="AA20" i="1059"/>
  <c r="O20" i="1059"/>
  <c r="X174" i="1058"/>
  <c r="N129" i="1064"/>
  <c r="N163" i="1064" s="1"/>
  <c r="N123" i="1064"/>
  <c r="N130" i="1064" a="1"/>
  <c r="N130" i="1064" s="1"/>
  <c r="N164" i="1064" s="1"/>
  <c r="N125" i="1064"/>
  <c r="O10" i="1064"/>
  <c r="N216" i="1064" a="1"/>
  <c r="N216" i="1064" s="1"/>
  <c r="N181" i="1064"/>
  <c r="N180" i="1064"/>
  <c r="T112" i="1057"/>
  <c r="T89" i="1057"/>
  <c r="L210" i="1064"/>
  <c r="L98" i="1064"/>
  <c r="Z182" i="1063"/>
  <c r="Z68" i="1063"/>
  <c r="M173" i="1062"/>
  <c r="Z16" i="1062"/>
  <c r="N16" i="1062"/>
  <c r="P104" i="1057"/>
  <c r="Q11" i="1057"/>
  <c r="AC11" i="1057"/>
  <c r="P236" i="1057"/>
  <c r="L140" i="1059"/>
  <c r="X62" i="1064"/>
  <c r="Z17" i="1062"/>
  <c r="N17" i="1062"/>
  <c r="M174" i="1062"/>
  <c r="X175" i="1062"/>
  <c r="X62" i="1063"/>
  <c r="T126" i="1061"/>
  <c r="Z10" i="1059"/>
  <c r="Z177" i="1059" s="1"/>
  <c r="M149" i="1059"/>
  <c r="N130" i="1057" a="1"/>
  <c r="N130" i="1057" s="1"/>
  <c r="N164" i="1057" s="1"/>
  <c r="N129" i="1057"/>
  <c r="N163" i="1057" s="1"/>
  <c r="N123" i="1057"/>
  <c r="N125" i="1057"/>
  <c r="O10" i="1057"/>
  <c r="O175" i="1057" s="1"/>
  <c r="N216" i="1057" a="1"/>
  <c r="N216" i="1057" s="1"/>
  <c r="N180" i="1057"/>
  <c r="N181" i="1057"/>
  <c r="X60" i="1060"/>
  <c r="Y10" i="1064"/>
  <c r="Y174" i="1064" s="1"/>
  <c r="L149" i="1064"/>
  <c r="M129" i="1063"/>
  <c r="M163" i="1063" s="1"/>
  <c r="M123" i="1063"/>
  <c r="M130" i="1063" a="1"/>
  <c r="M130" i="1063" s="1"/>
  <c r="M164" i="1063" s="1"/>
  <c r="M125" i="1063"/>
  <c r="N10" i="1063"/>
  <c r="M216" i="1063" a="1"/>
  <c r="M216" i="1063" s="1"/>
  <c r="M181" i="1063"/>
  <c r="M180" i="1063"/>
  <c r="X206" i="1062"/>
  <c r="X94" i="1062"/>
  <c r="X167" i="1063"/>
  <c r="X176" i="1060"/>
  <c r="J112" i="1055"/>
  <c r="X203" i="1058"/>
  <c r="X91" i="1058"/>
  <c r="G115" i="1060"/>
  <c r="G116" i="1060" s="1"/>
  <c r="J148" i="1058"/>
  <c r="J145" i="1058"/>
  <c r="J146" i="1058" s="1"/>
  <c r="K147" i="1064"/>
  <c r="K145" i="1064"/>
  <c r="L210" i="1063"/>
  <c r="L98" i="1063"/>
  <c r="M213" i="1058"/>
  <c r="M101" i="1058"/>
  <c r="M204" i="1058"/>
  <c r="M92" i="1058"/>
  <c r="K147" i="1059"/>
  <c r="Y176" i="1058"/>
  <c r="Y62" i="1058"/>
  <c r="P49" i="1057"/>
  <c r="AB49" i="1057"/>
  <c r="M197" i="1062"/>
  <c r="M196" i="1062"/>
  <c r="M198" i="1062"/>
  <c r="X178" i="1064"/>
  <c r="Z16" i="1060"/>
  <c r="N16" i="1060"/>
  <c r="M173" i="1060"/>
  <c r="W214" i="1064"/>
  <c r="W102" i="1064"/>
  <c r="Z129" i="1061"/>
  <c r="Z163" i="1061" s="1"/>
  <c r="Z123" i="1061"/>
  <c r="Z69" i="1061"/>
  <c r="Z54" i="1061"/>
  <c r="Z130" i="1061"/>
  <c r="Z164" i="1061" s="1"/>
  <c r="Z53" i="1061"/>
  <c r="Z125" i="1061"/>
  <c r="Z104" i="1061"/>
  <c r="Z216" i="1061"/>
  <c r="Z181" i="1061"/>
  <c r="Z180" i="1061"/>
  <c r="Z67" i="1061"/>
  <c r="Z236" i="1061"/>
  <c r="Z66" i="1061"/>
  <c r="AA172" i="1057"/>
  <c r="AA58" i="1057"/>
  <c r="Z204" i="1063"/>
  <c r="Z92" i="1063"/>
  <c r="M175" i="1058"/>
  <c r="Z18" i="1058"/>
  <c r="N18" i="1058"/>
  <c r="L214" i="1057"/>
  <c r="L102" i="1057"/>
  <c r="L142" i="1057"/>
  <c r="L143" i="1057" s="1"/>
  <c r="L202" i="1057"/>
  <c r="L90" i="1057"/>
  <c r="L117" i="1057"/>
  <c r="L103" i="1057"/>
  <c r="L215" i="1057"/>
  <c r="L185" i="1057"/>
  <c r="L184" i="1057"/>
  <c r="Y57" i="1063"/>
  <c r="Y171" i="1063"/>
  <c r="AA177" i="1057"/>
  <c r="AA63" i="1057"/>
  <c r="M207" i="1063"/>
  <c r="M95" i="1063"/>
  <c r="M212" i="1059"/>
  <c r="M100" i="1059"/>
  <c r="M99" i="1059"/>
  <c r="M211" i="1059"/>
  <c r="M204" i="1059"/>
  <c r="M92" i="1059"/>
  <c r="AA10" i="1061"/>
  <c r="N149" i="1061"/>
  <c r="L203" i="1062"/>
  <c r="L91" i="1062"/>
  <c r="L212" i="1062"/>
  <c r="L100" i="1062"/>
  <c r="N125" i="1061"/>
  <c r="O10" i="1061"/>
  <c r="N130" i="1061" a="1"/>
  <c r="N130" i="1061" s="1"/>
  <c r="N164" i="1061" s="1"/>
  <c r="N129" i="1061"/>
  <c r="N163" i="1061" s="1"/>
  <c r="N123" i="1061"/>
  <c r="N216" i="1061" a="1"/>
  <c r="N216" i="1061" s="1"/>
  <c r="N181" i="1061"/>
  <c r="N180" i="1061"/>
  <c r="Z178" i="1061"/>
  <c r="AA204" i="1060"/>
  <c r="AA92" i="1060"/>
  <c r="Y168" i="1059"/>
  <c r="K141" i="1058"/>
  <c r="K148" i="1058" s="1"/>
  <c r="K146" i="1058"/>
  <c r="J127" i="1057"/>
  <c r="AA178" i="1057"/>
  <c r="AA64" i="1057"/>
  <c r="Y57" i="1058"/>
  <c r="Y171" i="1058"/>
  <c r="Z71" i="1057"/>
  <c r="AA176" i="1057"/>
  <c r="AA62" i="1057"/>
  <c r="AA59" i="1061"/>
  <c r="AA173" i="1061"/>
  <c r="K147" i="1058"/>
  <c r="M217" i="1064"/>
  <c r="M179" i="1064"/>
  <c r="M168" i="1064"/>
  <c r="M132" i="1064"/>
  <c r="M133" i="1064"/>
  <c r="M131" i="1064"/>
  <c r="M167" i="1064"/>
  <c r="M134" i="1064"/>
  <c r="M139" i="1064"/>
  <c r="Z4" i="1064"/>
  <c r="N4" i="1064"/>
  <c r="K225" i="1061"/>
  <c r="K113" i="1061"/>
  <c r="K114" i="1061" s="1"/>
  <c r="K115" i="1061" s="1"/>
  <c r="K116" i="1061" s="1"/>
  <c r="K126" i="1061" s="1"/>
  <c r="Y131" i="1058"/>
  <c r="Y173" i="1058"/>
  <c r="Y59" i="1058"/>
  <c r="L197" i="1059"/>
  <c r="L196" i="1059"/>
  <c r="L198" i="1059"/>
  <c r="AA21" i="1059"/>
  <c r="O21" i="1059"/>
  <c r="V146" i="1058"/>
  <c r="V148" i="1058" s="1"/>
  <c r="AA50" i="1064"/>
  <c r="O50" i="1064"/>
  <c r="M54" i="1060"/>
  <c r="M53" i="1060"/>
  <c r="Z174" i="1059"/>
  <c r="Z60" i="1059"/>
  <c r="Z98" i="1057"/>
  <c r="Z210" i="1057"/>
  <c r="L209" i="1061"/>
  <c r="L97" i="1061"/>
  <c r="L71" i="1061"/>
  <c r="L70" i="1061"/>
  <c r="L112" i="1061" s="1"/>
  <c r="W202" i="1063"/>
  <c r="W142" i="1063"/>
  <c r="W143" i="1063" s="1"/>
  <c r="W89" i="1063"/>
  <c r="W90" i="1063"/>
  <c r="W117" i="1063"/>
  <c r="M174" i="1058"/>
  <c r="Z17" i="1058"/>
  <c r="N17" i="1058"/>
  <c r="W213" i="1060"/>
  <c r="W101" i="1060"/>
  <c r="X175" i="1063"/>
  <c r="J110" i="1063"/>
  <c r="Y64" i="1059"/>
  <c r="AA125" i="1057"/>
  <c r="AA129" i="1057"/>
  <c r="AA163" i="1057" s="1"/>
  <c r="AA123" i="1057"/>
  <c r="AA69" i="1057"/>
  <c r="AA53" i="1057"/>
  <c r="AA130" i="1057"/>
  <c r="AA164" i="1057" s="1"/>
  <c r="AA54" i="1057"/>
  <c r="AA104" i="1057"/>
  <c r="AA216" i="1057"/>
  <c r="Y176" i="1064"/>
  <c r="Y62" i="1064"/>
  <c r="K225" i="1062"/>
  <c r="K113" i="1062"/>
  <c r="K114" i="1062"/>
  <c r="K115" i="1062" s="1"/>
  <c r="K116" i="1062" s="1"/>
  <c r="Y10" i="1063"/>
  <c r="L149" i="1063"/>
  <c r="K203" i="1063"/>
  <c r="K91" i="1063"/>
  <c r="K142" i="1063"/>
  <c r="K143" i="1063" s="1"/>
  <c r="K89" i="1063"/>
  <c r="X60" i="1058"/>
  <c r="M174" i="1064"/>
  <c r="Z17" i="1064"/>
  <c r="N17" i="1064"/>
  <c r="Y174" i="1060"/>
  <c r="Y60" i="1060"/>
  <c r="G112" i="1057"/>
  <c r="G89" i="1057"/>
  <c r="K141" i="1057"/>
  <c r="L212" i="1064"/>
  <c r="L100" i="1064"/>
  <c r="N182" i="1063"/>
  <c r="O23" i="1063"/>
  <c r="AA23" i="1063"/>
  <c r="K91" i="1060"/>
  <c r="K203" i="1060"/>
  <c r="K89" i="1060"/>
  <c r="K142" i="1060"/>
  <c r="K143" i="1060" s="1"/>
  <c r="AB10" i="1057"/>
  <c r="X176" i="1064"/>
  <c r="Y174" i="1062"/>
  <c r="Y60" i="1062"/>
  <c r="W140" i="1060"/>
  <c r="X209" i="1062"/>
  <c r="X97" i="1062"/>
  <c r="X176" i="1063"/>
  <c r="M139" i="1059"/>
  <c r="W91" i="1060"/>
  <c r="W203" i="1060"/>
  <c r="K219" i="1057"/>
  <c r="K106" i="1057"/>
  <c r="Z11" i="1064"/>
  <c r="N11" i="1064"/>
  <c r="M104" i="1064"/>
  <c r="M236" i="1064"/>
  <c r="Z204" i="1059"/>
  <c r="Z92" i="1059"/>
  <c r="X203" i="1063"/>
  <c r="X91" i="1063"/>
  <c r="M177" i="1058"/>
  <c r="Z20" i="1058"/>
  <c r="N20" i="1058"/>
  <c r="N63" i="1058" s="1"/>
  <c r="Y176" i="1063"/>
  <c r="Y62" i="1063"/>
  <c r="K219" i="1061"/>
  <c r="K106" i="1061"/>
  <c r="K110" i="1061" s="1"/>
  <c r="N221" i="1058"/>
  <c r="N109" i="1058"/>
  <c r="Q157" i="1060"/>
  <c r="K112" i="1050"/>
  <c r="I122" i="1050"/>
  <c r="I147" i="1052"/>
  <c r="J147" i="1056"/>
  <c r="J117" i="1055"/>
  <c r="W210" i="1063"/>
  <c r="W98" i="1063"/>
  <c r="AA213" i="1057"/>
  <c r="AA101" i="1057"/>
  <c r="U147" i="1061"/>
  <c r="AA217" i="1061"/>
  <c r="AA134" i="1061"/>
  <c r="AA65" i="1061"/>
  <c r="AA133" i="1061"/>
  <c r="AA132" i="1061"/>
  <c r="AA131" i="1061"/>
  <c r="AA55" i="1061" s="1"/>
  <c r="AA167" i="1061"/>
  <c r="AA179" i="1061"/>
  <c r="AA169" i="1061"/>
  <c r="AA168" i="1061"/>
  <c r="AA139" i="1061"/>
  <c r="X141" i="1059"/>
  <c r="M96" i="1058"/>
  <c r="M208" i="1058"/>
  <c r="Y214" i="1061"/>
  <c r="Y102" i="1061"/>
  <c r="X211" i="1058"/>
  <c r="X99" i="1058"/>
  <c r="N177" i="1062"/>
  <c r="AA20" i="1062"/>
  <c r="O20" i="1062"/>
  <c r="Z168" i="1061"/>
  <c r="M111" i="1062"/>
  <c r="M121" i="1062"/>
  <c r="W111" i="1064"/>
  <c r="W121" i="1064"/>
  <c r="L121" i="1060"/>
  <c r="L111" i="1060"/>
  <c r="O13" i="1063"/>
  <c r="AA13" i="1063"/>
  <c r="AA56" i="1063" s="1"/>
  <c r="Z103" i="1061"/>
  <c r="Z215" i="1061"/>
  <c r="Z184" i="1061"/>
  <c r="Z185" i="1061"/>
  <c r="Y175" i="1058"/>
  <c r="Y61" i="1058"/>
  <c r="Y112" i="1057"/>
  <c r="L206" i="1057"/>
  <c r="L94" i="1057"/>
  <c r="L99" i="1057"/>
  <c r="L211" i="1057"/>
  <c r="L140" i="1057"/>
  <c r="L71" i="1057"/>
  <c r="L70" i="1057"/>
  <c r="L89" i="1057" s="1"/>
  <c r="X207" i="1060"/>
  <c r="X95" i="1060"/>
  <c r="M171" i="1063"/>
  <c r="N14" i="1063"/>
  <c r="Z14" i="1063"/>
  <c r="M214" i="1063"/>
  <c r="M102" i="1063"/>
  <c r="M208" i="1059"/>
  <c r="M96" i="1059"/>
  <c r="M95" i="1059"/>
  <c r="M207" i="1059"/>
  <c r="AB11" i="1061"/>
  <c r="P11" i="1061"/>
  <c r="O104" i="1061"/>
  <c r="O236" i="1061"/>
  <c r="M182" i="1058"/>
  <c r="Z23" i="1058"/>
  <c r="N23" i="1058"/>
  <c r="Z173" i="1063"/>
  <c r="Z59" i="1063"/>
  <c r="L206" i="1062"/>
  <c r="L94" i="1062"/>
  <c r="L209" i="1062"/>
  <c r="L97" i="1062"/>
  <c r="X215" i="1062"/>
  <c r="X103" i="1062"/>
  <c r="X184" i="1062"/>
  <c r="X185" i="1062"/>
  <c r="Z64" i="1061"/>
  <c r="R228" i="1064"/>
  <c r="AE29" i="1064"/>
  <c r="AE228" i="1064" s="1"/>
  <c r="X61" i="1064"/>
  <c r="K219" i="1058"/>
  <c r="K106" i="1058"/>
  <c r="K110" i="1058" s="1"/>
  <c r="K112" i="1058"/>
  <c r="K117" i="1058"/>
  <c r="K89" i="1058"/>
  <c r="M172" i="1058"/>
  <c r="Z15" i="1058"/>
  <c r="N15" i="1058"/>
  <c r="N58" i="1058" s="1"/>
  <c r="AA14" i="1060"/>
  <c r="N171" i="1060"/>
  <c r="O14" i="1060"/>
  <c r="Z213" i="1057"/>
  <c r="Z101" i="1057"/>
  <c r="V146" i="1063"/>
  <c r="V148" i="1063" s="1"/>
  <c r="AA64" i="1061"/>
  <c r="AA178" i="1061"/>
  <c r="AB16" i="1061"/>
  <c r="P16" i="1061"/>
  <c r="O173" i="1061"/>
  <c r="Y208" i="1061"/>
  <c r="Y96" i="1061"/>
  <c r="Y217" i="1064"/>
  <c r="Y179" i="1064"/>
  <c r="Y167" i="1064"/>
  <c r="Y133" i="1064"/>
  <c r="Y132" i="1064"/>
  <c r="Y131" i="1064"/>
  <c r="Y139" i="1064"/>
  <c r="Y168" i="1064"/>
  <c r="Y65" i="1064"/>
  <c r="Y134" i="1064"/>
  <c r="U114" i="1063"/>
  <c r="U115" i="1063" s="1"/>
  <c r="U116" i="1063" s="1"/>
  <c r="U126" i="1063" s="1"/>
  <c r="W203" i="1064"/>
  <c r="W91" i="1064"/>
  <c r="Y132" i="1058"/>
  <c r="L70" i="1058"/>
  <c r="L112" i="1058" s="1"/>
  <c r="J110" i="1062"/>
  <c r="P51" i="1057"/>
  <c r="AB51" i="1057"/>
  <c r="W203" i="1063"/>
  <c r="W91" i="1063"/>
  <c r="M178" i="1059"/>
  <c r="U127" i="1062"/>
  <c r="K141" i="1060"/>
  <c r="W114" i="1061"/>
  <c r="W115" i="1061" s="1"/>
  <c r="W116" i="1061" s="1"/>
  <c r="W126" i="1061" s="1"/>
  <c r="W147" i="1061"/>
  <c r="M65" i="1060"/>
  <c r="N174" i="1059"/>
  <c r="AA17" i="1059"/>
  <c r="O17" i="1059"/>
  <c r="Q157" i="1063"/>
  <c r="M64" i="1061"/>
  <c r="M59" i="1061"/>
  <c r="M54" i="1061"/>
  <c r="M68" i="1061"/>
  <c r="Z8" i="1061"/>
  <c r="M66" i="1061"/>
  <c r="M63" i="1061"/>
  <c r="M53" i="1061"/>
  <c r="M108" i="1061"/>
  <c r="M61" i="1061"/>
  <c r="M57" i="1061"/>
  <c r="N8" i="1061"/>
  <c r="M65" i="1061"/>
  <c r="M55" i="1061"/>
  <c r="M67" i="1061"/>
  <c r="M62" i="1061"/>
  <c r="M60" i="1061"/>
  <c r="M56" i="1061"/>
  <c r="M69" i="1061"/>
  <c r="M58" i="1061"/>
  <c r="L207" i="1061"/>
  <c r="L95" i="1061"/>
  <c r="Y174" i="1058"/>
  <c r="Y60" i="1058"/>
  <c r="V120" i="1062"/>
  <c r="V119" i="1062"/>
  <c r="D173" i="1057"/>
  <c r="B60" i="1057"/>
  <c r="W121" i="1060"/>
  <c r="W111" i="1060"/>
  <c r="W112" i="1060" s="1"/>
  <c r="N221" i="1061"/>
  <c r="N109" i="1061"/>
  <c r="X211" i="1060"/>
  <c r="X99" i="1060"/>
  <c r="X140" i="1060"/>
  <c r="AA171" i="1061"/>
  <c r="AA57" i="1061"/>
  <c r="Y178" i="1059"/>
  <c r="M217" i="1060"/>
  <c r="M167" i="1060"/>
  <c r="N4" i="1060"/>
  <c r="M133" i="1060"/>
  <c r="M139" i="1060"/>
  <c r="M179" i="1060"/>
  <c r="M134" i="1060"/>
  <c r="M132" i="1060"/>
  <c r="M131" i="1060"/>
  <c r="M168" i="1060"/>
  <c r="Z4" i="1060"/>
  <c r="M176" i="1064"/>
  <c r="Z19" i="1064"/>
  <c r="N19" i="1064"/>
  <c r="L210" i="1060"/>
  <c r="L98" i="1060"/>
  <c r="Z134" i="1062"/>
  <c r="Z131" i="1062"/>
  <c r="Z132" i="1062"/>
  <c r="Z133" i="1062"/>
  <c r="W219" i="1059"/>
  <c r="W106" i="1059"/>
  <c r="W110" i="1059" s="1"/>
  <c r="W117" i="1059"/>
  <c r="W127" i="1059" s="1"/>
  <c r="M198" i="1064"/>
  <c r="M197" i="1064"/>
  <c r="M196" i="1064"/>
  <c r="Z17" i="1060"/>
  <c r="M174" i="1060"/>
  <c r="N17" i="1060"/>
  <c r="V112" i="1060"/>
  <c r="L213" i="1064"/>
  <c r="L101" i="1064"/>
  <c r="L71" i="1064"/>
  <c r="W141" i="1062"/>
  <c r="U144" i="1062"/>
  <c r="R157" i="1058"/>
  <c r="V114" i="1062"/>
  <c r="V115" i="1062" s="1"/>
  <c r="V116" i="1062" s="1"/>
  <c r="V113" i="1062"/>
  <c r="V225" i="1062" s="1"/>
  <c r="M168" i="1059"/>
  <c r="M167" i="1059"/>
  <c r="AA11" i="1059"/>
  <c r="O11" i="1059"/>
  <c r="N104" i="1059"/>
  <c r="N236" i="1059"/>
  <c r="X60" i="1064"/>
  <c r="V219" i="1063"/>
  <c r="V106" i="1063"/>
  <c r="V110" i="1063" s="1"/>
  <c r="V89" i="1063"/>
  <c r="Y182" i="1064"/>
  <c r="Y68" i="1064"/>
  <c r="Y210" i="1061"/>
  <c r="Y98" i="1061"/>
  <c r="Q51" i="1061"/>
  <c r="AC51" i="1061"/>
  <c r="AA13" i="1059"/>
  <c r="AA56" i="1059" s="1"/>
  <c r="O13" i="1059"/>
  <c r="J225" i="1063"/>
  <c r="J114" i="1063"/>
  <c r="J115" i="1063" s="1"/>
  <c r="J116" i="1063" s="1"/>
  <c r="J126" i="1063" s="1"/>
  <c r="J113" i="1063"/>
  <c r="Y177" i="1058"/>
  <c r="Y63" i="1058"/>
  <c r="M176" i="1063"/>
  <c r="N19" i="1063"/>
  <c r="Z19" i="1063"/>
  <c r="R51" i="1059"/>
  <c r="AE51" i="1059" s="1"/>
  <c r="AD51" i="1059"/>
  <c r="I122" i="1064"/>
  <c r="AE157" i="1060"/>
  <c r="K219" i="1064"/>
  <c r="K106" i="1064"/>
  <c r="K110" i="1064" s="1"/>
  <c r="J146" i="1051"/>
  <c r="U122" i="1051"/>
  <c r="J127" i="1061"/>
  <c r="AA214" i="1057"/>
  <c r="AA102" i="1057"/>
  <c r="X113" i="1061"/>
  <c r="X225" i="1061" s="1"/>
  <c r="J119" i="1058"/>
  <c r="J120" i="1058"/>
  <c r="M215" i="1058"/>
  <c r="M103" i="1058"/>
  <c r="M184" i="1058"/>
  <c r="M185" i="1058"/>
  <c r="M71" i="1058"/>
  <c r="Z49" i="1059"/>
  <c r="N49" i="1059"/>
  <c r="Y70" i="1061"/>
  <c r="Y117" i="1061" s="1"/>
  <c r="Y71" i="1061"/>
  <c r="M217" i="1063"/>
  <c r="M169" i="1063"/>
  <c r="M139" i="1063"/>
  <c r="M134" i="1063"/>
  <c r="M133" i="1063"/>
  <c r="M168" i="1063"/>
  <c r="M132" i="1063"/>
  <c r="M179" i="1063"/>
  <c r="M167" i="1063"/>
  <c r="M131" i="1063"/>
  <c r="Z4" i="1063"/>
  <c r="N4" i="1063"/>
  <c r="K219" i="1063"/>
  <c r="K106" i="1063"/>
  <c r="Z167" i="1061"/>
  <c r="Z179" i="1061"/>
  <c r="Y205" i="1060"/>
  <c r="Y93" i="1060"/>
  <c r="AA50" i="1061"/>
  <c r="O50" i="1061"/>
  <c r="X205" i="1063"/>
  <c r="X93" i="1063"/>
  <c r="V122" i="1061"/>
  <c r="L196" i="1060"/>
  <c r="L197" i="1060"/>
  <c r="L198" i="1060"/>
  <c r="X97" i="1060"/>
  <c r="X209" i="1060"/>
  <c r="L221" i="1063"/>
  <c r="L109" i="1063"/>
  <c r="L70" i="1063"/>
  <c r="L117" i="1063" s="1"/>
  <c r="J126" i="1057"/>
  <c r="G225" i="1064"/>
  <c r="G113" i="1064"/>
  <c r="R157" i="1061"/>
  <c r="K219" i="1060"/>
  <c r="K106" i="1060"/>
  <c r="L210" i="1057"/>
  <c r="L98" i="1057"/>
  <c r="L207" i="1057"/>
  <c r="L95" i="1057"/>
  <c r="M202" i="1063"/>
  <c r="M90" i="1063"/>
  <c r="M213" i="1063"/>
  <c r="M101" i="1063"/>
  <c r="N56" i="1059"/>
  <c r="N58" i="1059"/>
  <c r="AA8" i="1059"/>
  <c r="N68" i="1059"/>
  <c r="N59" i="1059"/>
  <c r="N57" i="1059"/>
  <c r="O8" i="1059"/>
  <c r="M214" i="1059"/>
  <c r="M102" i="1059"/>
  <c r="Y182" i="1058"/>
  <c r="Y68" i="1058"/>
  <c r="N173" i="1063"/>
  <c r="O16" i="1063"/>
  <c r="AA16" i="1063"/>
  <c r="L210" i="1062"/>
  <c r="L98" i="1062"/>
  <c r="L204" i="1062"/>
  <c r="L92" i="1062"/>
  <c r="X175" i="1064"/>
  <c r="Y65" i="1059"/>
  <c r="Y139" i="1059"/>
  <c r="X219" i="1057"/>
  <c r="X106" i="1057"/>
  <c r="X112" i="1057"/>
  <c r="X61" i="1058"/>
  <c r="Y172" i="1058"/>
  <c r="Y58" i="1058"/>
  <c r="D231" i="1062"/>
  <c r="B120" i="1062"/>
  <c r="Y174" i="1063"/>
  <c r="Y60" i="1063"/>
  <c r="Z171" i="1060"/>
  <c r="Z57" i="1060"/>
  <c r="J147" i="1063"/>
  <c r="Z215" i="1057"/>
  <c r="Z103" i="1057"/>
  <c r="Z184" i="1057"/>
  <c r="Z185" i="1057"/>
  <c r="P49" i="1062"/>
  <c r="AB49" i="1062"/>
  <c r="AB21" i="1061"/>
  <c r="P21" i="1061"/>
  <c r="O178" i="1061"/>
  <c r="P50" i="1060"/>
  <c r="AB50" i="1060"/>
  <c r="Z121" i="1057"/>
  <c r="Z111" i="1057"/>
  <c r="Y212" i="1061"/>
  <c r="Y100" i="1061"/>
  <c r="AB51" i="1064"/>
  <c r="P51" i="1064"/>
  <c r="Y209" i="1061"/>
  <c r="Y97" i="1061"/>
  <c r="Y134" i="1058"/>
  <c r="V126" i="1062"/>
  <c r="X145" i="1057"/>
  <c r="X146" i="1057" s="1"/>
  <c r="X144" i="1057"/>
  <c r="G225" i="1059"/>
  <c r="G113" i="1059"/>
  <c r="K225" i="1057"/>
  <c r="K113" i="1057"/>
  <c r="K114" i="1057" s="1"/>
  <c r="K115" i="1057" s="1"/>
  <c r="K116" i="1057" s="1"/>
  <c r="K126" i="1057" s="1"/>
  <c r="K112" i="1063"/>
  <c r="L111" i="1059"/>
  <c r="L121" i="1059"/>
  <c r="Z209" i="1057"/>
  <c r="Z97" i="1057"/>
  <c r="I144" i="1058"/>
  <c r="N57" i="1060"/>
  <c r="N67" i="1060"/>
  <c r="N58" i="1060"/>
  <c r="N56" i="1060"/>
  <c r="N65" i="1060"/>
  <c r="AA8" i="1060"/>
  <c r="N59" i="1060"/>
  <c r="O8" i="1060"/>
  <c r="M92" i="1060"/>
  <c r="M204" i="1060"/>
  <c r="AA174" i="1061"/>
  <c r="AA60" i="1061"/>
  <c r="R22" i="1061"/>
  <c r="AE22" i="1061" s="1"/>
  <c r="AD22" i="1061"/>
  <c r="B119" i="1057"/>
  <c r="D230" i="1057"/>
  <c r="L203" i="1061"/>
  <c r="L91" i="1061"/>
  <c r="L202" i="1061"/>
  <c r="L89" i="1061"/>
  <c r="L142" i="1061"/>
  <c r="L143" i="1061" s="1"/>
  <c r="L90" i="1061"/>
  <c r="L117" i="1061"/>
  <c r="L212" i="1061"/>
  <c r="L100" i="1061"/>
  <c r="W213" i="1063"/>
  <c r="W101" i="1063"/>
  <c r="W111" i="1063"/>
  <c r="W112" i="1063" s="1"/>
  <c r="W121" i="1063"/>
  <c r="W208" i="1064"/>
  <c r="W96" i="1064"/>
  <c r="M133" i="1058"/>
  <c r="X207" i="1058"/>
  <c r="X95" i="1058"/>
  <c r="W196" i="1060"/>
  <c r="W198" i="1060"/>
  <c r="W197" i="1060"/>
  <c r="AB9" i="1061"/>
  <c r="AB88" i="1061" s="1"/>
  <c r="AB109" i="1061" s="1"/>
  <c r="O88" i="1061" a="1"/>
  <c r="O88" i="1061" s="1"/>
  <c r="P9" i="1061"/>
  <c r="L55" i="1060"/>
  <c r="Y134" i="1060"/>
  <c r="Y65" i="1060"/>
  <c r="Y179" i="1060"/>
  <c r="Y168" i="1060"/>
  <c r="Y133" i="1060"/>
  <c r="Y217" i="1060"/>
  <c r="Y167" i="1060"/>
  <c r="Y169" i="1060"/>
  <c r="Y139" i="1060"/>
  <c r="Y131" i="1060"/>
  <c r="Y55" i="1060" s="1"/>
  <c r="Y132" i="1060"/>
  <c r="R228" i="1063"/>
  <c r="AE29" i="1063"/>
  <c r="AE228" i="1063" s="1"/>
  <c r="N11" i="1063"/>
  <c r="Z11" i="1063"/>
  <c r="M104" i="1063"/>
  <c r="M236" i="1063"/>
  <c r="J127" i="1064"/>
  <c r="AD157" i="1064"/>
  <c r="D229" i="1063"/>
  <c r="B118" i="1063"/>
  <c r="M111" i="1064"/>
  <c r="M121" i="1064"/>
  <c r="G114" i="1062"/>
  <c r="G113" i="1062"/>
  <c r="G225" i="1062"/>
  <c r="K146" i="1064"/>
  <c r="K141" i="1064"/>
  <c r="K144" i="1064" s="1"/>
  <c r="L214" i="1064"/>
  <c r="L102" i="1064"/>
  <c r="L215" i="1064"/>
  <c r="L103" i="1064"/>
  <c r="L185" i="1064"/>
  <c r="L184" i="1064"/>
  <c r="AA22" i="1062"/>
  <c r="O22" i="1062"/>
  <c r="P49" i="1060"/>
  <c r="AB49" i="1060"/>
  <c r="AD157" i="1058"/>
  <c r="B60" i="1061"/>
  <c r="D173" i="1061"/>
  <c r="N134" i="1059"/>
  <c r="AA4" i="1059"/>
  <c r="N131" i="1059"/>
  <c r="N55" i="1059" s="1"/>
  <c r="N132" i="1059"/>
  <c r="O4" i="1059"/>
  <c r="N133" i="1059"/>
  <c r="AA175" i="1061"/>
  <c r="AA61" i="1061"/>
  <c r="Z166" i="1059"/>
  <c r="Z165" i="1059"/>
  <c r="M111" i="1057"/>
  <c r="M121" i="1057"/>
  <c r="T225" i="1062"/>
  <c r="T113" i="1062"/>
  <c r="T114" i="1062"/>
  <c r="T115" i="1062" s="1"/>
  <c r="T116" i="1062" s="1"/>
  <c r="T126" i="1062" s="1"/>
  <c r="Y172" i="1064"/>
  <c r="Y58" i="1064"/>
  <c r="K117" i="1057"/>
  <c r="M182" i="1064"/>
  <c r="Z23" i="1064"/>
  <c r="N23" i="1064"/>
  <c r="L111" i="1063"/>
  <c r="L121" i="1063"/>
  <c r="Y215" i="1063"/>
  <c r="Y103" i="1063"/>
  <c r="Y184" i="1063"/>
  <c r="Y185" i="1063"/>
  <c r="Z173" i="1059"/>
  <c r="Z59" i="1059"/>
  <c r="Y166" i="1060"/>
  <c r="Y165" i="1060"/>
  <c r="L140" i="1063"/>
  <c r="I120" i="1062"/>
  <c r="I119" i="1062"/>
  <c r="I127" i="1062"/>
  <c r="U144" i="1057"/>
  <c r="AA19" i="1062"/>
  <c r="N176" i="1062"/>
  <c r="O19" i="1062"/>
  <c r="P22" i="1060"/>
  <c r="AB22" i="1060"/>
  <c r="X144" i="1061"/>
  <c r="X130" i="1064"/>
  <c r="X164" i="1064" s="1"/>
  <c r="X129" i="1064"/>
  <c r="X163" i="1064" s="1"/>
  <c r="X123" i="1064"/>
  <c r="X125" i="1064"/>
  <c r="X54" i="1064"/>
  <c r="X69" i="1064"/>
  <c r="X53" i="1064"/>
  <c r="X104" i="1064"/>
  <c r="X216" i="1064"/>
  <c r="X236" i="1064"/>
  <c r="X66" i="1064"/>
  <c r="X67" i="1064"/>
  <c r="X180" i="1064"/>
  <c r="X181" i="1064"/>
  <c r="M95" i="1058"/>
  <c r="M207" i="1058"/>
  <c r="N88" i="1064" a="1"/>
  <c r="N88" i="1064" s="1"/>
  <c r="AA9" i="1064"/>
  <c r="AA88" i="1064" s="1"/>
  <c r="AA109" i="1064" s="1"/>
  <c r="O9" i="1064"/>
  <c r="Y132" i="1063"/>
  <c r="Y217" i="1063"/>
  <c r="Y131" i="1063"/>
  <c r="Y167" i="1063"/>
  <c r="Y179" i="1063"/>
  <c r="Y139" i="1063"/>
  <c r="Y65" i="1063"/>
  <c r="Y168" i="1063"/>
  <c r="Y134" i="1063"/>
  <c r="Y133" i="1063"/>
  <c r="Z206" i="1061"/>
  <c r="Z94" i="1061"/>
  <c r="AB21" i="1062"/>
  <c r="O178" i="1062"/>
  <c r="P21" i="1062"/>
  <c r="AA21" i="1060"/>
  <c r="O21" i="1060"/>
  <c r="Z55" i="1061"/>
  <c r="Y175" i="1064"/>
  <c r="Y61" i="1064"/>
  <c r="M88" i="1063" a="1"/>
  <c r="M88" i="1063" s="1"/>
  <c r="N9" i="1063"/>
  <c r="Z9" i="1063"/>
  <c r="Z88" i="1063" s="1"/>
  <c r="Z109" i="1063" s="1"/>
  <c r="R228" i="1059"/>
  <c r="AE29" i="1059"/>
  <c r="AE228" i="1059" s="1"/>
  <c r="D173" i="1063"/>
  <c r="B60" i="1063"/>
  <c r="V112" i="1064"/>
  <c r="B60" i="1060"/>
  <c r="D173" i="1060"/>
  <c r="L204" i="1057"/>
  <c r="L92" i="1057"/>
  <c r="L212" i="1057"/>
  <c r="L100" i="1057"/>
  <c r="W91" i="1058"/>
  <c r="W203" i="1058"/>
  <c r="Z214" i="1057"/>
  <c r="Z102" i="1057"/>
  <c r="N67" i="1063"/>
  <c r="N66" i="1063"/>
  <c r="N56" i="1063"/>
  <c r="N68" i="1063"/>
  <c r="N64" i="1063"/>
  <c r="N57" i="1063"/>
  <c r="N53" i="1063"/>
  <c r="AA8" i="1063"/>
  <c r="N108" i="1063"/>
  <c r="N62" i="1063"/>
  <c r="N59" i="1063"/>
  <c r="N54" i="1063"/>
  <c r="N71" i="1063" s="1"/>
  <c r="N58" i="1063"/>
  <c r="N69" i="1063"/>
  <c r="O8" i="1063"/>
  <c r="N65" i="1063"/>
  <c r="M205" i="1063"/>
  <c r="M93" i="1063"/>
  <c r="M215" i="1063"/>
  <c r="M103" i="1063"/>
  <c r="M184" i="1063"/>
  <c r="M185" i="1063"/>
  <c r="M213" i="1059"/>
  <c r="M101" i="1059"/>
  <c r="M58" i="1059"/>
  <c r="M215" i="1059"/>
  <c r="M103" i="1059"/>
  <c r="M184" i="1059"/>
  <c r="M185" i="1059"/>
  <c r="Y175" i="1060"/>
  <c r="Y61" i="1060"/>
  <c r="L214" i="1062"/>
  <c r="L102" i="1062"/>
  <c r="L208" i="1062"/>
  <c r="L96" i="1062"/>
  <c r="Y177" i="1063"/>
  <c r="Y63" i="1063"/>
  <c r="Z207" i="1061"/>
  <c r="Z95" i="1061"/>
  <c r="Y55" i="1062"/>
  <c r="W211" i="1063"/>
  <c r="W99" i="1063"/>
  <c r="W140" i="1063"/>
  <c r="X65" i="1064"/>
  <c r="X217" i="1064"/>
  <c r="Y179" i="1059"/>
  <c r="X215" i="1059"/>
  <c r="X103" i="1059"/>
  <c r="X185" i="1059"/>
  <c r="X184" i="1059"/>
  <c r="X175" i="1058"/>
  <c r="M174" i="1063"/>
  <c r="N17" i="1063"/>
  <c r="Z17" i="1063"/>
  <c r="X94" i="1060"/>
  <c r="X206" i="1060"/>
  <c r="D173" i="1058"/>
  <c r="B60" i="1058"/>
  <c r="N178" i="1061"/>
  <c r="Z60" i="1061"/>
  <c r="Z198" i="1057"/>
  <c r="Z197" i="1057"/>
  <c r="Z196" i="1057"/>
  <c r="V144" i="1058"/>
  <c r="X70" i="1059"/>
  <c r="O125" i="1058"/>
  <c r="O180" i="1058"/>
  <c r="O129" i="1058"/>
  <c r="O163" i="1058" s="1"/>
  <c r="O123" i="1058"/>
  <c r="O181" i="1058"/>
  <c r="O130" i="1058" a="1"/>
  <c r="O130" i="1058" s="1"/>
  <c r="O164" i="1058" s="1"/>
  <c r="P10" i="1058"/>
  <c r="O216" i="1058" a="1"/>
  <c r="O216" i="1058" s="1"/>
  <c r="G225" i="1063"/>
  <c r="G114" i="1063"/>
  <c r="G113" i="1063"/>
  <c r="Y176" i="1059"/>
  <c r="Y62" i="1059"/>
  <c r="X89" i="1057"/>
  <c r="Z176" i="1061"/>
  <c r="Y177" i="1060"/>
  <c r="Y63" i="1060"/>
  <c r="M125" i="1059"/>
  <c r="M129" i="1059"/>
  <c r="M163" i="1059" s="1"/>
  <c r="M130" i="1059" a="1"/>
  <c r="M130" i="1059" s="1"/>
  <c r="M164" i="1059" s="1"/>
  <c r="N10" i="1059"/>
  <c r="M123" i="1059"/>
  <c r="M216" i="1059" a="1"/>
  <c r="M216" i="1059" s="1"/>
  <c r="M180" i="1059"/>
  <c r="M181" i="1059"/>
  <c r="J119" i="1059"/>
  <c r="J120" i="1059"/>
  <c r="X55" i="1060"/>
  <c r="D229" i="1058"/>
  <c r="B118" i="1058"/>
  <c r="K141" i="1062"/>
  <c r="Q51" i="1060"/>
  <c r="AC51" i="1060"/>
  <c r="M59" i="1060"/>
  <c r="M67" i="1060"/>
  <c r="AB17" i="1061"/>
  <c r="P17" i="1061"/>
  <c r="O174" i="1061"/>
  <c r="R157" i="1063"/>
  <c r="O166" i="1057"/>
  <c r="AB12" i="1057"/>
  <c r="P12" i="1057"/>
  <c r="O165" i="1057"/>
  <c r="O169" i="1057" s="1"/>
  <c r="L210" i="1061"/>
  <c r="L98" i="1061"/>
  <c r="L211" i="1061"/>
  <c r="L99" i="1061"/>
  <c r="L140" i="1061"/>
  <c r="L214" i="1061"/>
  <c r="L102" i="1061"/>
  <c r="W214" i="1063"/>
  <c r="W102" i="1063"/>
  <c r="W198" i="1063"/>
  <c r="W196" i="1063"/>
  <c r="W197" i="1063"/>
  <c r="N167" i="1058"/>
  <c r="N217" i="1058"/>
  <c r="N168" i="1058"/>
  <c r="N139" i="1058"/>
  <c r="N179" i="1058"/>
  <c r="O4" i="1058"/>
  <c r="AA4" i="1058"/>
  <c r="AB17" i="1057"/>
  <c r="O174" i="1057"/>
  <c r="P17" i="1057"/>
  <c r="X205" i="1059"/>
  <c r="X93" i="1059"/>
  <c r="AB14" i="1061"/>
  <c r="P14" i="1061"/>
  <c r="O171" i="1061"/>
  <c r="D173" i="1064"/>
  <c r="B60" i="1064"/>
  <c r="Y60" i="1059"/>
  <c r="N179" i="1062"/>
  <c r="N167" i="1062"/>
  <c r="N134" i="1062"/>
  <c r="N133" i="1062"/>
  <c r="N168" i="1062"/>
  <c r="N131" i="1062"/>
  <c r="O4" i="1062"/>
  <c r="N139" i="1062"/>
  <c r="N132" i="1062"/>
  <c r="AA4" i="1062"/>
  <c r="N217" i="1062"/>
  <c r="D173" i="1062"/>
  <c r="B60" i="1062"/>
  <c r="Z63" i="1061"/>
  <c r="Y175" i="1063"/>
  <c r="Y61" i="1063"/>
  <c r="L211" i="1064"/>
  <c r="L99" i="1064"/>
  <c r="L140" i="1064"/>
  <c r="L205" i="1064"/>
  <c r="L93" i="1064"/>
  <c r="K110" i="1062"/>
  <c r="X63" i="1064"/>
  <c r="O175" i="1061"/>
  <c r="AB18" i="1061"/>
  <c r="P18" i="1061"/>
  <c r="AA12" i="1059"/>
  <c r="O12" i="1059"/>
  <c r="N166" i="1059"/>
  <c r="N165" i="1059"/>
  <c r="N169" i="1059" s="1"/>
  <c r="M198" i="1057"/>
  <c r="M197" i="1057"/>
  <c r="M196" i="1057"/>
  <c r="AA177" i="1061"/>
  <c r="AA63" i="1061"/>
  <c r="U122" i="1057"/>
  <c r="M172" i="1064"/>
  <c r="Z15" i="1064"/>
  <c r="N15" i="1064"/>
  <c r="K110" i="1057"/>
  <c r="L198" i="1063"/>
  <c r="L196" i="1063"/>
  <c r="L197" i="1063"/>
  <c r="R157" i="1059"/>
  <c r="P157" i="1059"/>
  <c r="AE157" i="1059"/>
  <c r="X65" i="1063"/>
  <c r="X168" i="1063"/>
  <c r="N173" i="1059"/>
  <c r="AA16" i="1059"/>
  <c r="O16" i="1059"/>
  <c r="P50" i="1057"/>
  <c r="AB50" i="1057"/>
  <c r="Z12" i="1060"/>
  <c r="N12" i="1060"/>
  <c r="M166" i="1060"/>
  <c r="M165" i="1060"/>
  <c r="M169" i="1060" s="1"/>
  <c r="AD157" i="1059"/>
  <c r="AC157" i="1060"/>
  <c r="K117" i="1064"/>
  <c r="AE157" i="1064" s="1"/>
  <c r="U122" i="1050"/>
  <c r="Y130" i="1059"/>
  <c r="Y164" i="1059" s="1"/>
  <c r="Y125" i="1059"/>
  <c r="Y69" i="1059"/>
  <c r="Y123" i="1059"/>
  <c r="Y54" i="1059"/>
  <c r="Y53" i="1059"/>
  <c r="Y129" i="1059"/>
  <c r="Y163" i="1059" s="1"/>
  <c r="Y216" i="1059"/>
  <c r="Y104" i="1059"/>
  <c r="Y180" i="1059"/>
  <c r="Y181" i="1059"/>
  <c r="Y66" i="1059"/>
  <c r="Y236" i="1059"/>
  <c r="Y67" i="1059"/>
  <c r="Y178" i="1064"/>
  <c r="Y64" i="1064"/>
  <c r="M205" i="1058"/>
  <c r="M93" i="1058"/>
  <c r="M100" i="1058"/>
  <c r="M212" i="1058"/>
  <c r="AA50" i="1058"/>
  <c r="O50" i="1058"/>
  <c r="M88" i="1062" a="1"/>
  <c r="M88" i="1062" s="1"/>
  <c r="Z9" i="1062"/>
  <c r="Z88" i="1062" s="1"/>
  <c r="Z109" i="1062" s="1"/>
  <c r="N9" i="1062"/>
  <c r="Y213" i="1061"/>
  <c r="Y101" i="1061"/>
  <c r="Y111" i="1061"/>
  <c r="Y112" i="1061" s="1"/>
  <c r="Y121" i="1061"/>
  <c r="L203" i="1063"/>
  <c r="L91" i="1063"/>
  <c r="AA49" i="1058"/>
  <c r="O49" i="1058"/>
  <c r="Z165" i="1062"/>
  <c r="Z169" i="1062" s="1"/>
  <c r="Z166" i="1062"/>
  <c r="X203" i="1059"/>
  <c r="X91" i="1059"/>
  <c r="Q13" i="1057"/>
  <c r="AC13" i="1057"/>
  <c r="AC56" i="1057" s="1"/>
  <c r="Y182" i="1060"/>
  <c r="Y68" i="1060"/>
  <c r="V219" i="1060"/>
  <c r="V106" i="1060"/>
  <c r="V110" i="1060" s="1"/>
  <c r="W202" i="1064"/>
  <c r="W142" i="1064"/>
  <c r="W143" i="1064" s="1"/>
  <c r="W90" i="1064"/>
  <c r="M125" i="1060"/>
  <c r="M129" i="1060"/>
  <c r="M163" i="1060" s="1"/>
  <c r="M123" i="1060"/>
  <c r="M130" i="1060" a="1"/>
  <c r="M130" i="1060" s="1"/>
  <c r="M164" i="1060" s="1"/>
  <c r="N10" i="1060"/>
  <c r="M216" i="1060" a="1"/>
  <c r="M216" i="1060" s="1"/>
  <c r="M181" i="1060"/>
  <c r="M180" i="1060"/>
  <c r="L211" i="1058"/>
  <c r="L99" i="1058"/>
  <c r="L140" i="1058"/>
  <c r="X211" i="1063"/>
  <c r="X99" i="1063"/>
  <c r="X140" i="1063"/>
  <c r="M175" i="1064"/>
  <c r="Z18" i="1064"/>
  <c r="N18" i="1064"/>
  <c r="N178" i="1063"/>
  <c r="O21" i="1063"/>
  <c r="AA21" i="1063"/>
  <c r="X146" i="1061"/>
  <c r="X148" i="1061" s="1"/>
  <c r="AC157" i="1061"/>
  <c r="X205" i="1064"/>
  <c r="X93" i="1064"/>
  <c r="N50" i="1063"/>
  <c r="Z50" i="1063"/>
  <c r="M68" i="1057"/>
  <c r="Z8" i="1057"/>
  <c r="M108" i="1057"/>
  <c r="M66" i="1057"/>
  <c r="M60" i="1057"/>
  <c r="M56" i="1057"/>
  <c r="M63" i="1057"/>
  <c r="M53" i="1057"/>
  <c r="M69" i="1057"/>
  <c r="M61" i="1057"/>
  <c r="M57" i="1057"/>
  <c r="N8" i="1057"/>
  <c r="M62" i="1057"/>
  <c r="M58" i="1057"/>
  <c r="M65" i="1057"/>
  <c r="M55" i="1057"/>
  <c r="M67" i="1057"/>
  <c r="M64" i="1057"/>
  <c r="M59" i="1057"/>
  <c r="M54" i="1057"/>
  <c r="L208" i="1057"/>
  <c r="L96" i="1057"/>
  <c r="X215" i="1060"/>
  <c r="X103" i="1060"/>
  <c r="X185" i="1060"/>
  <c r="X184" i="1060"/>
  <c r="AB23" i="1057"/>
  <c r="P23" i="1057"/>
  <c r="O182" i="1057"/>
  <c r="M209" i="1063"/>
  <c r="M97" i="1063"/>
  <c r="M210" i="1063"/>
  <c r="M98" i="1063"/>
  <c r="M210" i="1059"/>
  <c r="M98" i="1059"/>
  <c r="I120" i="1058"/>
  <c r="I119" i="1058"/>
  <c r="I122" i="1058" s="1"/>
  <c r="L213" i="1062"/>
  <c r="L101" i="1062"/>
  <c r="W126" i="1062"/>
  <c r="M177" i="1063"/>
  <c r="N20" i="1063"/>
  <c r="N63" i="1063" s="1"/>
  <c r="Z20" i="1063"/>
  <c r="O171" i="1057"/>
  <c r="AB14" i="1057"/>
  <c r="P14" i="1057"/>
  <c r="X139" i="1064"/>
  <c r="X167" i="1064"/>
  <c r="Y55" i="1059"/>
  <c r="D173" i="1059"/>
  <c r="B60" i="1059"/>
  <c r="V127" i="1059"/>
  <c r="X127" i="1061"/>
  <c r="Y182" i="1062"/>
  <c r="Y68" i="1062"/>
  <c r="Z174" i="1061"/>
  <c r="J225" i="1059"/>
  <c r="J113" i="1059"/>
  <c r="J114" i="1059" s="1"/>
  <c r="J115" i="1059" s="1"/>
  <c r="J116" i="1059" s="1"/>
  <c r="J126" i="1059" s="1"/>
  <c r="X71" i="1059"/>
  <c r="V113" i="1063"/>
  <c r="V225" i="1063" s="1"/>
  <c r="N196" i="1058"/>
  <c r="N197" i="1058"/>
  <c r="N198" i="1058"/>
  <c r="D230" i="1060"/>
  <c r="B119" i="1060"/>
  <c r="Y133" i="1058"/>
  <c r="N19" i="1059"/>
  <c r="N62" i="1059" s="1"/>
  <c r="M176" i="1059"/>
  <c r="Z19" i="1059"/>
  <c r="Z62" i="1061"/>
  <c r="V117" i="1060"/>
  <c r="Z20" i="1060"/>
  <c r="M177" i="1060"/>
  <c r="N20" i="1060"/>
  <c r="N63" i="1060" s="1"/>
  <c r="W209" i="1063"/>
  <c r="W97" i="1063"/>
  <c r="Z205" i="1061"/>
  <c r="Z93" i="1061"/>
  <c r="M64" i="1060"/>
  <c r="M140" i="1060" s="1"/>
  <c r="M66" i="1060"/>
  <c r="N49" i="1064"/>
  <c r="Z49" i="1064"/>
  <c r="N174" i="1061"/>
  <c r="L204" i="1061"/>
  <c r="L92" i="1061"/>
  <c r="W212" i="1063"/>
  <c r="W100" i="1063"/>
  <c r="L112" i="1057"/>
  <c r="M134" i="1058"/>
  <c r="AA174" i="1057"/>
  <c r="AA60" i="1057"/>
  <c r="W142" i="1060"/>
  <c r="W143" i="1060" s="1"/>
  <c r="W90" i="1060"/>
  <c r="W89" i="1060"/>
  <c r="W202" i="1060"/>
  <c r="W117" i="1060"/>
  <c r="AA176" i="1061"/>
  <c r="AA62" i="1061"/>
  <c r="W219" i="1062"/>
  <c r="W106" i="1062"/>
  <c r="W110" i="1062" s="1"/>
  <c r="Y174" i="1059"/>
  <c r="X142" i="1059"/>
  <c r="X143" i="1059" s="1"/>
  <c r="K145" i="1061"/>
  <c r="K147" i="1061"/>
  <c r="Z13" i="1058"/>
  <c r="Z56" i="1058" s="1"/>
  <c r="N13" i="1058"/>
  <c r="Z177" i="1061"/>
  <c r="V127" i="1062"/>
  <c r="M175" i="1063"/>
  <c r="N18" i="1063"/>
  <c r="N61" i="1063" s="1"/>
  <c r="Z18" i="1063"/>
  <c r="L202" i="1064"/>
  <c r="L90" i="1064"/>
  <c r="L142" i="1064"/>
  <c r="L143" i="1064" s="1"/>
  <c r="L89" i="1064"/>
  <c r="L208" i="1064"/>
  <c r="L96" i="1064"/>
  <c r="J144" i="1059"/>
  <c r="L145" i="1059"/>
  <c r="L147" i="1059" s="1"/>
  <c r="P157" i="1058"/>
  <c r="Y166" i="1064"/>
  <c r="Y165" i="1064"/>
  <c r="Y169" i="1064" s="1"/>
  <c r="K126" i="1062"/>
  <c r="Y177" i="1059"/>
  <c r="X177" i="1064"/>
  <c r="Z19" i="1060"/>
  <c r="N19" i="1060"/>
  <c r="N62" i="1060" s="1"/>
  <c r="M176" i="1060"/>
  <c r="N175" i="1061"/>
  <c r="N51" i="1063"/>
  <c r="Z51" i="1063"/>
  <c r="O177" i="1061"/>
  <c r="AB20" i="1061"/>
  <c r="P20" i="1061"/>
  <c r="AA50" i="1059"/>
  <c r="O50" i="1059"/>
  <c r="K219" i="1059"/>
  <c r="K106" i="1059"/>
  <c r="K110" i="1059" s="1"/>
  <c r="K89" i="1059"/>
  <c r="W89" i="1059"/>
  <c r="X179" i="1063"/>
  <c r="I122" i="1063"/>
  <c r="W122" i="1057"/>
  <c r="N11" i="1060"/>
  <c r="Z11" i="1060"/>
  <c r="M104" i="1060"/>
  <c r="M236" i="1060"/>
  <c r="U147" i="1057"/>
  <c r="O179" i="1061"/>
  <c r="O169" i="1061"/>
  <c r="O167" i="1061"/>
  <c r="P4" i="1061"/>
  <c r="O139" i="1061"/>
  <c r="O217" i="1061"/>
  <c r="O134" i="1061"/>
  <c r="O133" i="1061"/>
  <c r="O132" i="1061"/>
  <c r="AB4" i="1061"/>
  <c r="O168" i="1061"/>
  <c r="O131" i="1061"/>
  <c r="X206" i="1064"/>
  <c r="X94" i="1064"/>
  <c r="M178" i="1064"/>
  <c r="Z21" i="1064"/>
  <c r="N21" i="1064"/>
  <c r="M209" i="1058"/>
  <c r="M97" i="1058"/>
  <c r="M206" i="1058"/>
  <c r="M94" i="1058"/>
  <c r="M221" i="1064"/>
  <c r="M109" i="1064"/>
  <c r="L221" i="1062"/>
  <c r="L109" i="1062"/>
  <c r="L70" i="1062"/>
  <c r="L117" i="1062"/>
  <c r="Z11" i="1058"/>
  <c r="N11" i="1058"/>
  <c r="N108" i="1058" s="1"/>
  <c r="M236" i="1058"/>
  <c r="M104" i="1058"/>
  <c r="Y198" i="1061"/>
  <c r="Y197" i="1061"/>
  <c r="Y196" i="1061"/>
  <c r="Y207" i="1059"/>
  <c r="Y95" i="1059"/>
  <c r="AA12" i="1062"/>
  <c r="O12" i="1062"/>
  <c r="N166" i="1062"/>
  <c r="N165" i="1062"/>
  <c r="N169" i="1062" s="1"/>
  <c r="N178" i="1062"/>
  <c r="M178" i="1060"/>
  <c r="AB204" i="1057"/>
  <c r="AB92" i="1057"/>
  <c r="Y203" i="1057"/>
  <c r="Y91" i="1057"/>
  <c r="Y110" i="1057" s="1"/>
  <c r="Y117" i="1057"/>
  <c r="Y142" i="1057"/>
  <c r="Y143" i="1057" s="1"/>
  <c r="Y89" i="1057"/>
  <c r="Z23" i="1060"/>
  <c r="M182" i="1060"/>
  <c r="N23" i="1060"/>
  <c r="L142" i="1063"/>
  <c r="L143" i="1063" s="1"/>
  <c r="L202" i="1063"/>
  <c r="L90" i="1063"/>
  <c r="L89" i="1063"/>
  <c r="W213" i="1064"/>
  <c r="W101" i="1064"/>
  <c r="W71" i="1064"/>
  <c r="W70" i="1064"/>
  <c r="AA131" i="1057"/>
  <c r="AA169" i="1057"/>
  <c r="AA139" i="1057"/>
  <c r="AA217" i="1057"/>
  <c r="AA179" i="1057"/>
  <c r="AA168" i="1057"/>
  <c r="AA133" i="1057"/>
  <c r="AA132" i="1057"/>
  <c r="AA134" i="1057"/>
  <c r="AA167" i="1057"/>
  <c r="AA65" i="1057"/>
  <c r="Y166" i="1063"/>
  <c r="Y165" i="1063"/>
  <c r="Y169" i="1063" s="1"/>
  <c r="W142" i="1058"/>
  <c r="W143" i="1058" s="1"/>
  <c r="X62" i="1058"/>
  <c r="Z205" i="1057"/>
  <c r="Z93" i="1057"/>
  <c r="Y182" i="1059"/>
  <c r="Y68" i="1059"/>
  <c r="AA58" i="1061"/>
  <c r="AA172" i="1061"/>
  <c r="Z12" i="1058"/>
  <c r="Z132" i="1058" s="1"/>
  <c r="N12" i="1058"/>
  <c r="N134" i="1058" s="1"/>
  <c r="M166" i="1058"/>
  <c r="M165" i="1058"/>
  <c r="M169" i="1058" s="1"/>
  <c r="J126" i="1060"/>
  <c r="AD157" i="1061"/>
  <c r="N49" i="1063"/>
  <c r="Z49" i="1063"/>
  <c r="L93" i="1057"/>
  <c r="L205" i="1057"/>
  <c r="L213" i="1057"/>
  <c r="L101" i="1057"/>
  <c r="AA182" i="1057"/>
  <c r="AA68" i="1057"/>
  <c r="M71" i="1063"/>
  <c r="M63" i="1063"/>
  <c r="M209" i="1059"/>
  <c r="M97" i="1059"/>
  <c r="M175" i="1060"/>
  <c r="Z18" i="1060"/>
  <c r="N18" i="1060"/>
  <c r="L202" i="1062"/>
  <c r="L89" i="1062"/>
  <c r="L142" i="1062"/>
  <c r="L143" i="1062" s="1"/>
  <c r="L90" i="1062"/>
  <c r="L215" i="1062"/>
  <c r="L103" i="1062"/>
  <c r="L185" i="1062"/>
  <c r="L184" i="1062"/>
  <c r="M198" i="1061"/>
  <c r="M197" i="1061"/>
  <c r="M196" i="1061"/>
  <c r="W148" i="1062"/>
  <c r="W145" i="1062"/>
  <c r="W146" i="1062" s="1"/>
  <c r="W147" i="1062"/>
  <c r="AA171" i="1057"/>
  <c r="AA57" i="1057"/>
  <c r="X168" i="1064"/>
  <c r="X179" i="1064"/>
  <c r="Y167" i="1059"/>
  <c r="Z22" i="1058"/>
  <c r="N22" i="1058"/>
  <c r="L112" i="1064"/>
  <c r="Y205" i="1062"/>
  <c r="Y93" i="1062"/>
  <c r="I122" i="1060"/>
  <c r="M182" i="1062"/>
  <c r="N23" i="1062"/>
  <c r="Z23" i="1062"/>
  <c r="AA207" i="1057"/>
  <c r="AA95" i="1057"/>
  <c r="K144" i="1058"/>
  <c r="X110" i="1057"/>
  <c r="Z55" i="1057"/>
  <c r="Z142" i="1057" s="1"/>
  <c r="Z143" i="1057" s="1"/>
  <c r="M68" i="1060"/>
  <c r="M58" i="1060"/>
  <c r="P173" i="1057"/>
  <c r="Q16" i="1057"/>
  <c r="AC16" i="1057"/>
  <c r="X207" i="1064"/>
  <c r="X95" i="1064"/>
  <c r="AC157" i="1063"/>
  <c r="K141" i="1061"/>
  <c r="K144" i="1061" s="1"/>
  <c r="K146" i="1061"/>
  <c r="L208" i="1061"/>
  <c r="L96" i="1061"/>
  <c r="Y61" i="1059"/>
  <c r="Y175" i="1059"/>
  <c r="W113" i="1059"/>
  <c r="W225" i="1059" s="1"/>
  <c r="W114" i="1059"/>
  <c r="W115" i="1059" s="1"/>
  <c r="W116" i="1059" s="1"/>
  <c r="W212" i="1060"/>
  <c r="W100" i="1060"/>
  <c r="T225" i="1059"/>
  <c r="T113" i="1059"/>
  <c r="T114" i="1059" s="1"/>
  <c r="T115" i="1059" s="1"/>
  <c r="T116" i="1059" s="1"/>
  <c r="T126" i="1059" s="1"/>
  <c r="O176" i="1061"/>
  <c r="AB19" i="1061"/>
  <c r="P19" i="1061"/>
  <c r="W70" i="1058"/>
  <c r="M177" i="1059"/>
  <c r="Y177" i="1064"/>
  <c r="Y63" i="1064"/>
  <c r="M104" i="1062"/>
  <c r="Z11" i="1062"/>
  <c r="N11" i="1062"/>
  <c r="M236" i="1062"/>
  <c r="Y61" i="1062"/>
  <c r="Y175" i="1062"/>
  <c r="Y204" i="1058"/>
  <c r="Y92" i="1058"/>
  <c r="X97" i="1059"/>
  <c r="X209" i="1059"/>
  <c r="Y211" i="1061"/>
  <c r="Y99" i="1061"/>
  <c r="Y140" i="1061"/>
  <c r="M108" i="1064"/>
  <c r="M69" i="1064"/>
  <c r="M62" i="1064"/>
  <c r="M58" i="1064"/>
  <c r="M60" i="1064"/>
  <c r="M57" i="1064"/>
  <c r="M68" i="1064"/>
  <c r="M54" i="1064"/>
  <c r="M64" i="1064"/>
  <c r="M59" i="1064"/>
  <c r="M56" i="1064"/>
  <c r="M55" i="1064"/>
  <c r="M53" i="1064"/>
  <c r="M67" i="1064"/>
  <c r="M66" i="1064"/>
  <c r="M65" i="1064"/>
  <c r="M63" i="1064"/>
  <c r="M61" i="1064"/>
  <c r="Z8" i="1064"/>
  <c r="N8" i="1064"/>
  <c r="L204" i="1064"/>
  <c r="L92" i="1064"/>
  <c r="AE157" i="1058"/>
  <c r="Z9" i="1059"/>
  <c r="Z88" i="1059" s="1"/>
  <c r="Z109" i="1059" s="1"/>
  <c r="N9" i="1059"/>
  <c r="M88" i="1059" a="1"/>
  <c r="M88" i="1059" s="1"/>
  <c r="M140" i="1059" s="1"/>
  <c r="Z12" i="1064"/>
  <c r="N12" i="1064"/>
  <c r="M165" i="1064"/>
  <c r="M169" i="1064" s="1"/>
  <c r="M166" i="1064"/>
  <c r="K147" i="1062"/>
  <c r="K144" i="1062"/>
  <c r="K145" i="1062"/>
  <c r="K146" i="1062" s="1"/>
  <c r="K148" i="1062"/>
  <c r="L140" i="1060"/>
  <c r="L117" i="1064"/>
  <c r="P50" i="1062"/>
  <c r="AB50" i="1062"/>
  <c r="Y62" i="1060"/>
  <c r="Y176" i="1060"/>
  <c r="Z134" i="1059"/>
  <c r="Z179" i="1059"/>
  <c r="Z168" i="1059"/>
  <c r="Z133" i="1059"/>
  <c r="Z217" i="1059"/>
  <c r="Z65" i="1059"/>
  <c r="Z169" i="1059"/>
  <c r="Z167" i="1059"/>
  <c r="Z131" i="1059"/>
  <c r="Z139" i="1059"/>
  <c r="Z132" i="1059"/>
  <c r="N177" i="1061"/>
  <c r="K148" i="1057"/>
  <c r="K147" i="1057"/>
  <c r="K145" i="1057"/>
  <c r="K146" i="1057" s="1"/>
  <c r="K144" i="1057"/>
  <c r="N221" i="1057"/>
  <c r="N109" i="1057"/>
  <c r="K117" i="1062"/>
  <c r="X139" i="1063"/>
  <c r="X217" i="1063"/>
  <c r="P157" i="1060"/>
  <c r="I122" i="1061"/>
  <c r="M204" i="1054"/>
  <c r="M92" i="1054"/>
  <c r="M206" i="1055"/>
  <c r="M94" i="1055"/>
  <c r="M209" i="1055"/>
  <c r="M97" i="1055"/>
  <c r="L203" i="1056"/>
  <c r="L91" i="1056"/>
  <c r="W141" i="1054"/>
  <c r="X209" i="1053"/>
  <c r="X97" i="1053"/>
  <c r="V119" i="1054"/>
  <c r="V120" i="1054"/>
  <c r="U119" i="1056"/>
  <c r="U120" i="1056"/>
  <c r="U114" i="1050"/>
  <c r="U115" i="1050" s="1"/>
  <c r="U116" i="1050" s="1"/>
  <c r="U126" i="1050" s="1"/>
  <c r="V144" i="1051"/>
  <c r="X55" i="1056"/>
  <c r="N67" i="1054"/>
  <c r="AA8" i="1054"/>
  <c r="N54" i="1054"/>
  <c r="O8" i="1054"/>
  <c r="N69" i="1054"/>
  <c r="N53" i="1054"/>
  <c r="N66" i="1054"/>
  <c r="U144" i="1056"/>
  <c r="X93" i="1054"/>
  <c r="X205" i="1054"/>
  <c r="N11" i="1053"/>
  <c r="M104" i="1053"/>
  <c r="Z11" i="1053"/>
  <c r="M236" i="1053"/>
  <c r="D230" i="1053"/>
  <c r="B119" i="1053"/>
  <c r="J120" i="1056"/>
  <c r="J119" i="1056"/>
  <c r="W141" i="1056"/>
  <c r="X125" i="1055"/>
  <c r="X129" i="1055"/>
  <c r="X163" i="1055" s="1"/>
  <c r="X123" i="1055"/>
  <c r="X54" i="1055"/>
  <c r="X130" i="1055"/>
  <c r="X164" i="1055" s="1"/>
  <c r="X53" i="1055"/>
  <c r="X69" i="1055"/>
  <c r="X66" i="1055"/>
  <c r="X216" i="1055"/>
  <c r="X67" i="1055"/>
  <c r="X104" i="1055"/>
  <c r="X181" i="1055"/>
  <c r="X180" i="1055"/>
  <c r="X236" i="1055"/>
  <c r="Y172" i="1056"/>
  <c r="Y58" i="1056"/>
  <c r="M176" i="1055"/>
  <c r="N19" i="1055"/>
  <c r="Z19" i="1055"/>
  <c r="M182" i="1056"/>
  <c r="Z23" i="1056"/>
  <c r="N23" i="1056"/>
  <c r="U127" i="1056"/>
  <c r="G225" i="1054"/>
  <c r="G113" i="1054"/>
  <c r="L202" i="1053"/>
  <c r="L142" i="1053"/>
  <c r="L143" i="1053" s="1"/>
  <c r="L90" i="1053"/>
  <c r="L210" i="1053"/>
  <c r="L98" i="1053"/>
  <c r="K106" i="1053"/>
  <c r="K219" i="1053"/>
  <c r="W213" i="1054"/>
  <c r="W101" i="1054"/>
  <c r="X176" i="1054"/>
  <c r="N196" i="1054"/>
  <c r="N197" i="1054"/>
  <c r="N198" i="1054"/>
  <c r="X174" i="1055"/>
  <c r="M178" i="1055"/>
  <c r="Z21" i="1055"/>
  <c r="N21" i="1055"/>
  <c r="N67" i="1055"/>
  <c r="N68" i="1055"/>
  <c r="N66" i="1055"/>
  <c r="N54" i="1055"/>
  <c r="N64" i="1055"/>
  <c r="AA8" i="1055"/>
  <c r="O8" i="1055"/>
  <c r="N69" i="1055"/>
  <c r="N53" i="1055"/>
  <c r="M208" i="1055"/>
  <c r="M96" i="1055"/>
  <c r="L111" i="1056"/>
  <c r="L121" i="1056"/>
  <c r="X206" i="1054"/>
  <c r="X94" i="1054"/>
  <c r="L205" i="1054"/>
  <c r="L93" i="1054"/>
  <c r="Y171" i="1056"/>
  <c r="Y57" i="1056"/>
  <c r="W210" i="1054"/>
  <c r="W98" i="1054"/>
  <c r="W213" i="1055"/>
  <c r="W101" i="1055"/>
  <c r="W197" i="1055"/>
  <c r="W196" i="1055"/>
  <c r="W198" i="1055"/>
  <c r="N221" i="1053"/>
  <c r="N109" i="1053"/>
  <c r="L212" i="1056"/>
  <c r="L100" i="1056"/>
  <c r="L215" i="1056"/>
  <c r="L103" i="1056"/>
  <c r="L184" i="1056"/>
  <c r="L185" i="1056"/>
  <c r="V120" i="1055"/>
  <c r="V119" i="1055"/>
  <c r="V122" i="1055" s="1"/>
  <c r="N13" i="1055"/>
  <c r="Z13" i="1055"/>
  <c r="Z56" i="1055" s="1"/>
  <c r="Y174" i="1056"/>
  <c r="Y60" i="1056"/>
  <c r="X179" i="1054"/>
  <c r="X71" i="1056"/>
  <c r="X139" i="1055"/>
  <c r="X167" i="1055"/>
  <c r="V127" i="1055"/>
  <c r="X174" i="1054"/>
  <c r="T225" i="1053"/>
  <c r="T113" i="1053"/>
  <c r="T114" i="1053" s="1"/>
  <c r="T115" i="1053" s="1"/>
  <c r="T116" i="1053" s="1"/>
  <c r="T126" i="1053" s="1"/>
  <c r="M221" i="1056"/>
  <c r="M109" i="1056"/>
  <c r="M168" i="1053"/>
  <c r="J127" i="1056"/>
  <c r="V110" i="1052"/>
  <c r="V120" i="1052" s="1"/>
  <c r="L208" i="1055"/>
  <c r="L96" i="1055"/>
  <c r="X54" i="1053"/>
  <c r="X130" i="1053"/>
  <c r="X164" i="1053" s="1"/>
  <c r="X125" i="1053"/>
  <c r="X123" i="1053"/>
  <c r="X53" i="1053"/>
  <c r="X129" i="1053"/>
  <c r="X163" i="1053" s="1"/>
  <c r="X69" i="1053"/>
  <c r="X104" i="1053"/>
  <c r="X180" i="1053"/>
  <c r="X181" i="1053"/>
  <c r="X236" i="1053"/>
  <c r="X216" i="1053"/>
  <c r="X67" i="1053"/>
  <c r="X66" i="1053"/>
  <c r="X174" i="1053"/>
  <c r="X60" i="1053"/>
  <c r="X176" i="1053"/>
  <c r="X217" i="1053"/>
  <c r="X62" i="1053"/>
  <c r="X178" i="1053"/>
  <c r="X64" i="1053"/>
  <c r="X167" i="1053"/>
  <c r="X65" i="1053"/>
  <c r="X179" i="1053"/>
  <c r="X168" i="1053"/>
  <c r="X139" i="1053"/>
  <c r="M71" i="1054"/>
  <c r="M174" i="1054"/>
  <c r="Z17" i="1054"/>
  <c r="N17" i="1054"/>
  <c r="L111" i="1053"/>
  <c r="L121" i="1053"/>
  <c r="X63" i="1053"/>
  <c r="X207" i="1055"/>
  <c r="X95" i="1055"/>
  <c r="AA49" i="1055"/>
  <c r="O49" i="1055"/>
  <c r="V148" i="1053"/>
  <c r="N182" i="1055"/>
  <c r="AA23" i="1055"/>
  <c r="O23" i="1055"/>
  <c r="Y182" i="1056"/>
  <c r="Y68" i="1056"/>
  <c r="L213" i="1053"/>
  <c r="L101" i="1053"/>
  <c r="X98" i="1054"/>
  <c r="X210" i="1054"/>
  <c r="J225" i="1053"/>
  <c r="J113" i="1053"/>
  <c r="J114" i="1053" s="1"/>
  <c r="J115" i="1053" s="1"/>
  <c r="J116" i="1053" s="1"/>
  <c r="J126" i="1053" s="1"/>
  <c r="X215" i="1053"/>
  <c r="X103" i="1053"/>
  <c r="X185" i="1053"/>
  <c r="X184" i="1053"/>
  <c r="R228" i="1056"/>
  <c r="AE29" i="1056"/>
  <c r="AE228" i="1056" s="1"/>
  <c r="X211" i="1056"/>
  <c r="X99" i="1056"/>
  <c r="X140" i="1056"/>
  <c r="M213" i="1055"/>
  <c r="M101" i="1055"/>
  <c r="M62" i="1055"/>
  <c r="X175" i="1053"/>
  <c r="L198" i="1056"/>
  <c r="L197" i="1056"/>
  <c r="L196" i="1056"/>
  <c r="K145" i="1056"/>
  <c r="Y165" i="1055"/>
  <c r="Y166" i="1055"/>
  <c r="M177" i="1056"/>
  <c r="Z20" i="1056"/>
  <c r="N20" i="1056"/>
  <c r="V145" i="1054"/>
  <c r="V146" i="1054" s="1"/>
  <c r="Y172" i="1053"/>
  <c r="Y58" i="1053"/>
  <c r="M108" i="1056"/>
  <c r="M66" i="1056"/>
  <c r="M60" i="1056"/>
  <c r="M56" i="1056"/>
  <c r="M63" i="1056"/>
  <c r="M53" i="1056"/>
  <c r="M61" i="1056"/>
  <c r="M57" i="1056"/>
  <c r="M65" i="1056"/>
  <c r="M69" i="1056"/>
  <c r="M62" i="1056"/>
  <c r="M58" i="1056"/>
  <c r="M67" i="1056"/>
  <c r="Z8" i="1056"/>
  <c r="M68" i="1056"/>
  <c r="N8" i="1056"/>
  <c r="M64" i="1056"/>
  <c r="M59" i="1056"/>
  <c r="M54" i="1056"/>
  <c r="M71" i="1056" s="1"/>
  <c r="L205" i="1056"/>
  <c r="L93" i="1056"/>
  <c r="K203" i="1054"/>
  <c r="K91" i="1054"/>
  <c r="K70" i="1054"/>
  <c r="K112" i="1054" s="1"/>
  <c r="K142" i="1054"/>
  <c r="K143" i="1054" s="1"/>
  <c r="X139" i="1054"/>
  <c r="Y134" i="1053"/>
  <c r="X65" i="1055"/>
  <c r="X179" i="1055"/>
  <c r="X60" i="1054"/>
  <c r="AC157" i="1056"/>
  <c r="K89" i="1050"/>
  <c r="I144" i="1052"/>
  <c r="V147" i="1051"/>
  <c r="M178" i="1056"/>
  <c r="Z21" i="1056"/>
  <c r="N21" i="1056"/>
  <c r="O88" i="1055" a="1"/>
  <c r="O88" i="1055" s="1"/>
  <c r="AB9" i="1055"/>
  <c r="AB88" i="1055" s="1"/>
  <c r="AB109" i="1055" s="1"/>
  <c r="P9" i="1055"/>
  <c r="M206" i="1054"/>
  <c r="M94" i="1054"/>
  <c r="M213" i="1054"/>
  <c r="M101" i="1054"/>
  <c r="M207" i="1054"/>
  <c r="M95" i="1054"/>
  <c r="W70" i="1053"/>
  <c r="W71" i="1053"/>
  <c r="W89" i="1053" s="1"/>
  <c r="U147" i="1056"/>
  <c r="M178" i="1054"/>
  <c r="Z21" i="1054"/>
  <c r="N21" i="1054"/>
  <c r="L197" i="1053"/>
  <c r="L196" i="1053"/>
  <c r="L198" i="1053"/>
  <c r="O181" i="1055"/>
  <c r="O180" i="1055"/>
  <c r="O125" i="1055"/>
  <c r="O130" i="1055" a="1"/>
  <c r="O130" i="1055" s="1"/>
  <c r="O164" i="1055" s="1"/>
  <c r="O129" i="1055"/>
  <c r="O163" i="1055" s="1"/>
  <c r="O123" i="1055"/>
  <c r="P10" i="1055"/>
  <c r="O216" i="1055" a="1"/>
  <c r="O216" i="1055" s="1"/>
  <c r="X177" i="1053"/>
  <c r="U122" i="1055"/>
  <c r="X215" i="1056"/>
  <c r="X103" i="1056"/>
  <c r="X185" i="1056"/>
  <c r="X184" i="1056"/>
  <c r="L205" i="1055"/>
  <c r="L93" i="1055"/>
  <c r="Y205" i="1053"/>
  <c r="Y93" i="1053"/>
  <c r="Z182" i="1055"/>
  <c r="Z68" i="1055"/>
  <c r="J225" i="1056"/>
  <c r="J113" i="1056"/>
  <c r="J114" i="1056" s="1"/>
  <c r="J115" i="1056" s="1"/>
  <c r="J116" i="1056" s="1"/>
  <c r="J126" i="1056" s="1"/>
  <c r="AA22" i="1056"/>
  <c r="O22" i="1056"/>
  <c r="O50" i="1056"/>
  <c r="AA50" i="1056"/>
  <c r="L203" i="1053"/>
  <c r="L91" i="1053"/>
  <c r="D173" i="1056"/>
  <c r="B60" i="1056"/>
  <c r="W214" i="1054"/>
  <c r="W102" i="1054"/>
  <c r="W202" i="1054"/>
  <c r="W142" i="1054"/>
  <c r="W143" i="1054" s="1"/>
  <c r="W90" i="1054"/>
  <c r="Y172" i="1054"/>
  <c r="Y58" i="1054"/>
  <c r="M175" i="1056"/>
  <c r="Z18" i="1056"/>
  <c r="N18" i="1056"/>
  <c r="X61" i="1054"/>
  <c r="X206" i="1053"/>
  <c r="X94" i="1053"/>
  <c r="M174" i="1055"/>
  <c r="N17" i="1055"/>
  <c r="N60" i="1055" s="1"/>
  <c r="Z17" i="1055"/>
  <c r="Y134" i="1054"/>
  <c r="Y133" i="1054"/>
  <c r="Y131" i="1054"/>
  <c r="Y132" i="1054"/>
  <c r="X63" i="1054"/>
  <c r="N12" i="1055"/>
  <c r="Z12" i="1055"/>
  <c r="M165" i="1055"/>
  <c r="M166" i="1055"/>
  <c r="Y177" i="1056"/>
  <c r="Y63" i="1056"/>
  <c r="M172" i="1053"/>
  <c r="N15" i="1053"/>
  <c r="Z15" i="1053"/>
  <c r="U114" i="1053"/>
  <c r="U115" i="1053" s="1"/>
  <c r="U116" i="1053" s="1"/>
  <c r="U126" i="1053" s="1"/>
  <c r="Z20" i="1054"/>
  <c r="M177" i="1054"/>
  <c r="N20" i="1054"/>
  <c r="N63" i="1054" s="1"/>
  <c r="L209" i="1056"/>
  <c r="L97" i="1056"/>
  <c r="L70" i="1056"/>
  <c r="K203" i="1055"/>
  <c r="K91" i="1055"/>
  <c r="K70" i="1055"/>
  <c r="K117" i="1055" s="1"/>
  <c r="K142" i="1055"/>
  <c r="K143" i="1055" s="1"/>
  <c r="M182" i="1054"/>
  <c r="Z23" i="1054"/>
  <c r="N23" i="1054"/>
  <c r="X167" i="1054"/>
  <c r="X55" i="1055"/>
  <c r="X217" i="1055"/>
  <c r="R228" i="1054"/>
  <c r="AE29" i="1054"/>
  <c r="AE228" i="1054" s="1"/>
  <c r="D229" i="1054"/>
  <c r="B118" i="1054"/>
  <c r="M217" i="1055"/>
  <c r="M179" i="1055"/>
  <c r="M131" i="1055"/>
  <c r="M169" i="1055"/>
  <c r="M133" i="1055"/>
  <c r="M132" i="1055"/>
  <c r="M167" i="1055"/>
  <c r="M134" i="1055"/>
  <c r="M168" i="1055"/>
  <c r="M139" i="1055"/>
  <c r="Z4" i="1055"/>
  <c r="N4" i="1055"/>
  <c r="J225" i="1054"/>
  <c r="J113" i="1054"/>
  <c r="J114" i="1054" s="1"/>
  <c r="J115" i="1054" s="1"/>
  <c r="J116" i="1054" s="1"/>
  <c r="J126" i="1054" s="1"/>
  <c r="X64" i="1054"/>
  <c r="AE157" i="1056"/>
  <c r="V219" i="1056"/>
  <c r="V106" i="1056"/>
  <c r="Y178" i="1056"/>
  <c r="Y64" i="1056"/>
  <c r="M96" i="1054"/>
  <c r="M208" i="1054"/>
  <c r="M212" i="1054"/>
  <c r="M100" i="1054"/>
  <c r="W212" i="1053"/>
  <c r="W100" i="1053"/>
  <c r="N10" i="1053"/>
  <c r="M129" i="1053"/>
  <c r="M163" i="1053" s="1"/>
  <c r="M123" i="1053"/>
  <c r="M130" i="1053" a="1"/>
  <c r="M130" i="1053" s="1"/>
  <c r="M164" i="1053" s="1"/>
  <c r="M125" i="1053"/>
  <c r="M216" i="1053" a="1"/>
  <c r="M216" i="1053" s="1"/>
  <c r="M174" i="1053"/>
  <c r="M181" i="1053"/>
  <c r="M180" i="1053"/>
  <c r="N111" i="1055"/>
  <c r="N121" i="1055"/>
  <c r="Y215" i="1055"/>
  <c r="Y103" i="1055"/>
  <c r="Y185" i="1055"/>
  <c r="Y184" i="1055"/>
  <c r="D173" i="1054"/>
  <c r="B60" i="1054"/>
  <c r="J120" i="1053"/>
  <c r="J119" i="1053"/>
  <c r="M177" i="1053"/>
  <c r="N20" i="1053"/>
  <c r="Z20" i="1053"/>
  <c r="L208" i="1053"/>
  <c r="L96" i="1053"/>
  <c r="X207" i="1053"/>
  <c r="X95" i="1053"/>
  <c r="M172" i="1054"/>
  <c r="N15" i="1054"/>
  <c r="Z15" i="1054"/>
  <c r="Y175" i="1056"/>
  <c r="Y61" i="1056"/>
  <c r="Y125" i="1056"/>
  <c r="Y123" i="1056"/>
  <c r="Y129" i="1056"/>
  <c r="Y163" i="1056" s="1"/>
  <c r="Y130" i="1056"/>
  <c r="Y164" i="1056" s="1"/>
  <c r="Y69" i="1056"/>
  <c r="Y54" i="1056"/>
  <c r="Y53" i="1056"/>
  <c r="Y216" i="1056"/>
  <c r="Y104" i="1056"/>
  <c r="Y180" i="1056"/>
  <c r="Y181" i="1056"/>
  <c r="Y236" i="1056"/>
  <c r="Y67" i="1056"/>
  <c r="Y66" i="1056"/>
  <c r="X175" i="1054"/>
  <c r="U114" i="1055"/>
  <c r="U115" i="1055" s="1"/>
  <c r="U116" i="1055" s="1"/>
  <c r="U126" i="1055" s="1"/>
  <c r="M215" i="1055"/>
  <c r="M103" i="1055"/>
  <c r="M184" i="1055"/>
  <c r="M185" i="1055"/>
  <c r="M173" i="1053"/>
  <c r="N16" i="1053"/>
  <c r="Z16" i="1053"/>
  <c r="X177" i="1054"/>
  <c r="Y182" i="1053"/>
  <c r="Y68" i="1053"/>
  <c r="Y171" i="1055"/>
  <c r="Y57" i="1055"/>
  <c r="X208" i="1056"/>
  <c r="X96" i="1056"/>
  <c r="L214" i="1056"/>
  <c r="L102" i="1056"/>
  <c r="L202" i="1056"/>
  <c r="L142" i="1056"/>
  <c r="L143" i="1056" s="1"/>
  <c r="L90" i="1056"/>
  <c r="AA13" i="1056"/>
  <c r="AA56" i="1056" s="1"/>
  <c r="O13" i="1056"/>
  <c r="O51" i="1056"/>
  <c r="AA51" i="1056"/>
  <c r="Y182" i="1054"/>
  <c r="Y68" i="1054"/>
  <c r="X55" i="1054"/>
  <c r="Y132" i="1053"/>
  <c r="G89" i="1056"/>
  <c r="G112" i="1056"/>
  <c r="D229" i="1056"/>
  <c r="B118" i="1056"/>
  <c r="M173" i="1056"/>
  <c r="Z16" i="1056"/>
  <c r="N16" i="1056"/>
  <c r="J225" i="1055"/>
  <c r="J113" i="1055"/>
  <c r="J114" i="1055" s="1"/>
  <c r="J115" i="1055" s="1"/>
  <c r="J116" i="1055" s="1"/>
  <c r="J126" i="1055" s="1"/>
  <c r="M179" i="1053"/>
  <c r="Y169" i="1055"/>
  <c r="Y133" i="1055"/>
  <c r="Y168" i="1055"/>
  <c r="Y134" i="1055"/>
  <c r="Y131" i="1055"/>
  <c r="Y55" i="1055" s="1"/>
  <c r="Y132" i="1055"/>
  <c r="J110" i="1054"/>
  <c r="J127" i="1054" s="1"/>
  <c r="AA12" i="1056"/>
  <c r="O12" i="1056"/>
  <c r="N165" i="1056"/>
  <c r="N166" i="1056"/>
  <c r="N221" i="1055"/>
  <c r="N109" i="1055"/>
  <c r="M210" i="1054"/>
  <c r="M98" i="1054"/>
  <c r="M205" i="1054"/>
  <c r="M93" i="1054"/>
  <c r="W210" i="1053"/>
  <c r="W98" i="1053"/>
  <c r="W213" i="1053"/>
  <c r="W101" i="1053"/>
  <c r="W111" i="1053"/>
  <c r="W112" i="1053" s="1"/>
  <c r="W121" i="1053"/>
  <c r="O49" i="1056"/>
  <c r="AA49" i="1056"/>
  <c r="X206" i="1056"/>
  <c r="X94" i="1056"/>
  <c r="N198" i="1055"/>
  <c r="N197" i="1055"/>
  <c r="N196" i="1055"/>
  <c r="N50" i="1053"/>
  <c r="Z50" i="1053"/>
  <c r="Y217" i="1056"/>
  <c r="Y179" i="1056"/>
  <c r="Y169" i="1056"/>
  <c r="Y133" i="1056"/>
  <c r="Y167" i="1056"/>
  <c r="Y168" i="1056"/>
  <c r="Y139" i="1056"/>
  <c r="Y134" i="1056"/>
  <c r="Y132" i="1056"/>
  <c r="Y65" i="1056"/>
  <c r="Y131" i="1056"/>
  <c r="Y55" i="1056" s="1"/>
  <c r="M176" i="1056"/>
  <c r="Z19" i="1056"/>
  <c r="N19" i="1056"/>
  <c r="Z19" i="1054"/>
  <c r="M176" i="1054"/>
  <c r="N19" i="1054"/>
  <c r="X55" i="1053"/>
  <c r="Y173" i="1055"/>
  <c r="Y59" i="1055"/>
  <c r="Z18" i="1054"/>
  <c r="M175" i="1054"/>
  <c r="N18" i="1054"/>
  <c r="N61" i="1054" s="1"/>
  <c r="V119" i="1053"/>
  <c r="V120" i="1053"/>
  <c r="Y10" i="1055"/>
  <c r="L149" i="1055"/>
  <c r="L204" i="1053"/>
  <c r="L92" i="1053"/>
  <c r="L215" i="1053"/>
  <c r="L103" i="1053"/>
  <c r="L184" i="1053"/>
  <c r="L185" i="1053"/>
  <c r="M65" i="1053"/>
  <c r="M55" i="1053"/>
  <c r="M69" i="1053"/>
  <c r="M62" i="1053"/>
  <c r="M58" i="1053"/>
  <c r="M67" i="1053"/>
  <c r="M64" i="1053"/>
  <c r="M59" i="1053"/>
  <c r="M54" i="1053"/>
  <c r="M68" i="1053"/>
  <c r="M66" i="1053"/>
  <c r="M60" i="1053"/>
  <c r="M56" i="1053"/>
  <c r="N8" i="1053"/>
  <c r="M57" i="1053"/>
  <c r="M53" i="1053"/>
  <c r="M63" i="1053"/>
  <c r="M108" i="1053"/>
  <c r="M61" i="1053"/>
  <c r="Z8" i="1053"/>
  <c r="X69" i="1054"/>
  <c r="X130" i="1054"/>
  <c r="X164" i="1054" s="1"/>
  <c r="X129" i="1054"/>
  <c r="X163" i="1054" s="1"/>
  <c r="X53" i="1054"/>
  <c r="X125" i="1054"/>
  <c r="X123" i="1054"/>
  <c r="X54" i="1054"/>
  <c r="X216" i="1054"/>
  <c r="X181" i="1054"/>
  <c r="X66" i="1054"/>
  <c r="X67" i="1054"/>
  <c r="X180" i="1054"/>
  <c r="X104" i="1054"/>
  <c r="X236" i="1054"/>
  <c r="W70" i="1054"/>
  <c r="W71" i="1054"/>
  <c r="N12" i="1053"/>
  <c r="Z12" i="1053"/>
  <c r="M166" i="1053"/>
  <c r="M165" i="1053"/>
  <c r="M169" i="1053" s="1"/>
  <c r="Q17" i="1053"/>
  <c r="AC17" i="1053"/>
  <c r="K146" i="1056"/>
  <c r="K141" i="1056"/>
  <c r="K148" i="1056" s="1"/>
  <c r="V145" i="1056"/>
  <c r="V146" i="1056" s="1"/>
  <c r="M71" i="1055"/>
  <c r="Y173" i="1053"/>
  <c r="Y59" i="1053"/>
  <c r="AA11" i="1056"/>
  <c r="O11" i="1056"/>
  <c r="N104" i="1056"/>
  <c r="N236" i="1056"/>
  <c r="M182" i="1053"/>
  <c r="N23" i="1053"/>
  <c r="Z23" i="1053"/>
  <c r="M171" i="1055"/>
  <c r="N14" i="1055"/>
  <c r="N57" i="1055" s="1"/>
  <c r="Z14" i="1055"/>
  <c r="AA50" i="1055"/>
  <c r="O50" i="1055"/>
  <c r="L206" i="1056"/>
  <c r="L94" i="1056"/>
  <c r="L211" i="1056"/>
  <c r="L99" i="1056"/>
  <c r="L140" i="1056"/>
  <c r="Z204" i="1056"/>
  <c r="Z92" i="1056"/>
  <c r="O221" i="1054"/>
  <c r="O109" i="1054"/>
  <c r="AA51" i="1055"/>
  <c r="O51" i="1055"/>
  <c r="X168" i="1054"/>
  <c r="X217" i="1054"/>
  <c r="W140" i="1055"/>
  <c r="G225" i="1053"/>
  <c r="G114" i="1053"/>
  <c r="G113" i="1053"/>
  <c r="T89" i="1056"/>
  <c r="T112" i="1056"/>
  <c r="K112" i="1053"/>
  <c r="Y173" i="1056"/>
  <c r="Y59" i="1056"/>
  <c r="X212" i="1056"/>
  <c r="X100" i="1056"/>
  <c r="N217" i="1053"/>
  <c r="N139" i="1053"/>
  <c r="N133" i="1053"/>
  <c r="N179" i="1053"/>
  <c r="N168" i="1053"/>
  <c r="N132" i="1053"/>
  <c r="AA4" i="1053"/>
  <c r="N134" i="1053"/>
  <c r="N131" i="1053"/>
  <c r="N167" i="1053"/>
  <c r="O4" i="1053"/>
  <c r="M133" i="1053"/>
  <c r="G225" i="1055"/>
  <c r="G113" i="1055"/>
  <c r="G114" i="1055" s="1"/>
  <c r="P157" i="1056"/>
  <c r="U114" i="1052"/>
  <c r="U115" i="1052" s="1"/>
  <c r="U116" i="1052" s="1"/>
  <c r="U126" i="1052" s="1"/>
  <c r="Y204" i="1054"/>
  <c r="Y92" i="1054"/>
  <c r="Z165" i="1056"/>
  <c r="Z166" i="1056"/>
  <c r="W203" i="1054"/>
  <c r="W91" i="1054"/>
  <c r="M209" i="1054"/>
  <c r="M97" i="1054"/>
  <c r="W214" i="1053"/>
  <c r="W102" i="1053"/>
  <c r="W196" i="1053"/>
  <c r="W197" i="1053"/>
  <c r="W198" i="1053"/>
  <c r="Y172" i="1055"/>
  <c r="Y58" i="1055"/>
  <c r="L204" i="1055"/>
  <c r="L92" i="1055"/>
  <c r="W211" i="1053"/>
  <c r="W99" i="1053"/>
  <c r="W140" i="1053"/>
  <c r="M217" i="1056"/>
  <c r="M179" i="1056"/>
  <c r="M168" i="1056"/>
  <c r="M169" i="1056"/>
  <c r="M132" i="1056"/>
  <c r="M167" i="1056"/>
  <c r="M139" i="1056"/>
  <c r="M134" i="1056"/>
  <c r="M133" i="1056"/>
  <c r="M131" i="1056"/>
  <c r="M55" i="1056" s="1"/>
  <c r="N4" i="1056"/>
  <c r="Z4" i="1056"/>
  <c r="Y176" i="1056"/>
  <c r="Y62" i="1056"/>
  <c r="Y166" i="1054"/>
  <c r="Y165" i="1054"/>
  <c r="Y169" i="1054" s="1"/>
  <c r="D230" i="1055"/>
  <c r="B119" i="1055"/>
  <c r="Y10" i="1054"/>
  <c r="Y60" i="1054" s="1"/>
  <c r="L149" i="1054"/>
  <c r="Y62" i="1054"/>
  <c r="Y176" i="1054"/>
  <c r="M177" i="1055"/>
  <c r="Z20" i="1055"/>
  <c r="N20" i="1055"/>
  <c r="M173" i="1055"/>
  <c r="N16" i="1055"/>
  <c r="Z16" i="1055"/>
  <c r="Y175" i="1054"/>
  <c r="Y61" i="1054"/>
  <c r="N11" i="1055"/>
  <c r="Z11" i="1055"/>
  <c r="M104" i="1055"/>
  <c r="M236" i="1055"/>
  <c r="L207" i="1053"/>
  <c r="L95" i="1053"/>
  <c r="L212" i="1053"/>
  <c r="L100" i="1053"/>
  <c r="L205" i="1053"/>
  <c r="L93" i="1053"/>
  <c r="K89" i="1053"/>
  <c r="L212" i="1055"/>
  <c r="L100" i="1055"/>
  <c r="K225" i="1056"/>
  <c r="K113" i="1056"/>
  <c r="K114" i="1056" s="1"/>
  <c r="K115" i="1056" s="1"/>
  <c r="K116" i="1056" s="1"/>
  <c r="K126" i="1056" s="1"/>
  <c r="W121" i="1054"/>
  <c r="W111" i="1054"/>
  <c r="O181" i="1054"/>
  <c r="O180" i="1054"/>
  <c r="O123" i="1054"/>
  <c r="O129" i="1054"/>
  <c r="O163" i="1054" s="1"/>
  <c r="O125" i="1054"/>
  <c r="P10" i="1054"/>
  <c r="O130" i="1054" a="1"/>
  <c r="O130" i="1054" s="1"/>
  <c r="O164" i="1054" s="1"/>
  <c r="O216" i="1054" a="1"/>
  <c r="O216" i="1054" s="1"/>
  <c r="X63" i="1055"/>
  <c r="Y165" i="1053"/>
  <c r="Y169" i="1053" s="1"/>
  <c r="Y166" i="1053"/>
  <c r="D173" i="1053"/>
  <c r="B60" i="1053"/>
  <c r="V89" i="1056"/>
  <c r="M202" i="1055"/>
  <c r="M90" i="1055"/>
  <c r="M59" i="1055"/>
  <c r="M129" i="1056"/>
  <c r="M163" i="1056" s="1"/>
  <c r="M123" i="1056"/>
  <c r="M130" i="1056" a="1"/>
  <c r="M130" i="1056" s="1"/>
  <c r="M164" i="1056" s="1"/>
  <c r="M125" i="1056"/>
  <c r="N10" i="1056"/>
  <c r="M216" i="1056" a="1"/>
  <c r="M216" i="1056" s="1"/>
  <c r="M181" i="1056"/>
  <c r="M180" i="1056"/>
  <c r="Z10" i="1056"/>
  <c r="M149" i="1056"/>
  <c r="X64" i="1055"/>
  <c r="N49" i="1053"/>
  <c r="Z49" i="1053"/>
  <c r="W71" i="1055"/>
  <c r="W70" i="1055"/>
  <c r="M175" i="1053"/>
  <c r="N18" i="1053"/>
  <c r="Z18" i="1053"/>
  <c r="X207" i="1054"/>
  <c r="X95" i="1054"/>
  <c r="K141" i="1055"/>
  <c r="L210" i="1056"/>
  <c r="L98" i="1056"/>
  <c r="L204" i="1056"/>
  <c r="L92" i="1056"/>
  <c r="Z204" i="1053"/>
  <c r="Z92" i="1053"/>
  <c r="AC9" i="1054"/>
  <c r="AC88" i="1054" s="1"/>
  <c r="AC109" i="1054" s="1"/>
  <c r="Q9" i="1054"/>
  <c r="P88" i="1054" a="1"/>
  <c r="P88" i="1054" s="1"/>
  <c r="X207" i="1056"/>
  <c r="X95" i="1056"/>
  <c r="X168" i="1055"/>
  <c r="W212" i="1054"/>
  <c r="W100" i="1054"/>
  <c r="N22" i="1053"/>
  <c r="Z22" i="1053"/>
  <c r="M131" i="1053"/>
  <c r="M134" i="1053"/>
  <c r="X61" i="1055"/>
  <c r="X206" i="1055"/>
  <c r="X94" i="1055"/>
  <c r="Q157" i="1056"/>
  <c r="M214" i="1054"/>
  <c r="M102" i="1054"/>
  <c r="M202" i="1054"/>
  <c r="M90" i="1054"/>
  <c r="W208" i="1053"/>
  <c r="W96" i="1053"/>
  <c r="X210" i="1056"/>
  <c r="X98" i="1056"/>
  <c r="Y175" i="1055"/>
  <c r="Y61" i="1055"/>
  <c r="M172" i="1055"/>
  <c r="N15" i="1055"/>
  <c r="Z15" i="1055"/>
  <c r="T225" i="1055"/>
  <c r="T113" i="1055"/>
  <c r="T114" i="1055" s="1"/>
  <c r="T115" i="1055" s="1"/>
  <c r="T116" i="1055" s="1"/>
  <c r="T126" i="1055" s="1"/>
  <c r="Z22" i="1055"/>
  <c r="N22" i="1055"/>
  <c r="L211" i="1055"/>
  <c r="L99" i="1055"/>
  <c r="L140" i="1055"/>
  <c r="Z57" i="1053"/>
  <c r="Z171" i="1053"/>
  <c r="V113" i="1053"/>
  <c r="V225" i="1053" s="1"/>
  <c r="X210" i="1055"/>
  <c r="X98" i="1055"/>
  <c r="N12" i="1054"/>
  <c r="Z12" i="1054"/>
  <c r="M166" i="1054"/>
  <c r="M165" i="1054"/>
  <c r="X209" i="1056"/>
  <c r="X97" i="1056"/>
  <c r="Y177" i="1055"/>
  <c r="Y63" i="1055"/>
  <c r="L211" i="1054"/>
  <c r="L99" i="1054"/>
  <c r="L140" i="1054"/>
  <c r="L211" i="1053"/>
  <c r="L99" i="1053"/>
  <c r="L140" i="1053"/>
  <c r="L214" i="1053"/>
  <c r="L102" i="1053"/>
  <c r="L209" i="1053"/>
  <c r="L97" i="1053"/>
  <c r="K110" i="1053"/>
  <c r="N176" i="1053"/>
  <c r="O19" i="1053"/>
  <c r="AA19" i="1053"/>
  <c r="N111" i="1054"/>
  <c r="N121" i="1054"/>
  <c r="X177" i="1055"/>
  <c r="V117" i="1056"/>
  <c r="V127" i="1056" s="1"/>
  <c r="J127" i="1053"/>
  <c r="R157" i="1053"/>
  <c r="AD157" i="1053"/>
  <c r="AE157" i="1053"/>
  <c r="Q157" i="1053"/>
  <c r="AC157" i="1053"/>
  <c r="P157" i="1053"/>
  <c r="M63" i="1055"/>
  <c r="M64" i="1055"/>
  <c r="Y173" i="1054"/>
  <c r="Y59" i="1054"/>
  <c r="L55" i="1054"/>
  <c r="X178" i="1055"/>
  <c r="AB51" i="1054"/>
  <c r="P51" i="1054"/>
  <c r="W214" i="1055"/>
  <c r="W102" i="1055"/>
  <c r="W202" i="1055"/>
  <c r="W142" i="1055"/>
  <c r="W143" i="1055" s="1"/>
  <c r="W90" i="1055"/>
  <c r="O88" i="1053" a="1"/>
  <c r="O88" i="1053" s="1"/>
  <c r="AB9" i="1053"/>
  <c r="AB88" i="1053" s="1"/>
  <c r="AB109" i="1053" s="1"/>
  <c r="P9" i="1053"/>
  <c r="L208" i="1056"/>
  <c r="L96" i="1056"/>
  <c r="O13" i="1053"/>
  <c r="AA13" i="1053"/>
  <c r="AA56" i="1053" s="1"/>
  <c r="K141" i="1053"/>
  <c r="K144" i="1053" s="1"/>
  <c r="Y131" i="1053"/>
  <c r="Y55" i="1053" s="1"/>
  <c r="AB22" i="1054"/>
  <c r="P22" i="1054"/>
  <c r="J148" i="1055"/>
  <c r="J145" i="1055"/>
  <c r="J146" i="1055" s="1"/>
  <c r="J147" i="1055"/>
  <c r="N88" i="1056" a="1"/>
  <c r="N88" i="1056" s="1"/>
  <c r="AA9" i="1056"/>
  <c r="AA88" i="1056" s="1"/>
  <c r="AA109" i="1056" s="1"/>
  <c r="O9" i="1056"/>
  <c r="Z132" i="1053"/>
  <c r="Z134" i="1053"/>
  <c r="Z133" i="1053"/>
  <c r="Z131" i="1053"/>
  <c r="M217" i="1053"/>
  <c r="X175" i="1055"/>
  <c r="J148" i="1054"/>
  <c r="J147" i="1054"/>
  <c r="J145" i="1054"/>
  <c r="J146" i="1054" s="1"/>
  <c r="J144" i="1054"/>
  <c r="Y171" i="1054"/>
  <c r="Y57" i="1054"/>
  <c r="N13" i="1054"/>
  <c r="Z13" i="1054"/>
  <c r="Z56" i="1054" s="1"/>
  <c r="K89" i="1051"/>
  <c r="V148" i="1052"/>
  <c r="U122" i="1052"/>
  <c r="D173" i="1055"/>
  <c r="B60" i="1055"/>
  <c r="N178" i="1053"/>
  <c r="O21" i="1053"/>
  <c r="AA21" i="1053"/>
  <c r="M215" i="1054"/>
  <c r="M103" i="1054"/>
  <c r="M185" i="1054"/>
  <c r="M184" i="1054"/>
  <c r="M211" i="1054"/>
  <c r="M99" i="1054"/>
  <c r="M140" i="1054"/>
  <c r="W142" i="1053"/>
  <c r="W143" i="1053" s="1"/>
  <c r="W202" i="1053"/>
  <c r="W90" i="1053"/>
  <c r="W117" i="1053"/>
  <c r="M175" i="1055"/>
  <c r="N18" i="1055"/>
  <c r="Z18" i="1055"/>
  <c r="T225" i="1054"/>
  <c r="T113" i="1054"/>
  <c r="T114" i="1054" s="1"/>
  <c r="T115" i="1054" s="1"/>
  <c r="T116" i="1054" s="1"/>
  <c r="T126" i="1054" s="1"/>
  <c r="I119" i="1054"/>
  <c r="I120" i="1054"/>
  <c r="I127" i="1054"/>
  <c r="N171" i="1053"/>
  <c r="O14" i="1053"/>
  <c r="AA14" i="1053"/>
  <c r="X176" i="1055"/>
  <c r="Y10" i="1053"/>
  <c r="Y63" i="1053" s="1"/>
  <c r="L149" i="1053"/>
  <c r="V112" i="1056"/>
  <c r="N11" i="1054"/>
  <c r="Z11" i="1054"/>
  <c r="M104" i="1054"/>
  <c r="M236" i="1054"/>
  <c r="M172" i="1056"/>
  <c r="Z15" i="1056"/>
  <c r="N15" i="1056"/>
  <c r="O49" i="1054"/>
  <c r="AA49" i="1054"/>
  <c r="L71" i="1053"/>
  <c r="L70" i="1053"/>
  <c r="L89" i="1053" s="1"/>
  <c r="L206" i="1053"/>
  <c r="L94" i="1053"/>
  <c r="K148" i="1053"/>
  <c r="K145" i="1053"/>
  <c r="K146" i="1053" s="1"/>
  <c r="U122" i="1054"/>
  <c r="W197" i="1054"/>
  <c r="W198" i="1054"/>
  <c r="W196" i="1054"/>
  <c r="M176" i="1053"/>
  <c r="X60" i="1055"/>
  <c r="Y178" i="1055"/>
  <c r="Y64" i="1055"/>
  <c r="I110" i="1055"/>
  <c r="X205" i="1055"/>
  <c r="X93" i="1055"/>
  <c r="U114" i="1056"/>
  <c r="U115" i="1056" s="1"/>
  <c r="U116" i="1056" s="1"/>
  <c r="U126" i="1056" s="1"/>
  <c r="U113" i="1056"/>
  <c r="U225" i="1056" s="1"/>
  <c r="X205" i="1056"/>
  <c r="X93" i="1056"/>
  <c r="V110" i="1056"/>
  <c r="M57" i="1055"/>
  <c r="M204" i="1055"/>
  <c r="M92" i="1055"/>
  <c r="M214" i="1055"/>
  <c r="M102" i="1055"/>
  <c r="M173" i="1054"/>
  <c r="N16" i="1054"/>
  <c r="N59" i="1054" s="1"/>
  <c r="Z16" i="1054"/>
  <c r="M217" i="1054"/>
  <c r="M133" i="1054"/>
  <c r="M179" i="1054"/>
  <c r="M168" i="1054"/>
  <c r="M167" i="1054"/>
  <c r="M169" i="1054"/>
  <c r="M139" i="1054"/>
  <c r="M132" i="1054"/>
  <c r="Z4" i="1054"/>
  <c r="M131" i="1054"/>
  <c r="M55" i="1054" s="1"/>
  <c r="M142" i="1054" s="1"/>
  <c r="N4" i="1054"/>
  <c r="M134" i="1054"/>
  <c r="N51" i="1053"/>
  <c r="Z51" i="1053"/>
  <c r="M171" i="1056"/>
  <c r="Z14" i="1056"/>
  <c r="N14" i="1056"/>
  <c r="W111" i="1055"/>
  <c r="W121" i="1055"/>
  <c r="R50" i="1054"/>
  <c r="AE50" i="1054" s="1"/>
  <c r="AD50" i="1054"/>
  <c r="X215" i="1054"/>
  <c r="X103" i="1054"/>
  <c r="X185" i="1054"/>
  <c r="X184" i="1054"/>
  <c r="L207" i="1056"/>
  <c r="L95" i="1056"/>
  <c r="L213" i="1056"/>
  <c r="L101" i="1056"/>
  <c r="W203" i="1056"/>
  <c r="W91" i="1056"/>
  <c r="W117" i="1056"/>
  <c r="W142" i="1056"/>
  <c r="W143" i="1056" s="1"/>
  <c r="W70" i="1056"/>
  <c r="W89" i="1056"/>
  <c r="V127" i="1053"/>
  <c r="V127" i="1054"/>
  <c r="Y204" i="1055"/>
  <c r="Y92" i="1055"/>
  <c r="M174" i="1056"/>
  <c r="Z17" i="1056"/>
  <c r="N17" i="1056"/>
  <c r="I122" i="1056"/>
  <c r="X65" i="1054"/>
  <c r="V113" i="1054"/>
  <c r="V225" i="1054" s="1"/>
  <c r="J219" i="1055"/>
  <c r="J106" i="1055"/>
  <c r="J110" i="1055" s="1"/>
  <c r="M139" i="1053"/>
  <c r="L55" i="1055"/>
  <c r="M171" i="1054"/>
  <c r="N14" i="1054"/>
  <c r="Z14" i="1054"/>
  <c r="K219" i="1056"/>
  <c r="K106" i="1056"/>
  <c r="K110" i="1056" s="1"/>
  <c r="AD157" i="1056"/>
  <c r="V119" i="1051"/>
  <c r="V120" i="1051"/>
  <c r="V119" i="1052"/>
  <c r="J120" i="1051"/>
  <c r="J119" i="1051"/>
  <c r="M208" i="1052"/>
  <c r="M96" i="1052"/>
  <c r="X55" i="1052"/>
  <c r="M108" i="1051"/>
  <c r="M64" i="1051"/>
  <c r="M59" i="1051"/>
  <c r="M54" i="1051"/>
  <c r="M68" i="1051"/>
  <c r="Z8" i="1051"/>
  <c r="M69" i="1051"/>
  <c r="M60" i="1051"/>
  <c r="M56" i="1051"/>
  <c r="M63" i="1051"/>
  <c r="M53" i="1051"/>
  <c r="M66" i="1051"/>
  <c r="M61" i="1051"/>
  <c r="M57" i="1051"/>
  <c r="M67" i="1051"/>
  <c r="M65" i="1051"/>
  <c r="M62" i="1051"/>
  <c r="N8" i="1051"/>
  <c r="M58" i="1051"/>
  <c r="L204" i="1051"/>
  <c r="L92" i="1051"/>
  <c r="L206" i="1051"/>
  <c r="L94" i="1051"/>
  <c r="Y132" i="1052"/>
  <c r="Y131" i="1052"/>
  <c r="Y134" i="1052"/>
  <c r="Y133" i="1052"/>
  <c r="Z10" i="1051"/>
  <c r="M149" i="1051"/>
  <c r="M175" i="1052"/>
  <c r="Z18" i="1052"/>
  <c r="N18" i="1052"/>
  <c r="Z51" i="1051"/>
  <c r="N51" i="1051"/>
  <c r="M204" i="1052"/>
  <c r="M92" i="1052"/>
  <c r="M206" i="1052"/>
  <c r="M94" i="1052"/>
  <c r="M215" i="1052"/>
  <c r="M103" i="1052"/>
  <c r="M184" i="1052"/>
  <c r="M185" i="1052"/>
  <c r="M104" i="1052"/>
  <c r="Z11" i="1052"/>
  <c r="N11" i="1052"/>
  <c r="M236" i="1052"/>
  <c r="K112" i="1051"/>
  <c r="Y215" i="1051"/>
  <c r="Y103" i="1051"/>
  <c r="Y184" i="1051"/>
  <c r="Y185" i="1051"/>
  <c r="J225" i="1051"/>
  <c r="J113" i="1051"/>
  <c r="J114" i="1051" s="1"/>
  <c r="J115" i="1051" s="1"/>
  <c r="J116" i="1051" s="1"/>
  <c r="J126" i="1051" s="1"/>
  <c r="I120" i="1051"/>
  <c r="I119" i="1051"/>
  <c r="I127" i="1051"/>
  <c r="X210" i="1052"/>
  <c r="X98" i="1052"/>
  <c r="O181" i="1052"/>
  <c r="O129" i="1052"/>
  <c r="O163" i="1052" s="1"/>
  <c r="O123" i="1052"/>
  <c r="O180" i="1052"/>
  <c r="O125" i="1052"/>
  <c r="O130" i="1052" a="1"/>
  <c r="O130" i="1052" s="1"/>
  <c r="O164" i="1052" s="1"/>
  <c r="P10" i="1052"/>
  <c r="O216" i="1052" a="1"/>
  <c r="O216" i="1052" s="1"/>
  <c r="Y62" i="1051"/>
  <c r="J144" i="1051"/>
  <c r="Y182" i="1052"/>
  <c r="Y68" i="1052"/>
  <c r="X70" i="1051"/>
  <c r="X117" i="1051" s="1"/>
  <c r="G112" i="1052"/>
  <c r="G89" i="1052"/>
  <c r="J127" i="1052"/>
  <c r="K141" i="1052"/>
  <c r="K148" i="1052" s="1"/>
  <c r="J225" i="1052"/>
  <c r="J113" i="1052"/>
  <c r="J114" i="1052" s="1"/>
  <c r="J115" i="1052" s="1"/>
  <c r="J116" i="1052" s="1"/>
  <c r="J126" i="1052" s="1"/>
  <c r="K219" i="1052"/>
  <c r="K106" i="1052"/>
  <c r="K110" i="1052" s="1"/>
  <c r="J148" i="1052"/>
  <c r="J145" i="1052"/>
  <c r="J146" i="1052" s="1"/>
  <c r="Y165" i="1052"/>
  <c r="Y169" i="1052" s="1"/>
  <c r="Y166" i="1052"/>
  <c r="Y173" i="1052"/>
  <c r="Y59" i="1052"/>
  <c r="J146" i="1050"/>
  <c r="Z49" i="1051"/>
  <c r="N49" i="1051"/>
  <c r="J119" i="1052"/>
  <c r="J120" i="1052"/>
  <c r="Z12" i="1052"/>
  <c r="N12" i="1052"/>
  <c r="M166" i="1052"/>
  <c r="M165" i="1052"/>
  <c r="M173" i="1052"/>
  <c r="Z16" i="1052"/>
  <c r="N16" i="1052"/>
  <c r="L203" i="1051"/>
  <c r="L91" i="1051"/>
  <c r="L208" i="1051"/>
  <c r="L96" i="1051"/>
  <c r="L210" i="1051"/>
  <c r="L98" i="1051"/>
  <c r="Z22" i="1052"/>
  <c r="N22" i="1052"/>
  <c r="N104" i="1051"/>
  <c r="AA11" i="1051"/>
  <c r="O11" i="1051"/>
  <c r="N236" i="1051"/>
  <c r="D229" i="1051"/>
  <c r="B118" i="1051"/>
  <c r="M202" i="1052"/>
  <c r="M90" i="1052"/>
  <c r="M61" i="1052"/>
  <c r="M211" i="1052"/>
  <c r="M99" i="1052"/>
  <c r="M140" i="1052"/>
  <c r="T126" i="1051"/>
  <c r="Y172" i="1052"/>
  <c r="Y58" i="1052"/>
  <c r="Z174" i="1051"/>
  <c r="Z60" i="1051"/>
  <c r="X206" i="1052"/>
  <c r="X94" i="1052"/>
  <c r="Y176" i="1051"/>
  <c r="AA20" i="1051"/>
  <c r="O20" i="1051"/>
  <c r="O88" i="1052" a="1"/>
  <c r="O88" i="1052" s="1"/>
  <c r="AB9" i="1052"/>
  <c r="AB88" i="1052" s="1"/>
  <c r="AB109" i="1052" s="1"/>
  <c r="P9" i="1052"/>
  <c r="M182" i="1052"/>
  <c r="Z23" i="1052"/>
  <c r="N23" i="1052"/>
  <c r="J127" i="1051"/>
  <c r="P157" i="1051"/>
  <c r="AD157" i="1051"/>
  <c r="R157" i="1051"/>
  <c r="AE157" i="1051"/>
  <c r="AC157" i="1051"/>
  <c r="Q157" i="1051"/>
  <c r="AB51" i="1052"/>
  <c r="P51" i="1052"/>
  <c r="R228" i="1052"/>
  <c r="AE29" i="1052"/>
  <c r="AE228" i="1052" s="1"/>
  <c r="V114" i="1052"/>
  <c r="V115" i="1052" s="1"/>
  <c r="V116" i="1052" s="1"/>
  <c r="V126" i="1052" s="1"/>
  <c r="Y63" i="1051"/>
  <c r="Q4" i="1051"/>
  <c r="AC4" i="1051"/>
  <c r="X205" i="1052"/>
  <c r="X93" i="1052"/>
  <c r="M71" i="1052"/>
  <c r="M108" i="1052"/>
  <c r="M176" i="1052"/>
  <c r="Z19" i="1052"/>
  <c r="N19" i="1052"/>
  <c r="M172" i="1052"/>
  <c r="Z15" i="1052"/>
  <c r="N15" i="1052"/>
  <c r="X129" i="1052"/>
  <c r="X163" i="1052" s="1"/>
  <c r="X123" i="1052"/>
  <c r="X130" i="1052"/>
  <c r="X164" i="1052" s="1"/>
  <c r="X125" i="1052"/>
  <c r="X69" i="1052"/>
  <c r="X54" i="1052"/>
  <c r="X53" i="1052"/>
  <c r="X216" i="1052"/>
  <c r="X104" i="1052"/>
  <c r="X181" i="1052"/>
  <c r="X180" i="1052"/>
  <c r="X67" i="1052"/>
  <c r="X66" i="1052"/>
  <c r="X236" i="1052"/>
  <c r="K147" i="1052"/>
  <c r="K145" i="1052"/>
  <c r="K146" i="1052" s="1"/>
  <c r="AA17" i="1051"/>
  <c r="O17" i="1051"/>
  <c r="W141" i="1052"/>
  <c r="W148" i="1052" s="1"/>
  <c r="Y63" i="1052"/>
  <c r="Z177" i="1051"/>
  <c r="Y60" i="1051"/>
  <c r="K141" i="1051"/>
  <c r="K148" i="1051" s="1"/>
  <c r="M88" i="1051" a="1"/>
  <c r="M88" i="1051" s="1"/>
  <c r="Z9" i="1051"/>
  <c r="Z88" i="1051" s="1"/>
  <c r="Z109" i="1051" s="1"/>
  <c r="N9" i="1051"/>
  <c r="L111" i="1051"/>
  <c r="L112" i="1051" s="1"/>
  <c r="L121" i="1051"/>
  <c r="V127" i="1051"/>
  <c r="W203" i="1051"/>
  <c r="W91" i="1051"/>
  <c r="W142" i="1051"/>
  <c r="W143" i="1051" s="1"/>
  <c r="W70" i="1051"/>
  <c r="W112" i="1051" s="1"/>
  <c r="W117" i="1051"/>
  <c r="M59" i="1052"/>
  <c r="X209" i="1052"/>
  <c r="X97" i="1052"/>
  <c r="X141" i="1051"/>
  <c r="N182" i="1051"/>
  <c r="AA23" i="1051"/>
  <c r="O23" i="1051"/>
  <c r="D173" i="1052"/>
  <c r="B60" i="1052"/>
  <c r="Z50" i="1051"/>
  <c r="N50" i="1051"/>
  <c r="N121" i="1052"/>
  <c r="N111" i="1052"/>
  <c r="L211" i="1052"/>
  <c r="L99" i="1052"/>
  <c r="L140" i="1052"/>
  <c r="M177" i="1052"/>
  <c r="Z20" i="1052"/>
  <c r="N20" i="1052"/>
  <c r="N221" i="1052"/>
  <c r="N109" i="1052"/>
  <c r="L196" i="1051"/>
  <c r="L198" i="1051"/>
  <c r="L197" i="1051"/>
  <c r="L205" i="1051"/>
  <c r="L93" i="1051"/>
  <c r="L214" i="1051"/>
  <c r="L102" i="1051"/>
  <c r="L203" i="1052"/>
  <c r="L91" i="1052"/>
  <c r="Y171" i="1052"/>
  <c r="Y57" i="1052"/>
  <c r="X215" i="1052"/>
  <c r="X103" i="1052"/>
  <c r="X185" i="1052"/>
  <c r="X184" i="1052"/>
  <c r="K145" i="1051"/>
  <c r="K146" i="1051" s="1"/>
  <c r="D229" i="1052"/>
  <c r="B118" i="1052"/>
  <c r="D173" i="1051"/>
  <c r="B60" i="1051"/>
  <c r="M174" i="1052"/>
  <c r="Z17" i="1052"/>
  <c r="N17" i="1052"/>
  <c r="L209" i="1051"/>
  <c r="L97" i="1051"/>
  <c r="L215" i="1051"/>
  <c r="L103" i="1051"/>
  <c r="L184" i="1051"/>
  <c r="L185" i="1051"/>
  <c r="M171" i="1052"/>
  <c r="Z14" i="1052"/>
  <c r="N14" i="1052"/>
  <c r="V127" i="1052"/>
  <c r="L210" i="1052"/>
  <c r="L98" i="1052"/>
  <c r="Y125" i="1051"/>
  <c r="Y123" i="1051"/>
  <c r="Y130" i="1051"/>
  <c r="Y164" i="1051" s="1"/>
  <c r="Y69" i="1051"/>
  <c r="Y53" i="1051"/>
  <c r="Y129" i="1051"/>
  <c r="Y163" i="1051" s="1"/>
  <c r="Y54" i="1051"/>
  <c r="Y104" i="1051"/>
  <c r="Y216" i="1051"/>
  <c r="Y180" i="1051"/>
  <c r="Y181" i="1051"/>
  <c r="Y67" i="1051"/>
  <c r="Y236" i="1051"/>
  <c r="Y66" i="1051"/>
  <c r="Y168" i="1051"/>
  <c r="Y65" i="1051"/>
  <c r="Y179" i="1051"/>
  <c r="Y167" i="1051"/>
  <c r="Y139" i="1051"/>
  <c r="Y217" i="1051"/>
  <c r="Y64" i="1051"/>
  <c r="M210" i="1052"/>
  <c r="M98" i="1052"/>
  <c r="K89" i="1052"/>
  <c r="Z182" i="1051"/>
  <c r="Z68" i="1051"/>
  <c r="Y172" i="1051"/>
  <c r="Y58" i="1051"/>
  <c r="N197" i="1052"/>
  <c r="N196" i="1052"/>
  <c r="N198" i="1052"/>
  <c r="L142" i="1052"/>
  <c r="L143" i="1052" s="1"/>
  <c r="L221" i="1051"/>
  <c r="L70" i="1051"/>
  <c r="L109" i="1051"/>
  <c r="X205" i="1051"/>
  <c r="X93" i="1051"/>
  <c r="L70" i="1052"/>
  <c r="L112" i="1052" s="1"/>
  <c r="K112" i="1052"/>
  <c r="L213" i="1051"/>
  <c r="L101" i="1051"/>
  <c r="L71" i="1051"/>
  <c r="Z173" i="1051"/>
  <c r="Z59" i="1051"/>
  <c r="X208" i="1052"/>
  <c r="X96" i="1052"/>
  <c r="Y204" i="1052"/>
  <c r="Y92" i="1052"/>
  <c r="V114" i="1051"/>
  <c r="V115" i="1051" s="1"/>
  <c r="V116" i="1051" s="1"/>
  <c r="V126" i="1051" s="1"/>
  <c r="V113" i="1051"/>
  <c r="V225" i="1051" s="1"/>
  <c r="G225" i="1051"/>
  <c r="G113" i="1051"/>
  <c r="M57" i="1052"/>
  <c r="M212" i="1052"/>
  <c r="M100" i="1052"/>
  <c r="M172" i="1051"/>
  <c r="Z15" i="1051"/>
  <c r="N15" i="1051"/>
  <c r="AA19" i="1051"/>
  <c r="O19" i="1051"/>
  <c r="W203" i="1052"/>
  <c r="W91" i="1052"/>
  <c r="Y171" i="1051"/>
  <c r="Y57" i="1051"/>
  <c r="I110" i="1052"/>
  <c r="X63" i="1052"/>
  <c r="K117" i="1052"/>
  <c r="AE157" i="1052" s="1"/>
  <c r="K110" i="1051"/>
  <c r="L90" i="1051"/>
  <c r="L202" i="1051"/>
  <c r="L142" i="1051"/>
  <c r="L143" i="1051" s="1"/>
  <c r="L207" i="1051"/>
  <c r="L95" i="1051"/>
  <c r="N173" i="1051"/>
  <c r="AA16" i="1051"/>
  <c r="O16" i="1051"/>
  <c r="Y209" i="1051"/>
  <c r="Y97" i="1051"/>
  <c r="Y204" i="1051"/>
  <c r="Y92" i="1051"/>
  <c r="X207" i="1052"/>
  <c r="X95" i="1052"/>
  <c r="Z13" i="1052"/>
  <c r="Z56" i="1052" s="1"/>
  <c r="N13" i="1052"/>
  <c r="AA21" i="1051"/>
  <c r="O21" i="1051"/>
  <c r="Y178" i="1052"/>
  <c r="M213" i="1052"/>
  <c r="M101" i="1052"/>
  <c r="AB49" i="1052"/>
  <c r="P49" i="1052"/>
  <c r="Z176" i="1051"/>
  <c r="Z62" i="1051"/>
  <c r="N175" i="1051"/>
  <c r="AA18" i="1051"/>
  <c r="O18" i="1051"/>
  <c r="AA22" i="1051"/>
  <c r="O22" i="1051"/>
  <c r="Y166" i="1051"/>
  <c r="Y165" i="1051"/>
  <c r="Y169" i="1051" s="1"/>
  <c r="Y134" i="1051"/>
  <c r="Y132" i="1051"/>
  <c r="Y133" i="1051"/>
  <c r="Y131" i="1051"/>
  <c r="Y55" i="1051" s="1"/>
  <c r="W70" i="1052"/>
  <c r="W112" i="1052" s="1"/>
  <c r="X177" i="1052"/>
  <c r="G122" i="1052"/>
  <c r="X203" i="1051"/>
  <c r="X91" i="1051"/>
  <c r="W145" i="1052"/>
  <c r="W146" i="1052" s="1"/>
  <c r="K219" i="1051"/>
  <c r="K106" i="1051"/>
  <c r="L211" i="1051"/>
  <c r="L99" i="1051"/>
  <c r="L140" i="1051"/>
  <c r="L212" i="1051"/>
  <c r="L100" i="1051"/>
  <c r="M217" i="1052"/>
  <c r="M169" i="1052"/>
  <c r="M139" i="1052"/>
  <c r="M134" i="1052"/>
  <c r="M131" i="1052"/>
  <c r="M179" i="1052"/>
  <c r="M167" i="1052"/>
  <c r="M133" i="1052"/>
  <c r="M132" i="1052"/>
  <c r="M168" i="1052"/>
  <c r="Z4" i="1052"/>
  <c r="N4" i="1052"/>
  <c r="Y175" i="1051"/>
  <c r="Z13" i="1051"/>
  <c r="Z56" i="1051" s="1"/>
  <c r="N13" i="1051"/>
  <c r="Z178" i="1051"/>
  <c r="Z64" i="1051"/>
  <c r="Y175" i="1052"/>
  <c r="M178" i="1052"/>
  <c r="Z21" i="1052"/>
  <c r="N21" i="1052"/>
  <c r="N108" i="1052"/>
  <c r="N61" i="1052"/>
  <c r="N57" i="1052"/>
  <c r="N68" i="1052"/>
  <c r="N59" i="1052"/>
  <c r="N69" i="1052"/>
  <c r="AA8" i="1052"/>
  <c r="N58" i="1052"/>
  <c r="N65" i="1052"/>
  <c r="N64" i="1052"/>
  <c r="N62" i="1052"/>
  <c r="N60" i="1052"/>
  <c r="O8" i="1052"/>
  <c r="N54" i="1052"/>
  <c r="N53" i="1052"/>
  <c r="N66" i="1052"/>
  <c r="N56" i="1052"/>
  <c r="N67" i="1052"/>
  <c r="M214" i="1052"/>
  <c r="M102" i="1052"/>
  <c r="Y10" i="1052"/>
  <c r="Y174" i="1052" s="1"/>
  <c r="L149" i="1052"/>
  <c r="X142" i="1051"/>
  <c r="X143" i="1051" s="1"/>
  <c r="X64" i="1052"/>
  <c r="Z175" i="1051"/>
  <c r="Z61" i="1051"/>
  <c r="Y207" i="1051"/>
  <c r="Y95" i="1051"/>
  <c r="X206" i="1051"/>
  <c r="X94" i="1051"/>
  <c r="M171" i="1051"/>
  <c r="N14" i="1051"/>
  <c r="Z14" i="1051"/>
  <c r="V148" i="1051"/>
  <c r="AB50" i="1052"/>
  <c r="P50" i="1052"/>
  <c r="Z12" i="1051"/>
  <c r="N12" i="1051"/>
  <c r="M166" i="1051"/>
  <c r="M165" i="1051"/>
  <c r="M169" i="1051" s="1"/>
  <c r="M133" i="1051"/>
  <c r="M134" i="1051"/>
  <c r="M132" i="1051"/>
  <c r="M131" i="1051"/>
  <c r="M55" i="1051" s="1"/>
  <c r="M130" i="1051" a="1"/>
  <c r="M130" i="1051" s="1"/>
  <c r="M164" i="1051" s="1"/>
  <c r="M125" i="1051"/>
  <c r="M123" i="1051"/>
  <c r="M129" i="1051"/>
  <c r="M163" i="1051" s="1"/>
  <c r="N10" i="1051"/>
  <c r="N178" i="1051" s="1"/>
  <c r="M216" i="1051" a="1"/>
  <c r="M216" i="1051" s="1"/>
  <c r="M180" i="1051"/>
  <c r="M181" i="1051"/>
  <c r="M167" i="1051"/>
  <c r="M139" i="1051"/>
  <c r="M217" i="1051"/>
  <c r="M179" i="1051"/>
  <c r="M168" i="1051"/>
  <c r="T89" i="1052"/>
  <c r="T112" i="1052"/>
  <c r="N12" i="1050"/>
  <c r="Z12" i="1050"/>
  <c r="M166" i="1050"/>
  <c r="M165" i="1050"/>
  <c r="W203" i="1050"/>
  <c r="W91" i="1050"/>
  <c r="W70" i="1050"/>
  <c r="W142" i="1050"/>
  <c r="W143" i="1050" s="1"/>
  <c r="AE157" i="1050"/>
  <c r="W141" i="1050"/>
  <c r="M173" i="1050"/>
  <c r="N16" i="1050"/>
  <c r="Z16" i="1050"/>
  <c r="X198" i="1050"/>
  <c r="X196" i="1050"/>
  <c r="X197" i="1050"/>
  <c r="O22" i="1050"/>
  <c r="AA22" i="1050"/>
  <c r="J225" i="1050"/>
  <c r="J113" i="1050"/>
  <c r="J114" i="1050" s="1"/>
  <c r="J115" i="1050" s="1"/>
  <c r="J116" i="1050" s="1"/>
  <c r="J126" i="1050" s="1"/>
  <c r="L111" i="1050"/>
  <c r="L121" i="1050"/>
  <c r="L71" i="1050"/>
  <c r="L209" i="1050"/>
  <c r="L97" i="1050"/>
  <c r="Y173" i="1050"/>
  <c r="Y59" i="1050"/>
  <c r="M88" i="1050" a="1"/>
  <c r="M88" i="1050" s="1"/>
  <c r="Z9" i="1050"/>
  <c r="Z88" i="1050" s="1"/>
  <c r="Z109" i="1050" s="1"/>
  <c r="N9" i="1050"/>
  <c r="P51" i="1050"/>
  <c r="AB51" i="1050"/>
  <c r="X213" i="1050"/>
  <c r="X101" i="1050"/>
  <c r="G89" i="1050"/>
  <c r="G112" i="1050"/>
  <c r="Y165" i="1050"/>
  <c r="Y169" i="1050" s="1"/>
  <c r="Y166" i="1050"/>
  <c r="V146" i="1050"/>
  <c r="P157" i="1050"/>
  <c r="X214" i="1050"/>
  <c r="X102" i="1050"/>
  <c r="X121" i="1050"/>
  <c r="X111" i="1050"/>
  <c r="T89" i="1050"/>
  <c r="T112" i="1050"/>
  <c r="AD157" i="1050"/>
  <c r="Y208" i="1050"/>
  <c r="Y96" i="1050"/>
  <c r="L207" i="1050"/>
  <c r="L95" i="1050"/>
  <c r="L205" i="1050"/>
  <c r="L93" i="1050"/>
  <c r="L212" i="1050"/>
  <c r="L100" i="1050"/>
  <c r="L206" i="1050"/>
  <c r="L94" i="1050"/>
  <c r="L211" i="1050"/>
  <c r="L99" i="1050"/>
  <c r="L140" i="1050"/>
  <c r="AA17" i="1050"/>
  <c r="O17" i="1050"/>
  <c r="J144" i="1050"/>
  <c r="X212" i="1050"/>
  <c r="X100" i="1050"/>
  <c r="X55" i="1050"/>
  <c r="N13" i="1050"/>
  <c r="Z13" i="1050"/>
  <c r="Z56" i="1050" s="1"/>
  <c r="Y167" i="1050"/>
  <c r="Y217" i="1050"/>
  <c r="Y134" i="1050"/>
  <c r="Y179" i="1050"/>
  <c r="Y133" i="1050"/>
  <c r="Y132" i="1050"/>
  <c r="Y168" i="1050"/>
  <c r="Y139" i="1050"/>
  <c r="Y131" i="1050"/>
  <c r="Y65" i="1050"/>
  <c r="X205" i="1050"/>
  <c r="X93" i="1050"/>
  <c r="M171" i="1050"/>
  <c r="N14" i="1050"/>
  <c r="Z14" i="1050"/>
  <c r="K225" i="1050"/>
  <c r="K113" i="1050"/>
  <c r="K114" i="1050" s="1"/>
  <c r="K115" i="1050" s="1"/>
  <c r="K116" i="1050" s="1"/>
  <c r="K126" i="1050" s="1"/>
  <c r="L198" i="1050"/>
  <c r="L196" i="1050"/>
  <c r="L197" i="1050"/>
  <c r="L214" i="1050"/>
  <c r="L102" i="1050"/>
  <c r="L202" i="1050"/>
  <c r="L142" i="1050"/>
  <c r="L143" i="1050" s="1"/>
  <c r="L90" i="1050"/>
  <c r="L221" i="1050"/>
  <c r="L109" i="1050"/>
  <c r="L70" i="1050"/>
  <c r="X206" i="1050"/>
  <c r="X94" i="1050"/>
  <c r="Z10" i="1050"/>
  <c r="Z176" i="1050" s="1"/>
  <c r="M149" i="1050"/>
  <c r="Y172" i="1050"/>
  <c r="Y58" i="1050"/>
  <c r="V147" i="1050"/>
  <c r="P20" i="1050"/>
  <c r="AB20" i="1050"/>
  <c r="L210" i="1050"/>
  <c r="L98" i="1050"/>
  <c r="L204" i="1050"/>
  <c r="L92" i="1050"/>
  <c r="Z174" i="1050"/>
  <c r="Z60" i="1050"/>
  <c r="K141" i="1050"/>
  <c r="K148" i="1050" s="1"/>
  <c r="X211" i="1050"/>
  <c r="X99" i="1050"/>
  <c r="X140" i="1050"/>
  <c r="J110" i="1050"/>
  <c r="X210" i="1050"/>
  <c r="X98" i="1050"/>
  <c r="Y204" i="1050"/>
  <c r="Y92" i="1050"/>
  <c r="M217" i="1050"/>
  <c r="M133" i="1050"/>
  <c r="M139" i="1050"/>
  <c r="M167" i="1050"/>
  <c r="M168" i="1050"/>
  <c r="M169" i="1050"/>
  <c r="M134" i="1050"/>
  <c r="M131" i="1050"/>
  <c r="M132" i="1050"/>
  <c r="M55" i="1050" s="1"/>
  <c r="M179" i="1050"/>
  <c r="Z4" i="1050"/>
  <c r="N4" i="1050"/>
  <c r="G122" i="1050"/>
  <c r="V114" i="1050"/>
  <c r="V115" i="1050" s="1"/>
  <c r="V116" i="1050" s="1"/>
  <c r="V126" i="1050" s="1"/>
  <c r="O50" i="1050"/>
  <c r="AA50" i="1050"/>
  <c r="AC157" i="1050"/>
  <c r="D173" i="1050"/>
  <c r="B60" i="1050"/>
  <c r="P21" i="1050"/>
  <c r="AB21" i="1050"/>
  <c r="X207" i="1050"/>
  <c r="X95" i="1050"/>
  <c r="K145" i="1050"/>
  <c r="K147" i="1050" s="1"/>
  <c r="AA11" i="1050"/>
  <c r="O11" i="1050"/>
  <c r="N104" i="1050"/>
  <c r="N236" i="1050"/>
  <c r="AA182" i="1050"/>
  <c r="AA68" i="1050"/>
  <c r="K219" i="1050"/>
  <c r="K106" i="1050"/>
  <c r="K110" i="1050" s="1"/>
  <c r="M172" i="1050"/>
  <c r="N15" i="1050"/>
  <c r="Z15" i="1050"/>
  <c r="M108" i="1050"/>
  <c r="M63" i="1050"/>
  <c r="M53" i="1050"/>
  <c r="M61" i="1050"/>
  <c r="M57" i="1050"/>
  <c r="M65" i="1050"/>
  <c r="M69" i="1050"/>
  <c r="M62" i="1050"/>
  <c r="M58" i="1050"/>
  <c r="M67" i="1050"/>
  <c r="M64" i="1050"/>
  <c r="M59" i="1050"/>
  <c r="M54" i="1050"/>
  <c r="M56" i="1050"/>
  <c r="N8" i="1050"/>
  <c r="M66" i="1050"/>
  <c r="M60" i="1050"/>
  <c r="Z8" i="1050"/>
  <c r="M68" i="1050"/>
  <c r="L208" i="1050"/>
  <c r="L96" i="1050"/>
  <c r="X202" i="1050"/>
  <c r="X142" i="1050"/>
  <c r="X143" i="1050" s="1"/>
  <c r="X90" i="1050"/>
  <c r="Y130" i="1050"/>
  <c r="Y164" i="1050" s="1"/>
  <c r="Y125" i="1050"/>
  <c r="Y129" i="1050"/>
  <c r="Y163" i="1050" s="1"/>
  <c r="Y69" i="1050"/>
  <c r="Y123" i="1050"/>
  <c r="Y54" i="1050"/>
  <c r="Y53" i="1050"/>
  <c r="Y236" i="1050"/>
  <c r="Y104" i="1050"/>
  <c r="Y181" i="1050"/>
  <c r="Y67" i="1050"/>
  <c r="Y66" i="1050"/>
  <c r="Y216" i="1050"/>
  <c r="Y180" i="1050"/>
  <c r="Y64" i="1050"/>
  <c r="Y178" i="1050"/>
  <c r="Y177" i="1050"/>
  <c r="Y63" i="1050"/>
  <c r="Z175" i="1050"/>
  <c r="Z61" i="1050"/>
  <c r="Y210" i="1050"/>
  <c r="Y98" i="1050"/>
  <c r="X208" i="1050"/>
  <c r="X96" i="1050"/>
  <c r="O182" i="1050"/>
  <c r="P23" i="1050"/>
  <c r="AB23" i="1050"/>
  <c r="D229" i="1050"/>
  <c r="B118" i="1050"/>
  <c r="M129" i="1050"/>
  <c r="M163" i="1050" s="1"/>
  <c r="M123" i="1050"/>
  <c r="M130" i="1050" a="1"/>
  <c r="M130" i="1050" s="1"/>
  <c r="M164" i="1050" s="1"/>
  <c r="M125" i="1050"/>
  <c r="N10" i="1050"/>
  <c r="M216" i="1050" a="1"/>
  <c r="M216" i="1050" s="1"/>
  <c r="M180" i="1050"/>
  <c r="M181" i="1050"/>
  <c r="M177" i="1050"/>
  <c r="M178" i="1050"/>
  <c r="L215" i="1050"/>
  <c r="L103" i="1050"/>
  <c r="L184" i="1050"/>
  <c r="L185" i="1050"/>
  <c r="L203" i="1050"/>
  <c r="L91" i="1050"/>
  <c r="L213" i="1050"/>
  <c r="L101" i="1050"/>
  <c r="Y171" i="1050"/>
  <c r="Y57" i="1050"/>
  <c r="O49" i="1050"/>
  <c r="AA49" i="1050"/>
  <c r="X70" i="1050"/>
  <c r="X71" i="1050"/>
  <c r="Y209" i="1050"/>
  <c r="Y97" i="1050"/>
  <c r="N176" i="1050"/>
  <c r="AA19" i="1050"/>
  <c r="O19" i="1050"/>
  <c r="N175" i="1050"/>
  <c r="AA18" i="1050"/>
  <c r="O18" i="1050"/>
  <c r="Z215" i="1050"/>
  <c r="Z103" i="1050"/>
  <c r="Z184" i="1050"/>
  <c r="Z185" i="1050"/>
  <c r="Q157" i="1050"/>
  <c r="N205" i="1058" l="1"/>
  <c r="N93" i="1058"/>
  <c r="W119" i="1062"/>
  <c r="W120" i="1062"/>
  <c r="W127" i="1062"/>
  <c r="L225" i="1061"/>
  <c r="L113" i="1061"/>
  <c r="L114" i="1061" s="1"/>
  <c r="N210" i="1059"/>
  <c r="N98" i="1059"/>
  <c r="V119" i="1060"/>
  <c r="V120" i="1060"/>
  <c r="K120" i="1059"/>
  <c r="K119" i="1059"/>
  <c r="K127" i="1059"/>
  <c r="N211" i="1060"/>
  <c r="N99" i="1060"/>
  <c r="N211" i="1063"/>
  <c r="N99" i="1063"/>
  <c r="G115" i="1058"/>
  <c r="G116" i="1058" s="1"/>
  <c r="N209" i="1063"/>
  <c r="N97" i="1063"/>
  <c r="AF127" i="1061"/>
  <c r="M141" i="1059"/>
  <c r="N210" i="1058"/>
  <c r="N98" i="1058"/>
  <c r="N206" i="1058"/>
  <c r="N94" i="1058"/>
  <c r="N95" i="1058"/>
  <c r="N207" i="1058"/>
  <c r="Z145" i="1057"/>
  <c r="Z147" i="1057" s="1"/>
  <c r="N203" i="1059"/>
  <c r="N91" i="1059"/>
  <c r="K119" i="1061"/>
  <c r="K122" i="1061" s="1"/>
  <c r="K120" i="1061"/>
  <c r="K127" i="1061"/>
  <c r="S127" i="1061" s="1"/>
  <c r="L114" i="1058"/>
  <c r="L115" i="1058" s="1"/>
  <c r="L116" i="1058" s="1"/>
  <c r="L225" i="1058"/>
  <c r="L113" i="1058"/>
  <c r="M91" i="1058"/>
  <c r="M203" i="1058"/>
  <c r="M142" i="1058"/>
  <c r="M143" i="1058" s="1"/>
  <c r="M70" i="1058"/>
  <c r="K120" i="1064"/>
  <c r="K119" i="1064"/>
  <c r="N98" i="1060"/>
  <c r="N210" i="1060"/>
  <c r="M141" i="1060"/>
  <c r="N211" i="1058"/>
  <c r="N99" i="1058"/>
  <c r="K144" i="1051"/>
  <c r="W112" i="1055"/>
  <c r="M143" i="1054"/>
  <c r="W112" i="1054"/>
  <c r="V122" i="1054"/>
  <c r="K127" i="1062"/>
  <c r="P157" i="1062"/>
  <c r="AE157" i="1062"/>
  <c r="AD157" i="1062"/>
  <c r="R157" i="1062"/>
  <c r="Q157" i="1062"/>
  <c r="AC157" i="1062"/>
  <c r="Z55" i="1059"/>
  <c r="AA9" i="1059"/>
  <c r="AA88" i="1059" s="1"/>
  <c r="AA109" i="1059" s="1"/>
  <c r="O9" i="1059"/>
  <c r="N88" i="1059" a="1"/>
  <c r="N88" i="1059" s="1"/>
  <c r="M209" i="1064"/>
  <c r="M97" i="1064"/>
  <c r="M207" i="1064"/>
  <c r="M95" i="1064"/>
  <c r="AA11" i="1062"/>
  <c r="O11" i="1062"/>
  <c r="N104" i="1062"/>
  <c r="N236" i="1062"/>
  <c r="M185" i="1060"/>
  <c r="M103" i="1060"/>
  <c r="M184" i="1060"/>
  <c r="M215" i="1060"/>
  <c r="N182" i="1062"/>
  <c r="AA23" i="1062"/>
  <c r="O23" i="1062"/>
  <c r="L225" i="1064"/>
  <c r="L113" i="1064"/>
  <c r="L114" i="1064" s="1"/>
  <c r="L115" i="1064" s="1"/>
  <c r="L116" i="1064" s="1"/>
  <c r="L126" i="1064" s="1"/>
  <c r="W144" i="1062"/>
  <c r="N175" i="1060"/>
  <c r="AA18" i="1060"/>
  <c r="O18" i="1060"/>
  <c r="AA215" i="1057"/>
  <c r="AA103" i="1057"/>
  <c r="AA185" i="1057"/>
  <c r="AA184" i="1057"/>
  <c r="Y215" i="1059"/>
  <c r="Y103" i="1059"/>
  <c r="Y184" i="1059"/>
  <c r="Y185" i="1059"/>
  <c r="L219" i="1062"/>
  <c r="L106" i="1062"/>
  <c r="Z10" i="1060"/>
  <c r="M149" i="1060"/>
  <c r="AB50" i="1059"/>
  <c r="P50" i="1059"/>
  <c r="K148" i="1061"/>
  <c r="L113" i="1057"/>
  <c r="L225" i="1057"/>
  <c r="L114" i="1057"/>
  <c r="L115" i="1057" s="1"/>
  <c r="L116" i="1057" s="1"/>
  <c r="L126" i="1057" s="1"/>
  <c r="M101" i="1060"/>
  <c r="M213" i="1060"/>
  <c r="Q14" i="1057"/>
  <c r="P171" i="1057"/>
  <c r="AC14" i="1057"/>
  <c r="M203" i="1057"/>
  <c r="M91" i="1057"/>
  <c r="M90" i="1057"/>
  <c r="M202" i="1057"/>
  <c r="M142" i="1057"/>
  <c r="M143" i="1057" s="1"/>
  <c r="AB21" i="1063"/>
  <c r="P21" i="1063"/>
  <c r="N130" i="1060" a="1"/>
  <c r="N130" i="1060" s="1"/>
  <c r="N164" i="1060" s="1"/>
  <c r="O10" i="1060"/>
  <c r="N125" i="1060"/>
  <c r="N129" i="1060"/>
  <c r="N163" i="1060" s="1"/>
  <c r="N123" i="1060"/>
  <c r="N216" i="1060" a="1"/>
  <c r="N216" i="1060" s="1"/>
  <c r="N181" i="1060"/>
  <c r="N180" i="1060"/>
  <c r="W145" i="1064"/>
  <c r="W146" i="1064" s="1"/>
  <c r="W148" i="1064"/>
  <c r="R13" i="1057"/>
  <c r="AE13" i="1057" s="1"/>
  <c r="AE56" i="1057" s="1"/>
  <c r="AD13" i="1057"/>
  <c r="AD56" i="1057" s="1"/>
  <c r="Y71" i="1059"/>
  <c r="Y70" i="1059"/>
  <c r="AB16" i="1059"/>
  <c r="O173" i="1059"/>
  <c r="P16" i="1059"/>
  <c r="Z172" i="1064"/>
  <c r="Z58" i="1064"/>
  <c r="AA133" i="1062"/>
  <c r="AA132" i="1062"/>
  <c r="AA134" i="1062"/>
  <c r="AA131" i="1062"/>
  <c r="AC14" i="1061"/>
  <c r="Q14" i="1061"/>
  <c r="P171" i="1061"/>
  <c r="AB174" i="1057"/>
  <c r="AB60" i="1057"/>
  <c r="N125" i="1059"/>
  <c r="N130" i="1059" a="1"/>
  <c r="N130" i="1059" s="1"/>
  <c r="N164" i="1059" s="1"/>
  <c r="N129" i="1059"/>
  <c r="N163" i="1059" s="1"/>
  <c r="N123" i="1059"/>
  <c r="O10" i="1059"/>
  <c r="N216" i="1059" a="1"/>
  <c r="N216" i="1059" s="1"/>
  <c r="N180" i="1059"/>
  <c r="N181" i="1059"/>
  <c r="D174" i="1058"/>
  <c r="B61" i="1058"/>
  <c r="Z203" i="1061"/>
  <c r="Z91" i="1061"/>
  <c r="X202" i="1064"/>
  <c r="X142" i="1064"/>
  <c r="X143" i="1064" s="1"/>
  <c r="X90" i="1064"/>
  <c r="I122" i="1062"/>
  <c r="AA133" i="1059"/>
  <c r="AA132" i="1059"/>
  <c r="AA134" i="1059"/>
  <c r="AA131" i="1059"/>
  <c r="AA55" i="1059" s="1"/>
  <c r="B61" i="1061"/>
  <c r="D174" i="1061"/>
  <c r="P157" i="1064"/>
  <c r="N54" i="1060"/>
  <c r="Z93" i="1060"/>
  <c r="Z205" i="1060"/>
  <c r="X209" i="1058"/>
  <c r="X97" i="1058"/>
  <c r="N65" i="1059"/>
  <c r="AA49" i="1059"/>
  <c r="O49" i="1059"/>
  <c r="V113" i="1060"/>
  <c r="V225" i="1060" s="1"/>
  <c r="M55" i="1060"/>
  <c r="V122" i="1062"/>
  <c r="K127" i="1058"/>
  <c r="Z212" i="1061"/>
  <c r="Z100" i="1061"/>
  <c r="AC11" i="1061"/>
  <c r="Q11" i="1061"/>
  <c r="P236" i="1061"/>
  <c r="P104" i="1061"/>
  <c r="Y97" i="1058"/>
  <c r="Y209" i="1058"/>
  <c r="P13" i="1063"/>
  <c r="AB13" i="1063"/>
  <c r="AB56" i="1063" s="1"/>
  <c r="Z10" i="1064"/>
  <c r="M149" i="1064"/>
  <c r="O149" i="1057"/>
  <c r="O182" i="1063"/>
  <c r="AB23" i="1063"/>
  <c r="P23" i="1063"/>
  <c r="Y96" i="1060"/>
  <c r="Y208" i="1060"/>
  <c r="AA202" i="1057"/>
  <c r="AA90" i="1057"/>
  <c r="W145" i="1063"/>
  <c r="W144" i="1063" s="1"/>
  <c r="W147" i="1063"/>
  <c r="O178" i="1059"/>
  <c r="AB21" i="1059"/>
  <c r="P21" i="1059"/>
  <c r="AC157" i="1057"/>
  <c r="AA211" i="1057"/>
  <c r="AA99" i="1057"/>
  <c r="AA140" i="1057"/>
  <c r="AA206" i="1057"/>
  <c r="AA94" i="1057"/>
  <c r="M111" i="1063"/>
  <c r="M121" i="1063"/>
  <c r="L146" i="1059"/>
  <c r="L141" i="1059"/>
  <c r="Z215" i="1063"/>
  <c r="Z103" i="1063"/>
  <c r="Z184" i="1063"/>
  <c r="Z185" i="1063"/>
  <c r="N197" i="1064"/>
  <c r="N198" i="1064"/>
  <c r="N196" i="1064"/>
  <c r="AA209" i="1057"/>
  <c r="AA97" i="1057"/>
  <c r="X213" i="1063"/>
  <c r="X101" i="1063"/>
  <c r="Z171" i="1058"/>
  <c r="Z57" i="1058"/>
  <c r="Z171" i="1064"/>
  <c r="Z57" i="1064"/>
  <c r="N172" i="1059"/>
  <c r="AA15" i="1059"/>
  <c r="O15" i="1059"/>
  <c r="X197" i="1060"/>
  <c r="X196" i="1060"/>
  <c r="X198" i="1060"/>
  <c r="X213" i="1062"/>
  <c r="X101" i="1062"/>
  <c r="X197" i="1062"/>
  <c r="X198" i="1062"/>
  <c r="X196" i="1062"/>
  <c r="Y207" i="1062"/>
  <c r="Y95" i="1062"/>
  <c r="AA22" i="1064"/>
  <c r="O22" i="1064"/>
  <c r="Z63" i="1059"/>
  <c r="W219" i="1063"/>
  <c r="W106" i="1063"/>
  <c r="M98" i="1060"/>
  <c r="M210" i="1060"/>
  <c r="X203" i="1064"/>
  <c r="X91" i="1064"/>
  <c r="M209" i="1062"/>
  <c r="M97" i="1062"/>
  <c r="M71" i="1062"/>
  <c r="M213" i="1062"/>
  <c r="M101" i="1062"/>
  <c r="Z182" i="1059"/>
  <c r="Z68" i="1059"/>
  <c r="Z166" i="1063"/>
  <c r="Z165" i="1063"/>
  <c r="Y205" i="1064"/>
  <c r="Y93" i="1064"/>
  <c r="L117" i="1058"/>
  <c r="M212" i="1064"/>
  <c r="M100" i="1064"/>
  <c r="AA22" i="1058"/>
  <c r="O22" i="1058"/>
  <c r="Z175" i="1060"/>
  <c r="Z61" i="1060"/>
  <c r="AB49" i="1058"/>
  <c r="P49" i="1058"/>
  <c r="Y213" i="1059"/>
  <c r="Y101" i="1059"/>
  <c r="Y121" i="1059"/>
  <c r="Y111" i="1059"/>
  <c r="Y112" i="1059" s="1"/>
  <c r="AA173" i="1059"/>
  <c r="AA59" i="1059"/>
  <c r="K120" i="1062"/>
  <c r="K119" i="1062"/>
  <c r="K122" i="1062" s="1"/>
  <c r="Y209" i="1063"/>
  <c r="Y97" i="1063"/>
  <c r="AB171" i="1061"/>
  <c r="AB57" i="1061"/>
  <c r="M214" i="1060"/>
  <c r="M102" i="1060"/>
  <c r="X91" i="1060"/>
  <c r="X203" i="1060"/>
  <c r="X219" i="1059"/>
  <c r="X106" i="1059"/>
  <c r="X110" i="1059" s="1"/>
  <c r="N212" i="1063"/>
  <c r="N100" i="1063"/>
  <c r="O178" i="1060"/>
  <c r="P21" i="1060"/>
  <c r="AB21" i="1060"/>
  <c r="Y55" i="1063"/>
  <c r="Q22" i="1060"/>
  <c r="AC22" i="1060"/>
  <c r="AA209" i="1061"/>
  <c r="AA97" i="1061"/>
  <c r="G115" i="1062"/>
  <c r="G116" i="1062" s="1"/>
  <c r="L203" i="1060"/>
  <c r="L91" i="1060"/>
  <c r="L142" i="1060"/>
  <c r="L143" i="1060" s="1"/>
  <c r="N214" i="1060"/>
  <c r="N102" i="1060"/>
  <c r="X113" i="1057"/>
  <c r="X225" i="1057" s="1"/>
  <c r="O108" i="1059"/>
  <c r="O63" i="1059"/>
  <c r="O53" i="1059"/>
  <c r="O58" i="1059"/>
  <c r="AB8" i="1059"/>
  <c r="O69" i="1059"/>
  <c r="O60" i="1059"/>
  <c r="P8" i="1059"/>
  <c r="O67" i="1059"/>
  <c r="O66" i="1059"/>
  <c r="O65" i="1059"/>
  <c r="O64" i="1059"/>
  <c r="O56" i="1059"/>
  <c r="O54" i="1059"/>
  <c r="O59" i="1059"/>
  <c r="N206" i="1059"/>
  <c r="N94" i="1059"/>
  <c r="AB50" i="1061"/>
  <c r="P50" i="1061"/>
  <c r="Y215" i="1064"/>
  <c r="Y103" i="1064"/>
  <c r="Y184" i="1064"/>
  <c r="Y185" i="1064"/>
  <c r="M206" i="1061"/>
  <c r="M94" i="1061"/>
  <c r="N68" i="1061"/>
  <c r="AA8" i="1061"/>
  <c r="N66" i="1061"/>
  <c r="N60" i="1061"/>
  <c r="N56" i="1061"/>
  <c r="N63" i="1061"/>
  <c r="N108" i="1061"/>
  <c r="N61" i="1061"/>
  <c r="N57" i="1061"/>
  <c r="O8" i="1061"/>
  <c r="N65" i="1061"/>
  <c r="N55" i="1061"/>
  <c r="N69" i="1061"/>
  <c r="N62" i="1061"/>
  <c r="N58" i="1061"/>
  <c r="N67" i="1061"/>
  <c r="N59" i="1061"/>
  <c r="N54" i="1061"/>
  <c r="N64" i="1061"/>
  <c r="N53" i="1061"/>
  <c r="M215" i="1061"/>
  <c r="M103" i="1061"/>
  <c r="M185" i="1061"/>
  <c r="M184" i="1061"/>
  <c r="AC16" i="1061"/>
  <c r="Q16" i="1061"/>
  <c r="P173" i="1061"/>
  <c r="O171" i="1060"/>
  <c r="P14" i="1060"/>
  <c r="AB14" i="1060"/>
  <c r="K113" i="1058"/>
  <c r="K225" i="1058"/>
  <c r="K114" i="1058"/>
  <c r="K115" i="1058" s="1"/>
  <c r="K116" i="1058" s="1"/>
  <c r="Z207" i="1063"/>
  <c r="Z95" i="1063"/>
  <c r="AB10" i="1061"/>
  <c r="O149" i="1061"/>
  <c r="Z171" i="1063"/>
  <c r="Z57" i="1063"/>
  <c r="L141" i="1057"/>
  <c r="AB130" i="1057"/>
  <c r="AB164" i="1057" s="1"/>
  <c r="AB125" i="1057"/>
  <c r="AB54" i="1057"/>
  <c r="AB129" i="1057"/>
  <c r="AB163" i="1057" s="1"/>
  <c r="AB53" i="1057"/>
  <c r="AB123" i="1057"/>
  <c r="AB69" i="1057"/>
  <c r="AB104" i="1057"/>
  <c r="AB67" i="1057"/>
  <c r="AB66" i="1057"/>
  <c r="AB216" i="1057"/>
  <c r="AB180" i="1057"/>
  <c r="AB181" i="1057"/>
  <c r="AB236" i="1057"/>
  <c r="K148" i="1063"/>
  <c r="K147" i="1063"/>
  <c r="K145" i="1063"/>
  <c r="K146" i="1063" s="1"/>
  <c r="K144" i="1063"/>
  <c r="Z208" i="1059"/>
  <c r="Z96" i="1059"/>
  <c r="Y55" i="1058"/>
  <c r="R157" i="1057"/>
  <c r="K148" i="1064"/>
  <c r="M198" i="1063"/>
  <c r="M196" i="1063"/>
  <c r="M197" i="1063"/>
  <c r="O130" i="1057" a="1"/>
  <c r="O130" i="1057" s="1"/>
  <c r="O164" i="1057" s="1"/>
  <c r="O181" i="1057"/>
  <c r="O180" i="1057"/>
  <c r="O123" i="1057"/>
  <c r="P10" i="1057"/>
  <c r="O125" i="1057"/>
  <c r="O129" i="1057"/>
  <c r="O163" i="1057" s="1"/>
  <c r="O216" i="1057" a="1"/>
  <c r="O216" i="1057" s="1"/>
  <c r="X210" i="1063"/>
  <c r="X98" i="1063"/>
  <c r="X202" i="1063"/>
  <c r="X90" i="1063"/>
  <c r="X142" i="1063"/>
  <c r="X143" i="1063" s="1"/>
  <c r="P178" i="1057"/>
  <c r="Q21" i="1057"/>
  <c r="AC21" i="1057"/>
  <c r="P172" i="1057"/>
  <c r="Q15" i="1057"/>
  <c r="AC15" i="1057"/>
  <c r="Z141" i="1057"/>
  <c r="Z146" i="1057"/>
  <c r="J122" i="1057"/>
  <c r="Z58" i="1062"/>
  <c r="Z172" i="1062"/>
  <c r="V119" i="1064"/>
  <c r="V120" i="1064"/>
  <c r="O221" i="1058"/>
  <c r="O109" i="1058"/>
  <c r="O221" i="1057"/>
  <c r="O109" i="1057"/>
  <c r="M207" i="1062"/>
  <c r="M95" i="1062"/>
  <c r="AA23" i="1059"/>
  <c r="O23" i="1059"/>
  <c r="N182" i="1059"/>
  <c r="O12" i="1063"/>
  <c r="AA12" i="1063"/>
  <c r="N165" i="1063"/>
  <c r="N166" i="1063"/>
  <c r="N178" i="1058"/>
  <c r="AA21" i="1058"/>
  <c r="O21" i="1058"/>
  <c r="Y148" i="1061"/>
  <c r="Y145" i="1061"/>
  <c r="Y147" i="1061" s="1"/>
  <c r="Y144" i="1061"/>
  <c r="Y94" i="1062"/>
  <c r="Y206" i="1062"/>
  <c r="O65" i="1058"/>
  <c r="O64" i="1058"/>
  <c r="O54" i="1058"/>
  <c r="O56" i="1058"/>
  <c r="O53" i="1058"/>
  <c r="P8" i="1058"/>
  <c r="O69" i="1058"/>
  <c r="O67" i="1058"/>
  <c r="O66" i="1058"/>
  <c r="AB8" i="1058"/>
  <c r="V122" i="1058"/>
  <c r="AB171" i="1057"/>
  <c r="AB57" i="1057"/>
  <c r="K147" i="1051"/>
  <c r="K89" i="1055"/>
  <c r="Y210" i="1060"/>
  <c r="Y98" i="1060"/>
  <c r="M71" i="1064"/>
  <c r="M117" i="1064" s="1"/>
  <c r="Y146" i="1061"/>
  <c r="Y141" i="1061"/>
  <c r="AB62" i="1061"/>
  <c r="AB176" i="1061"/>
  <c r="W126" i="1059"/>
  <c r="AA19" i="1060"/>
  <c r="O19" i="1060"/>
  <c r="N176" i="1060"/>
  <c r="L145" i="1064"/>
  <c r="L147" i="1064"/>
  <c r="AA13" i="1058"/>
  <c r="AA56" i="1058" s="1"/>
  <c r="O13" i="1058"/>
  <c r="V127" i="1060"/>
  <c r="M206" i="1057"/>
  <c r="M94" i="1057"/>
  <c r="M204" i="1057"/>
  <c r="M92" i="1057"/>
  <c r="N175" i="1064"/>
  <c r="O18" i="1064"/>
  <c r="AA18" i="1064"/>
  <c r="L141" i="1058"/>
  <c r="L148" i="1058" s="1"/>
  <c r="L146" i="1058"/>
  <c r="M121" i="1060"/>
  <c r="M111" i="1060"/>
  <c r="O166" i="1059"/>
  <c r="AB12" i="1059"/>
  <c r="P12" i="1059"/>
  <c r="O165" i="1059"/>
  <c r="O167" i="1058"/>
  <c r="O139" i="1058"/>
  <c r="O217" i="1058"/>
  <c r="O168" i="1058"/>
  <c r="O179" i="1058"/>
  <c r="P4" i="1058"/>
  <c r="AB4" i="1058"/>
  <c r="Q12" i="1057"/>
  <c r="AC12" i="1057"/>
  <c r="P166" i="1057"/>
  <c r="P165" i="1057"/>
  <c r="M95" i="1060"/>
  <c r="M207" i="1060"/>
  <c r="M196" i="1059"/>
  <c r="M198" i="1059"/>
  <c r="M197" i="1059"/>
  <c r="P130" i="1058" a="1"/>
  <c r="P130" i="1058" s="1"/>
  <c r="P164" i="1058" s="1"/>
  <c r="P125" i="1058"/>
  <c r="Q10" i="1058"/>
  <c r="P129" i="1058"/>
  <c r="P163" i="1058" s="1"/>
  <c r="P123" i="1058"/>
  <c r="P180" i="1058"/>
  <c r="P216" i="1058" a="1"/>
  <c r="P216" i="1058" s="1"/>
  <c r="P181" i="1058"/>
  <c r="Y91" i="1062"/>
  <c r="Y203" i="1062"/>
  <c r="M206" i="1059"/>
  <c r="M94" i="1059"/>
  <c r="N207" i="1063"/>
  <c r="N95" i="1063"/>
  <c r="N215" i="1063"/>
  <c r="N103" i="1063"/>
  <c r="N185" i="1063"/>
  <c r="N184" i="1063"/>
  <c r="N178" i="1060"/>
  <c r="X71" i="1064"/>
  <c r="X70" i="1064"/>
  <c r="X89" i="1064" s="1"/>
  <c r="AB19" i="1062"/>
  <c r="O176" i="1062"/>
  <c r="P19" i="1062"/>
  <c r="Z207" i="1059"/>
  <c r="Z95" i="1059"/>
  <c r="L112" i="1063"/>
  <c r="N179" i="1059"/>
  <c r="Z10" i="1063"/>
  <c r="M149" i="1063"/>
  <c r="P88" i="1061" a="1"/>
  <c r="P88" i="1061" s="1"/>
  <c r="AC9" i="1061"/>
  <c r="AC88" i="1061" s="1"/>
  <c r="AC109" i="1061" s="1"/>
  <c r="Q9" i="1061"/>
  <c r="N69" i="1060"/>
  <c r="N205" i="1060"/>
  <c r="N93" i="1060"/>
  <c r="G114" i="1059"/>
  <c r="Q49" i="1062"/>
  <c r="AC49" i="1062"/>
  <c r="Y208" i="1063"/>
  <c r="Y96" i="1063"/>
  <c r="N67" i="1059"/>
  <c r="N61" i="1059"/>
  <c r="N217" i="1063"/>
  <c r="N134" i="1063"/>
  <c r="N133" i="1063"/>
  <c r="N168" i="1063"/>
  <c r="N132" i="1063"/>
  <c r="N131" i="1063"/>
  <c r="N139" i="1063"/>
  <c r="N167" i="1063"/>
  <c r="N169" i="1063"/>
  <c r="AA4" i="1063"/>
  <c r="O4" i="1063"/>
  <c r="N179" i="1063"/>
  <c r="J122" i="1058"/>
  <c r="Z62" i="1063"/>
  <c r="Z176" i="1063"/>
  <c r="AB13" i="1059"/>
  <c r="AB56" i="1059" s="1"/>
  <c r="P13" i="1059"/>
  <c r="AA17" i="1060"/>
  <c r="N174" i="1060"/>
  <c r="O17" i="1060"/>
  <c r="Z134" i="1058"/>
  <c r="M205" i="1061"/>
  <c r="M93" i="1061"/>
  <c r="M71" i="1061"/>
  <c r="M70" i="1061"/>
  <c r="AB173" i="1061"/>
  <c r="AB59" i="1061"/>
  <c r="K119" i="1058"/>
  <c r="K122" i="1058" s="1"/>
  <c r="K120" i="1058"/>
  <c r="N171" i="1063"/>
  <c r="O14" i="1063"/>
  <c r="AA14" i="1063"/>
  <c r="O177" i="1062"/>
  <c r="AB20" i="1062"/>
  <c r="P20" i="1062"/>
  <c r="N174" i="1064"/>
  <c r="O17" i="1064"/>
  <c r="AA17" i="1064"/>
  <c r="K110" i="1063"/>
  <c r="Y210" i="1064"/>
  <c r="Y98" i="1064"/>
  <c r="AA121" i="1057"/>
  <c r="AA111" i="1057"/>
  <c r="N174" i="1058"/>
  <c r="AA17" i="1058"/>
  <c r="O17" i="1058"/>
  <c r="O60" i="1058" s="1"/>
  <c r="L219" i="1061"/>
  <c r="L106" i="1061"/>
  <c r="N178" i="1059"/>
  <c r="AD157" i="1057"/>
  <c r="N121" i="1061"/>
  <c r="N111" i="1061"/>
  <c r="Z213" i="1061"/>
  <c r="Z101" i="1061"/>
  <c r="Z202" i="1061"/>
  <c r="Z142" i="1061"/>
  <c r="Z143" i="1061" s="1"/>
  <c r="Z90" i="1061"/>
  <c r="AC10" i="1057"/>
  <c r="P149" i="1057"/>
  <c r="O177" i="1059"/>
  <c r="AB20" i="1059"/>
  <c r="P20" i="1059"/>
  <c r="Z205" i="1062"/>
  <c r="Z93" i="1062"/>
  <c r="Z171" i="1059"/>
  <c r="Z57" i="1059"/>
  <c r="O13" i="1064"/>
  <c r="AA13" i="1064"/>
  <c r="AA56" i="1064" s="1"/>
  <c r="G115" i="1061"/>
  <c r="G116" i="1061" s="1"/>
  <c r="AB178" i="1057"/>
  <c r="AB64" i="1057"/>
  <c r="AB204" i="1060"/>
  <c r="AB92" i="1060"/>
  <c r="AB172" i="1057"/>
  <c r="AB58" i="1057"/>
  <c r="AB51" i="1058"/>
  <c r="P51" i="1058"/>
  <c r="N172" i="1062"/>
  <c r="AA15" i="1062"/>
  <c r="O15" i="1062"/>
  <c r="P88" i="1058" a="1"/>
  <c r="P88" i="1058" s="1"/>
  <c r="Q9" i="1058"/>
  <c r="AC9" i="1058"/>
  <c r="AC88" i="1058" s="1"/>
  <c r="AC109" i="1058" s="1"/>
  <c r="Q9" i="1057"/>
  <c r="P88" i="1057" a="1"/>
  <c r="P88" i="1057" s="1"/>
  <c r="AC9" i="1057"/>
  <c r="AC88" i="1057" s="1"/>
  <c r="AC109" i="1057" s="1"/>
  <c r="X212" i="1062"/>
  <c r="X100" i="1062"/>
  <c r="D230" i="1061"/>
  <c r="B119" i="1061"/>
  <c r="W106" i="1060"/>
  <c r="W219" i="1060"/>
  <c r="D231" i="1059"/>
  <c r="B120" i="1059"/>
  <c r="V146" i="1060"/>
  <c r="V148" i="1060" s="1"/>
  <c r="M205" i="1062"/>
  <c r="M93" i="1062"/>
  <c r="M215" i="1062"/>
  <c r="M103" i="1062"/>
  <c r="M185" i="1062"/>
  <c r="M184" i="1062"/>
  <c r="P217" i="1057"/>
  <c r="P133" i="1057"/>
  <c r="P131" i="1057"/>
  <c r="P167" i="1057"/>
  <c r="P169" i="1057"/>
  <c r="P139" i="1057"/>
  <c r="P134" i="1057"/>
  <c r="P168" i="1057"/>
  <c r="P132" i="1057"/>
  <c r="AC4" i="1057"/>
  <c r="P179" i="1057"/>
  <c r="Q4" i="1057"/>
  <c r="N212" i="1058"/>
  <c r="N100" i="1058"/>
  <c r="N101" i="1058"/>
  <c r="N213" i="1058"/>
  <c r="M211" i="1064"/>
  <c r="M99" i="1064"/>
  <c r="M140" i="1064"/>
  <c r="Z10" i="1062"/>
  <c r="Z175" i="1062" s="1"/>
  <c r="M149" i="1062"/>
  <c r="AC19" i="1061"/>
  <c r="Q19" i="1061"/>
  <c r="Z203" i="1057"/>
  <c r="Z91" i="1057"/>
  <c r="Y148" i="1057"/>
  <c r="Y145" i="1057"/>
  <c r="Y146" i="1057" s="1"/>
  <c r="Y144" i="1057"/>
  <c r="P134" i="1061"/>
  <c r="P133" i="1061"/>
  <c r="P132" i="1061"/>
  <c r="AC4" i="1061"/>
  <c r="P131" i="1061"/>
  <c r="Q4" i="1061"/>
  <c r="AA11" i="1060"/>
  <c r="O11" i="1060"/>
  <c r="N104" i="1060"/>
  <c r="N236" i="1060"/>
  <c r="X145" i="1059"/>
  <c r="X146" i="1059" s="1"/>
  <c r="M212" i="1060"/>
  <c r="M100" i="1060"/>
  <c r="Z63" i="1060"/>
  <c r="Z177" i="1060"/>
  <c r="B120" i="1060"/>
  <c r="D231" i="1060"/>
  <c r="M99" i="1057"/>
  <c r="M211" i="1057"/>
  <c r="M140" i="1057"/>
  <c r="AA50" i="1063"/>
  <c r="O50" i="1063"/>
  <c r="N88" i="1062" a="1"/>
  <c r="N88" i="1062" s="1"/>
  <c r="AA9" i="1062"/>
  <c r="AA88" i="1062" s="1"/>
  <c r="AA109" i="1062" s="1"/>
  <c r="O9" i="1062"/>
  <c r="K147" i="1053"/>
  <c r="V144" i="1056"/>
  <c r="K144" i="1056"/>
  <c r="M213" i="1064"/>
  <c r="M101" i="1064"/>
  <c r="M215" i="1064"/>
  <c r="M103" i="1064"/>
  <c r="M184" i="1064"/>
  <c r="M185" i="1064"/>
  <c r="Y211" i="1064"/>
  <c r="Y99" i="1064"/>
  <c r="X120" i="1057"/>
  <c r="X119" i="1057"/>
  <c r="X122" i="1057" s="1"/>
  <c r="L110" i="1062"/>
  <c r="AA55" i="1057"/>
  <c r="AA117" i="1057" s="1"/>
  <c r="Y119" i="1057"/>
  <c r="Y122" i="1057" s="1"/>
  <c r="Y128" i="1057"/>
  <c r="Y120" i="1057"/>
  <c r="AB133" i="1061"/>
  <c r="AB217" i="1061"/>
  <c r="AB132" i="1061"/>
  <c r="AB131" i="1061"/>
  <c r="AB55" i="1061" s="1"/>
  <c r="AB167" i="1061"/>
  <c r="AB179" i="1061"/>
  <c r="AB168" i="1061"/>
  <c r="AB139" i="1061"/>
  <c r="AB134" i="1061"/>
  <c r="AB65" i="1061"/>
  <c r="AC20" i="1061"/>
  <c r="Q20" i="1061"/>
  <c r="Z62" i="1060"/>
  <c r="Z176" i="1060"/>
  <c r="Z204" i="1058"/>
  <c r="Z92" i="1058"/>
  <c r="W110" i="1060"/>
  <c r="Z210" i="1061"/>
  <c r="Z98" i="1061"/>
  <c r="D174" i="1059"/>
  <c r="B61" i="1059"/>
  <c r="Z177" i="1063"/>
  <c r="Z63" i="1063"/>
  <c r="M210" i="1057"/>
  <c r="M98" i="1057"/>
  <c r="M208" i="1057"/>
  <c r="M96" i="1057"/>
  <c r="Z175" i="1064"/>
  <c r="Z61" i="1064"/>
  <c r="M196" i="1060"/>
  <c r="M198" i="1060"/>
  <c r="M197" i="1060"/>
  <c r="M221" i="1062"/>
  <c r="M109" i="1062"/>
  <c r="M70" i="1062"/>
  <c r="M112" i="1062" s="1"/>
  <c r="M117" i="1062"/>
  <c r="Y212" i="1064"/>
  <c r="Y100" i="1064"/>
  <c r="AA211" i="1061"/>
  <c r="AA99" i="1061"/>
  <c r="AA165" i="1059"/>
  <c r="AA169" i="1059" s="1"/>
  <c r="AA166" i="1059"/>
  <c r="Z211" i="1061"/>
  <c r="Z99" i="1061"/>
  <c r="Z140" i="1061"/>
  <c r="Y208" i="1059"/>
  <c r="Y96" i="1059"/>
  <c r="N133" i="1058"/>
  <c r="AB166" i="1057"/>
  <c r="AB165" i="1057"/>
  <c r="J122" i="1059"/>
  <c r="Y210" i="1059"/>
  <c r="Y98" i="1059"/>
  <c r="N210" i="1063"/>
  <c r="N98" i="1063"/>
  <c r="D174" i="1060"/>
  <c r="B61" i="1060"/>
  <c r="X214" i="1064"/>
  <c r="X102" i="1064"/>
  <c r="N182" i="1064"/>
  <c r="AA23" i="1064"/>
  <c r="O23" i="1064"/>
  <c r="Q49" i="1060"/>
  <c r="AC49" i="1060"/>
  <c r="AC157" i="1064"/>
  <c r="O11" i="1063"/>
  <c r="AA11" i="1063"/>
  <c r="N104" i="1063"/>
  <c r="N236" i="1063"/>
  <c r="O221" i="1061"/>
  <c r="O109" i="1061"/>
  <c r="B120" i="1057"/>
  <c r="D231" i="1057"/>
  <c r="O108" i="1060"/>
  <c r="O61" i="1060"/>
  <c r="O57" i="1060"/>
  <c r="P8" i="1060"/>
  <c r="O64" i="1060"/>
  <c r="O54" i="1060"/>
  <c r="O66" i="1060"/>
  <c r="O69" i="1060"/>
  <c r="AB8" i="1060"/>
  <c r="O53" i="1060"/>
  <c r="O62" i="1060"/>
  <c r="O60" i="1060"/>
  <c r="O67" i="1060"/>
  <c r="O56" i="1060"/>
  <c r="N61" i="1060"/>
  <c r="AA173" i="1063"/>
  <c r="AA59" i="1063"/>
  <c r="N54" i="1059"/>
  <c r="N71" i="1059" s="1"/>
  <c r="N204" i="1059"/>
  <c r="N92" i="1059"/>
  <c r="Z217" i="1063"/>
  <c r="Z131" i="1063"/>
  <c r="Z167" i="1063"/>
  <c r="Z179" i="1063"/>
  <c r="Z169" i="1063"/>
  <c r="Z134" i="1063"/>
  <c r="Z139" i="1063"/>
  <c r="Z132" i="1063"/>
  <c r="Z65" i="1063"/>
  <c r="Z168" i="1063"/>
  <c r="Z133" i="1063"/>
  <c r="X114" i="1061"/>
  <c r="X115" i="1061" s="1"/>
  <c r="X116" i="1061" s="1"/>
  <c r="X126" i="1061" s="1"/>
  <c r="N176" i="1063"/>
  <c r="O19" i="1063"/>
  <c r="AA19" i="1063"/>
  <c r="AA204" i="1059"/>
  <c r="AA92" i="1059"/>
  <c r="AB11" i="1059"/>
  <c r="P11" i="1059"/>
  <c r="O104" i="1059"/>
  <c r="O236" i="1059"/>
  <c r="W120" i="1059"/>
  <c r="W119" i="1059"/>
  <c r="W122" i="1059" s="1"/>
  <c r="N176" i="1064"/>
  <c r="O19" i="1064"/>
  <c r="AA19" i="1064"/>
  <c r="AA205" i="1061"/>
  <c r="AA93" i="1061"/>
  <c r="M204" i="1061"/>
  <c r="M92" i="1061"/>
  <c r="M209" i="1061"/>
  <c r="M97" i="1061"/>
  <c r="M207" i="1061"/>
  <c r="M95" i="1061"/>
  <c r="AA171" i="1060"/>
  <c r="AA57" i="1060"/>
  <c r="N182" i="1058"/>
  <c r="AA23" i="1058"/>
  <c r="O23" i="1058"/>
  <c r="W141" i="1060"/>
  <c r="K148" i="1060"/>
  <c r="K147" i="1060"/>
  <c r="K145" i="1060"/>
  <c r="K146" i="1060" s="1"/>
  <c r="Z174" i="1064"/>
  <c r="Z60" i="1064"/>
  <c r="AA197" i="1057"/>
  <c r="AA196" i="1057"/>
  <c r="AA198" i="1057"/>
  <c r="M90" i="1060"/>
  <c r="M202" i="1060"/>
  <c r="M142" i="1060"/>
  <c r="M143" i="1060" s="1"/>
  <c r="AA207" i="1061"/>
  <c r="AA95" i="1061"/>
  <c r="Y93" i="1058"/>
  <c r="Y205" i="1058"/>
  <c r="AE157" i="1057"/>
  <c r="N197" i="1061"/>
  <c r="N196" i="1061"/>
  <c r="N198" i="1061"/>
  <c r="L89" i="1058"/>
  <c r="L126" i="1058" s="1"/>
  <c r="Y205" i="1063"/>
  <c r="Y93" i="1063"/>
  <c r="N175" i="1058"/>
  <c r="AA18" i="1058"/>
  <c r="O18" i="1058"/>
  <c r="AA16" i="1060"/>
  <c r="O16" i="1060"/>
  <c r="O59" i="1060" s="1"/>
  <c r="N173" i="1060"/>
  <c r="J147" i="1058"/>
  <c r="Y125" i="1064"/>
  <c r="Y123" i="1064"/>
  <c r="Y130" i="1064"/>
  <c r="Y164" i="1064" s="1"/>
  <c r="Y129" i="1064"/>
  <c r="Y163" i="1064" s="1"/>
  <c r="Y69" i="1064"/>
  <c r="Y54" i="1064"/>
  <c r="Y53" i="1064"/>
  <c r="Y104" i="1064"/>
  <c r="Y216" i="1064"/>
  <c r="Y236" i="1064"/>
  <c r="Y67" i="1064"/>
  <c r="Y180" i="1064"/>
  <c r="Y181" i="1064"/>
  <c r="Y66" i="1064"/>
  <c r="Y140" i="1064" s="1"/>
  <c r="N111" i="1057"/>
  <c r="N121" i="1057"/>
  <c r="R11" i="1057"/>
  <c r="AD11" i="1057"/>
  <c r="Q104" i="1057"/>
  <c r="Q236" i="1057"/>
  <c r="X209" i="1063"/>
  <c r="X97" i="1063"/>
  <c r="X111" i="1063"/>
  <c r="X121" i="1063"/>
  <c r="N171" i="1059"/>
  <c r="AA14" i="1059"/>
  <c r="O14" i="1059"/>
  <c r="O57" i="1059" s="1"/>
  <c r="N173" i="1058"/>
  <c r="AA16" i="1058"/>
  <c r="O16" i="1058"/>
  <c r="Z204" i="1064"/>
  <c r="Z92" i="1064"/>
  <c r="O178" i="1057"/>
  <c r="Q13" i="1060"/>
  <c r="AC13" i="1060"/>
  <c r="AC56" i="1060" s="1"/>
  <c r="M143" i="1059"/>
  <c r="P177" i="1057"/>
  <c r="Q20" i="1057"/>
  <c r="AC20" i="1057"/>
  <c r="X142" i="1058"/>
  <c r="X143" i="1058" s="1"/>
  <c r="X90" i="1058"/>
  <c r="X202" i="1058"/>
  <c r="Y212" i="1058"/>
  <c r="Y100" i="1058"/>
  <c r="X213" i="1060"/>
  <c r="X101" i="1060"/>
  <c r="X71" i="1062"/>
  <c r="X70" i="1062"/>
  <c r="L219" i="1059"/>
  <c r="L106" i="1059"/>
  <c r="L110" i="1059" s="1"/>
  <c r="L89" i="1059"/>
  <c r="Y69" i="1062"/>
  <c r="Y125" i="1062"/>
  <c r="Y54" i="1062"/>
  <c r="Y53" i="1062"/>
  <c r="Y129" i="1062"/>
  <c r="Y163" i="1062" s="1"/>
  <c r="Y123" i="1062"/>
  <c r="Y130" i="1062"/>
  <c r="Y164" i="1062" s="1"/>
  <c r="Y104" i="1062"/>
  <c r="Y216" i="1062"/>
  <c r="Y236" i="1062"/>
  <c r="Y180" i="1062"/>
  <c r="Y181" i="1062"/>
  <c r="Y67" i="1062"/>
  <c r="Y66" i="1062"/>
  <c r="Y178" i="1062"/>
  <c r="Y64" i="1062"/>
  <c r="Y139" i="1062"/>
  <c r="Y176" i="1062"/>
  <c r="Y167" i="1062"/>
  <c r="Y177" i="1062"/>
  <c r="Y62" i="1062"/>
  <c r="Y63" i="1062"/>
  <c r="Y65" i="1062"/>
  <c r="Y168" i="1062"/>
  <c r="Y217" i="1062"/>
  <c r="Y179" i="1062"/>
  <c r="O171" i="1062"/>
  <c r="AB14" i="1062"/>
  <c r="P14" i="1062"/>
  <c r="M203" i="1062"/>
  <c r="M91" i="1062"/>
  <c r="M212" i="1062"/>
  <c r="M100" i="1062"/>
  <c r="R22" i="1057"/>
  <c r="AE22" i="1057" s="1"/>
  <c r="AD22" i="1057"/>
  <c r="O168" i="1057"/>
  <c r="AA22" i="1059"/>
  <c r="O22" i="1059"/>
  <c r="N61" i="1058"/>
  <c r="N214" i="1058"/>
  <c r="N102" i="1058"/>
  <c r="Y129" i="1060"/>
  <c r="Y163" i="1060" s="1"/>
  <c r="Y123" i="1060"/>
  <c r="Y69" i="1060"/>
  <c r="Y130" i="1060"/>
  <c r="Y164" i="1060" s="1"/>
  <c r="Y125" i="1060"/>
  <c r="Y54" i="1060"/>
  <c r="Y53" i="1060"/>
  <c r="Y216" i="1060"/>
  <c r="Y104" i="1060"/>
  <c r="Y181" i="1060"/>
  <c r="Y236" i="1060"/>
  <c r="Y67" i="1060"/>
  <c r="Y66" i="1060"/>
  <c r="Y140" i="1060" s="1"/>
  <c r="Y180" i="1060"/>
  <c r="Y178" i="1060"/>
  <c r="Y64" i="1060"/>
  <c r="J122" i="1061"/>
  <c r="X89" i="1059"/>
  <c r="Q50" i="1062"/>
  <c r="AC50" i="1062"/>
  <c r="M214" i="1064"/>
  <c r="M102" i="1064"/>
  <c r="M205" i="1064"/>
  <c r="M93" i="1064"/>
  <c r="Y209" i="1059"/>
  <c r="Y97" i="1059"/>
  <c r="AC173" i="1057"/>
  <c r="AC59" i="1057"/>
  <c r="L145" i="1062"/>
  <c r="L146" i="1062" s="1"/>
  <c r="AA12" i="1058"/>
  <c r="AA131" i="1058" s="1"/>
  <c r="O12" i="1058"/>
  <c r="O134" i="1058" s="1"/>
  <c r="N166" i="1058"/>
  <c r="N165" i="1058"/>
  <c r="N169" i="1058" s="1"/>
  <c r="X98" i="1058"/>
  <c r="X210" i="1058"/>
  <c r="W219" i="1064"/>
  <c r="W106" i="1064"/>
  <c r="L145" i="1063"/>
  <c r="L147" i="1063" s="1"/>
  <c r="AB12" i="1062"/>
  <c r="O165" i="1062"/>
  <c r="O169" i="1062" s="1"/>
  <c r="O166" i="1062"/>
  <c r="P12" i="1062"/>
  <c r="M70" i="1064"/>
  <c r="M112" i="1064" s="1"/>
  <c r="N178" i="1064"/>
  <c r="AA21" i="1064"/>
  <c r="O21" i="1064"/>
  <c r="K126" i="1059"/>
  <c r="AB177" i="1061"/>
  <c r="AB63" i="1061"/>
  <c r="W148" i="1060"/>
  <c r="W145" i="1060"/>
  <c r="W147" i="1060" s="1"/>
  <c r="X127" i="1057"/>
  <c r="N177" i="1063"/>
  <c r="O20" i="1063"/>
  <c r="AA20" i="1063"/>
  <c r="P182" i="1057"/>
  <c r="Q23" i="1057"/>
  <c r="AC23" i="1057"/>
  <c r="M71" i="1057"/>
  <c r="M70" i="1057"/>
  <c r="N108" i="1057"/>
  <c r="N66" i="1057"/>
  <c r="N60" i="1057"/>
  <c r="N56" i="1057"/>
  <c r="N63" i="1057"/>
  <c r="N53" i="1057"/>
  <c r="N61" i="1057"/>
  <c r="N57" i="1057"/>
  <c r="O8" i="1057"/>
  <c r="N67" i="1057"/>
  <c r="N65" i="1057"/>
  <c r="N55" i="1057"/>
  <c r="N69" i="1057"/>
  <c r="N62" i="1057"/>
  <c r="N58" i="1057"/>
  <c r="N64" i="1057"/>
  <c r="N59" i="1057"/>
  <c r="N54" i="1057"/>
  <c r="N68" i="1057"/>
  <c r="AA8" i="1057"/>
  <c r="M213" i="1057"/>
  <c r="M101" i="1057"/>
  <c r="Y103" i="1060"/>
  <c r="Y215" i="1060"/>
  <c r="Y185" i="1060"/>
  <c r="Y184" i="1060"/>
  <c r="AB50" i="1058"/>
  <c r="P50" i="1058"/>
  <c r="AA12" i="1060"/>
  <c r="O12" i="1060"/>
  <c r="N166" i="1060"/>
  <c r="N165" i="1060"/>
  <c r="AC18" i="1061"/>
  <c r="Q18" i="1061"/>
  <c r="D174" i="1062"/>
  <c r="B61" i="1062"/>
  <c r="O217" i="1062"/>
  <c r="O133" i="1062"/>
  <c r="O168" i="1062"/>
  <c r="O132" i="1062"/>
  <c r="O179" i="1062"/>
  <c r="O167" i="1062"/>
  <c r="O139" i="1062"/>
  <c r="AB4" i="1062"/>
  <c r="O131" i="1062"/>
  <c r="P4" i="1062"/>
  <c r="O134" i="1062"/>
  <c r="N131" i="1058"/>
  <c r="L146" i="1061"/>
  <c r="L141" i="1061"/>
  <c r="AD51" i="1060"/>
  <c r="R51" i="1060"/>
  <c r="AE51" i="1060" s="1"/>
  <c r="Y211" i="1060"/>
  <c r="Y99" i="1060"/>
  <c r="Z174" i="1063"/>
  <c r="Z60" i="1063"/>
  <c r="Y209" i="1060"/>
  <c r="Y97" i="1060"/>
  <c r="N204" i="1063"/>
  <c r="N92" i="1063"/>
  <c r="N88" i="1063" a="1"/>
  <c r="N88" i="1063" s="1"/>
  <c r="AA9" i="1063"/>
  <c r="AA88" i="1063" s="1"/>
  <c r="AA109" i="1063" s="1"/>
  <c r="O9" i="1063"/>
  <c r="AC21" i="1062"/>
  <c r="Q21" i="1062"/>
  <c r="O88" i="1064" a="1"/>
  <c r="O88" i="1064" s="1"/>
  <c r="AB9" i="1064"/>
  <c r="AB88" i="1064" s="1"/>
  <c r="AB109" i="1064" s="1"/>
  <c r="P9" i="1064"/>
  <c r="X213" i="1064"/>
  <c r="X101" i="1064"/>
  <c r="X121" i="1064"/>
  <c r="X111" i="1064"/>
  <c r="X112" i="1064" s="1"/>
  <c r="L141" i="1063"/>
  <c r="L148" i="1063" s="1"/>
  <c r="Z182" i="1064"/>
  <c r="Z68" i="1064"/>
  <c r="N168" i="1059"/>
  <c r="N139" i="1059"/>
  <c r="AB22" i="1062"/>
  <c r="P22" i="1062"/>
  <c r="Q157" i="1064"/>
  <c r="L110" i="1061"/>
  <c r="N207" i="1060"/>
  <c r="N95" i="1060"/>
  <c r="N66" i="1060"/>
  <c r="N108" i="1060"/>
  <c r="L112" i="1059"/>
  <c r="B121" i="1062"/>
  <c r="D232" i="1062"/>
  <c r="O173" i="1063"/>
  <c r="AB16" i="1063"/>
  <c r="P16" i="1063"/>
  <c r="N53" i="1059"/>
  <c r="N205" i="1059"/>
  <c r="N93" i="1059"/>
  <c r="N60" i="1059"/>
  <c r="M55" i="1063"/>
  <c r="AA10" i="1059"/>
  <c r="AA168" i="1059" s="1"/>
  <c r="N149" i="1059"/>
  <c r="Z60" i="1060"/>
  <c r="Z174" i="1060"/>
  <c r="Z176" i="1064"/>
  <c r="Z62" i="1064"/>
  <c r="W114" i="1060"/>
  <c r="W115" i="1060" s="1"/>
  <c r="W116" i="1060" s="1"/>
  <c r="W126" i="1060" s="1"/>
  <c r="W113" i="1060"/>
  <c r="W225" i="1060" s="1"/>
  <c r="M208" i="1061"/>
  <c r="M96" i="1061"/>
  <c r="M212" i="1061"/>
  <c r="M100" i="1061"/>
  <c r="Q51" i="1057"/>
  <c r="AC51" i="1057"/>
  <c r="AA212" i="1061"/>
  <c r="AA100" i="1061"/>
  <c r="AA15" i="1058"/>
  <c r="N172" i="1058"/>
  <c r="O15" i="1058"/>
  <c r="X112" i="1059"/>
  <c r="Z182" i="1058"/>
  <c r="Z68" i="1058"/>
  <c r="AA203" i="1061"/>
  <c r="AA91" i="1061"/>
  <c r="Y210" i="1063"/>
  <c r="Y98" i="1063"/>
  <c r="Y208" i="1062"/>
  <c r="Y96" i="1062"/>
  <c r="M71" i="1060"/>
  <c r="AA210" i="1057"/>
  <c r="AA98" i="1057"/>
  <c r="P157" i="1057"/>
  <c r="Z214" i="1061"/>
  <c r="Z102" i="1061"/>
  <c r="Z70" i="1061"/>
  <c r="Z89" i="1061" s="1"/>
  <c r="Z71" i="1061"/>
  <c r="Z173" i="1060"/>
  <c r="Z59" i="1060"/>
  <c r="Q49" i="1057"/>
  <c r="AC49" i="1057"/>
  <c r="J144" i="1058"/>
  <c r="L112" i="1062"/>
  <c r="N198" i="1057"/>
  <c r="N197" i="1057"/>
  <c r="N196" i="1057"/>
  <c r="N174" i="1062"/>
  <c r="AA17" i="1062"/>
  <c r="O17" i="1062"/>
  <c r="O123" i="1064"/>
  <c r="O125" i="1064"/>
  <c r="O180" i="1064"/>
  <c r="O129" i="1064"/>
  <c r="O163" i="1064" s="1"/>
  <c r="O130" i="1064" a="1"/>
  <c r="O130" i="1064" s="1"/>
  <c r="O164" i="1064" s="1"/>
  <c r="O181" i="1064"/>
  <c r="P10" i="1064"/>
  <c r="O216" i="1064" a="1"/>
  <c r="O216" i="1064" s="1"/>
  <c r="N177" i="1059"/>
  <c r="X196" i="1063"/>
  <c r="X198" i="1063"/>
  <c r="X197" i="1063"/>
  <c r="D230" i="1064"/>
  <c r="B119" i="1064"/>
  <c r="Z173" i="1058"/>
  <c r="Z59" i="1058"/>
  <c r="P176" i="1057"/>
  <c r="Q19" i="1057"/>
  <c r="AC19" i="1057"/>
  <c r="N173" i="1064"/>
  <c r="O16" i="1064"/>
  <c r="AA16" i="1064"/>
  <c r="N88" i="1060" a="1"/>
  <c r="N88" i="1060" s="1"/>
  <c r="AA9" i="1060"/>
  <c r="AA88" i="1060" s="1"/>
  <c r="AA109" i="1060" s="1"/>
  <c r="O9" i="1060"/>
  <c r="L141" i="1062"/>
  <c r="L148" i="1062" s="1"/>
  <c r="AB177" i="1057"/>
  <c r="AB63" i="1057"/>
  <c r="X212" i="1058"/>
  <c r="X100" i="1058"/>
  <c r="X70" i="1058"/>
  <c r="X89" i="1058" s="1"/>
  <c r="X71" i="1058"/>
  <c r="Y207" i="1060"/>
  <c r="Y95" i="1060"/>
  <c r="M141" i="1058"/>
  <c r="X142" i="1060"/>
  <c r="X143" i="1060" s="1"/>
  <c r="X202" i="1060"/>
  <c r="X90" i="1060"/>
  <c r="X214" i="1060"/>
  <c r="X102" i="1060"/>
  <c r="N177" i="1064"/>
  <c r="AA20" i="1064"/>
  <c r="O20" i="1064"/>
  <c r="Z175" i="1059"/>
  <c r="Z61" i="1059"/>
  <c r="Y205" i="1059"/>
  <c r="Y93" i="1059"/>
  <c r="Y207" i="1064"/>
  <c r="Y95" i="1064"/>
  <c r="Y206" i="1063"/>
  <c r="Y94" i="1063"/>
  <c r="M206" i="1062"/>
  <c r="M94" i="1062"/>
  <c r="M202" i="1062"/>
  <c r="M142" i="1062"/>
  <c r="M143" i="1062" s="1"/>
  <c r="M90" i="1062"/>
  <c r="M89" i="1062"/>
  <c r="L144" i="1058"/>
  <c r="AB167" i="1057"/>
  <c r="AB169" i="1057"/>
  <c r="AB139" i="1057"/>
  <c r="AB217" i="1057"/>
  <c r="AB134" i="1057"/>
  <c r="AB179" i="1057"/>
  <c r="AB132" i="1057"/>
  <c r="AB131" i="1057"/>
  <c r="AB55" i="1057" s="1"/>
  <c r="AB133" i="1057"/>
  <c r="AB168" i="1057"/>
  <c r="AB65" i="1057"/>
  <c r="O179" i="1057"/>
  <c r="Y123" i="1058"/>
  <c r="Y69" i="1058"/>
  <c r="Y53" i="1058"/>
  <c r="Y130" i="1058"/>
  <c r="Y164" i="1058" s="1"/>
  <c r="Y129" i="1058"/>
  <c r="Y163" i="1058" s="1"/>
  <c r="Y125" i="1058"/>
  <c r="Y54" i="1058"/>
  <c r="Y104" i="1058"/>
  <c r="Y216" i="1058"/>
  <c r="Y180" i="1058"/>
  <c r="Y181" i="1058"/>
  <c r="Y67" i="1058"/>
  <c r="Y236" i="1058"/>
  <c r="Y66" i="1058"/>
  <c r="Y179" i="1058"/>
  <c r="Y139" i="1058"/>
  <c r="Y217" i="1058"/>
  <c r="Y65" i="1058"/>
  <c r="Y167" i="1058"/>
  <c r="Y168" i="1058"/>
  <c r="N202" i="1058"/>
  <c r="N90" i="1058"/>
  <c r="O12" i="1064"/>
  <c r="AA12" i="1064"/>
  <c r="N166" i="1064"/>
  <c r="N165" i="1064"/>
  <c r="M202" i="1064"/>
  <c r="M90" i="1064"/>
  <c r="M142" i="1064"/>
  <c r="M143" i="1064" s="1"/>
  <c r="M89" i="1064"/>
  <c r="M208" i="1064"/>
  <c r="M96" i="1064"/>
  <c r="Q173" i="1057"/>
  <c r="R16" i="1057"/>
  <c r="AD16" i="1057"/>
  <c r="Z166" i="1058"/>
  <c r="Z165" i="1058"/>
  <c r="Z169" i="1058" s="1"/>
  <c r="W148" i="1058"/>
  <c r="W145" i="1058"/>
  <c r="W146" i="1058" s="1"/>
  <c r="AA23" i="1060"/>
  <c r="N182" i="1060"/>
  <c r="O23" i="1060"/>
  <c r="AA166" i="1062"/>
  <c r="AA165" i="1062"/>
  <c r="AA169" i="1062" s="1"/>
  <c r="N104" i="1058"/>
  <c r="AA11" i="1058"/>
  <c r="O11" i="1058"/>
  <c r="O108" i="1058" s="1"/>
  <c r="N236" i="1058"/>
  <c r="Z178" i="1064"/>
  <c r="Z64" i="1064"/>
  <c r="Z175" i="1063"/>
  <c r="Z61" i="1063"/>
  <c r="AA208" i="1057"/>
  <c r="AA96" i="1057"/>
  <c r="Z176" i="1059"/>
  <c r="Z62" i="1059"/>
  <c r="Y215" i="1062"/>
  <c r="Y103" i="1062"/>
  <c r="Y184" i="1062"/>
  <c r="Y185" i="1062"/>
  <c r="Y91" i="1059"/>
  <c r="Y203" i="1059"/>
  <c r="AB182" i="1057"/>
  <c r="AB68" i="1057"/>
  <c r="M207" i="1057"/>
  <c r="M95" i="1057"/>
  <c r="M205" i="1057"/>
  <c r="M93" i="1057"/>
  <c r="X141" i="1063"/>
  <c r="W117" i="1064"/>
  <c r="Z166" i="1060"/>
  <c r="Z165" i="1060"/>
  <c r="AB175" i="1061"/>
  <c r="AB61" i="1061"/>
  <c r="D174" i="1064"/>
  <c r="B61" i="1064"/>
  <c r="O121" i="1058"/>
  <c r="O111" i="1058"/>
  <c r="N174" i="1063"/>
  <c r="O17" i="1063"/>
  <c r="AA17" i="1063"/>
  <c r="Y211" i="1063"/>
  <c r="Y99" i="1063"/>
  <c r="O53" i="1063"/>
  <c r="O60" i="1063"/>
  <c r="O57" i="1063"/>
  <c r="AB8" i="1063"/>
  <c r="O59" i="1063"/>
  <c r="O67" i="1063"/>
  <c r="O56" i="1063"/>
  <c r="P8" i="1063"/>
  <c r="O68" i="1063"/>
  <c r="N60" i="1063"/>
  <c r="M221" i="1063"/>
  <c r="M109" i="1063"/>
  <c r="X196" i="1064"/>
  <c r="X197" i="1064"/>
  <c r="X198" i="1064"/>
  <c r="O217" i="1059"/>
  <c r="O169" i="1059"/>
  <c r="O139" i="1059"/>
  <c r="O168" i="1059"/>
  <c r="O179" i="1059"/>
  <c r="O131" i="1059"/>
  <c r="O55" i="1059" s="1"/>
  <c r="O132" i="1059"/>
  <c r="P4" i="1059"/>
  <c r="O133" i="1059"/>
  <c r="AB4" i="1059"/>
  <c r="O167" i="1059"/>
  <c r="O134" i="1059"/>
  <c r="N167" i="1059"/>
  <c r="D230" i="1063"/>
  <c r="B119" i="1063"/>
  <c r="L148" i="1061"/>
  <c r="L147" i="1061"/>
  <c r="L145" i="1061"/>
  <c r="L144" i="1061" s="1"/>
  <c r="N64" i="1060"/>
  <c r="N204" i="1060"/>
  <c r="N92" i="1060"/>
  <c r="N53" i="1060"/>
  <c r="K225" i="1063"/>
  <c r="K113" i="1063"/>
  <c r="K114" i="1063" s="1"/>
  <c r="Q50" i="1060"/>
  <c r="AC50" i="1060"/>
  <c r="N63" i="1059"/>
  <c r="N207" i="1059"/>
  <c r="N95" i="1059"/>
  <c r="N66" i="1059"/>
  <c r="L219" i="1063"/>
  <c r="L106" i="1063"/>
  <c r="L110" i="1063" s="1"/>
  <c r="Y211" i="1058"/>
  <c r="Y99" i="1058"/>
  <c r="R51" i="1061"/>
  <c r="AE51" i="1061" s="1"/>
  <c r="AD51" i="1061"/>
  <c r="V120" i="1063"/>
  <c r="V119" i="1063"/>
  <c r="Z55" i="1062"/>
  <c r="X141" i="1060"/>
  <c r="Y208" i="1058"/>
  <c r="Y96" i="1058"/>
  <c r="M210" i="1061"/>
  <c r="M98" i="1061"/>
  <c r="M89" i="1061"/>
  <c r="M202" i="1061"/>
  <c r="M142" i="1061"/>
  <c r="M143" i="1061" s="1"/>
  <c r="M90" i="1061"/>
  <c r="M117" i="1061"/>
  <c r="J119" i="1062"/>
  <c r="J122" i="1062" s="1"/>
  <c r="J120" i="1062"/>
  <c r="J127" i="1062"/>
  <c r="Z172" i="1058"/>
  <c r="Z58" i="1058"/>
  <c r="X209" i="1064"/>
  <c r="X97" i="1064"/>
  <c r="X208" i="1058"/>
  <c r="X96" i="1058"/>
  <c r="Y130" i="1063"/>
  <c r="Y164" i="1063" s="1"/>
  <c r="Y125" i="1063"/>
  <c r="Y123" i="1063"/>
  <c r="Y54" i="1063"/>
  <c r="Y53" i="1063"/>
  <c r="Y69" i="1063"/>
  <c r="Y129" i="1063"/>
  <c r="Y163" i="1063" s="1"/>
  <c r="Y216" i="1063"/>
  <c r="Y104" i="1063"/>
  <c r="Y181" i="1063"/>
  <c r="Y180" i="1063"/>
  <c r="Y236" i="1063"/>
  <c r="Y67" i="1063"/>
  <c r="Y66" i="1063"/>
  <c r="Y178" i="1063"/>
  <c r="Y64" i="1063"/>
  <c r="Y212" i="1059"/>
  <c r="Y100" i="1059"/>
  <c r="AB50" i="1064"/>
  <c r="P50" i="1064"/>
  <c r="N217" i="1064"/>
  <c r="N131" i="1064"/>
  <c r="N55" i="1064" s="1"/>
  <c r="N167" i="1064"/>
  <c r="N133" i="1064"/>
  <c r="N179" i="1064"/>
  <c r="N169" i="1064"/>
  <c r="N134" i="1064"/>
  <c r="N132" i="1064"/>
  <c r="N168" i="1064"/>
  <c r="N139" i="1064"/>
  <c r="O4" i="1064"/>
  <c r="AA4" i="1064"/>
  <c r="O181" i="1061"/>
  <c r="O125" i="1061"/>
  <c r="O180" i="1061"/>
  <c r="O130" i="1061" a="1"/>
  <c r="O130" i="1061" s="1"/>
  <c r="O164" i="1061" s="1"/>
  <c r="P10" i="1061"/>
  <c r="P217" i="1061" s="1"/>
  <c r="O129" i="1061"/>
  <c r="O163" i="1061" s="1"/>
  <c r="O123" i="1061"/>
  <c r="O216" i="1061" a="1"/>
  <c r="O216" i="1061" s="1"/>
  <c r="AA129" i="1061"/>
  <c r="AA163" i="1061" s="1"/>
  <c r="AA123" i="1061"/>
  <c r="AA69" i="1061"/>
  <c r="AA54" i="1061"/>
  <c r="AA130" i="1061"/>
  <c r="AA164" i="1061" s="1"/>
  <c r="AA125" i="1061"/>
  <c r="AA53" i="1061"/>
  <c r="AA216" i="1061"/>
  <c r="AA104" i="1061"/>
  <c r="AA66" i="1061"/>
  <c r="AA181" i="1061"/>
  <c r="AA180" i="1061"/>
  <c r="AA67" i="1061"/>
  <c r="AA236" i="1061"/>
  <c r="Y98" i="1058"/>
  <c r="Y210" i="1058"/>
  <c r="N130" i="1063" a="1"/>
  <c r="N130" i="1063" s="1"/>
  <c r="N164" i="1063" s="1"/>
  <c r="N129" i="1063"/>
  <c r="N163" i="1063" s="1"/>
  <c r="N123" i="1063"/>
  <c r="N125" i="1063"/>
  <c r="O10" i="1063"/>
  <c r="N216" i="1063" a="1"/>
  <c r="N216" i="1063" s="1"/>
  <c r="N181" i="1063"/>
  <c r="N180" i="1063"/>
  <c r="X208" i="1060"/>
  <c r="X96" i="1060"/>
  <c r="Z174" i="1062"/>
  <c r="Z60" i="1062"/>
  <c r="AA16" i="1062"/>
  <c r="N173" i="1062"/>
  <c r="O16" i="1062"/>
  <c r="T225" i="1057"/>
  <c r="T113" i="1057"/>
  <c r="T114" i="1057" s="1"/>
  <c r="T115" i="1057" s="1"/>
  <c r="T116" i="1057" s="1"/>
  <c r="T126" i="1057" s="1"/>
  <c r="X212" i="1063"/>
  <c r="X100" i="1063"/>
  <c r="X214" i="1063"/>
  <c r="X102" i="1063"/>
  <c r="AB176" i="1057"/>
  <c r="AB62" i="1057"/>
  <c r="Z173" i="1064"/>
  <c r="Z59" i="1064"/>
  <c r="M221" i="1060"/>
  <c r="M109" i="1060"/>
  <c r="M70" i="1060"/>
  <c r="M117" i="1060"/>
  <c r="O177" i="1057"/>
  <c r="O181" i="1062"/>
  <c r="O180" i="1062"/>
  <c r="O129" i="1062"/>
  <c r="O163" i="1062" s="1"/>
  <c r="O123" i="1062"/>
  <c r="O125" i="1062"/>
  <c r="P10" i="1062"/>
  <c r="P178" i="1062" s="1"/>
  <c r="O130" i="1062" a="1"/>
  <c r="O130" i="1062" s="1"/>
  <c r="O164" i="1062" s="1"/>
  <c r="O216" i="1062" a="1"/>
  <c r="O216" i="1062" s="1"/>
  <c r="O22" i="1063"/>
  <c r="AA22" i="1063"/>
  <c r="N176" i="1058"/>
  <c r="AA19" i="1058"/>
  <c r="O19" i="1058"/>
  <c r="O62" i="1058" s="1"/>
  <c r="X210" i="1060"/>
  <c r="X98" i="1060"/>
  <c r="X70" i="1060"/>
  <c r="X71" i="1060"/>
  <c r="X210" i="1062"/>
  <c r="X98" i="1062"/>
  <c r="Z177" i="1064"/>
  <c r="Z63" i="1064"/>
  <c r="AA171" i="1062"/>
  <c r="AA57" i="1062"/>
  <c r="Y206" i="1060"/>
  <c r="Y94" i="1060"/>
  <c r="M210" i="1062"/>
  <c r="M98" i="1062"/>
  <c r="M211" i="1062"/>
  <c r="M99" i="1062"/>
  <c r="M140" i="1062"/>
  <c r="AC15" i="1061"/>
  <c r="Q15" i="1061"/>
  <c r="P172" i="1061"/>
  <c r="O217" i="1057"/>
  <c r="R49" i="1061"/>
  <c r="AE49" i="1061" s="1"/>
  <c r="AD49" i="1061"/>
  <c r="Y140" i="1059"/>
  <c r="L141" i="1060"/>
  <c r="Z165" i="1064"/>
  <c r="Z169" i="1064" s="1"/>
  <c r="Z166" i="1064"/>
  <c r="N108" i="1064"/>
  <c r="N67" i="1064"/>
  <c r="N60" i="1064"/>
  <c r="N57" i="1064"/>
  <c r="N69" i="1064"/>
  <c r="N68" i="1064"/>
  <c r="N54" i="1064"/>
  <c r="AA8" i="1064"/>
  <c r="N64" i="1064"/>
  <c r="N59" i="1064"/>
  <c r="N56" i="1064"/>
  <c r="N53" i="1064"/>
  <c r="N66" i="1064"/>
  <c r="N65" i="1064"/>
  <c r="N63" i="1064"/>
  <c r="N62" i="1064"/>
  <c r="O8" i="1064"/>
  <c r="N61" i="1064"/>
  <c r="N58" i="1064"/>
  <c r="M203" i="1064"/>
  <c r="M91" i="1064"/>
  <c r="M206" i="1064"/>
  <c r="M94" i="1064"/>
  <c r="Y209" i="1062"/>
  <c r="Y97" i="1062"/>
  <c r="W219" i="1058"/>
  <c r="W106" i="1058"/>
  <c r="W110" i="1058" s="1"/>
  <c r="W89" i="1058"/>
  <c r="W117" i="1058"/>
  <c r="W127" i="1058" s="1"/>
  <c r="AA205" i="1057"/>
  <c r="AA93" i="1057"/>
  <c r="M211" i="1063"/>
  <c r="M99" i="1063"/>
  <c r="M140" i="1063"/>
  <c r="Z10" i="1058"/>
  <c r="Z174" i="1058" s="1"/>
  <c r="M149" i="1058"/>
  <c r="N175" i="1063"/>
  <c r="O18" i="1063"/>
  <c r="O61" i="1063" s="1"/>
  <c r="AA18" i="1063"/>
  <c r="AA210" i="1061"/>
  <c r="AA98" i="1061"/>
  <c r="V114" i="1063"/>
  <c r="V115" i="1063" s="1"/>
  <c r="V116" i="1063" s="1"/>
  <c r="V126" i="1063" s="1"/>
  <c r="M212" i="1057"/>
  <c r="M100" i="1057"/>
  <c r="M209" i="1057"/>
  <c r="M97" i="1057"/>
  <c r="W89" i="1064"/>
  <c r="Y114" i="1061"/>
  <c r="Y115" i="1061" s="1"/>
  <c r="Y116" i="1061" s="1"/>
  <c r="Y113" i="1061"/>
  <c r="Y225" i="1061" s="1"/>
  <c r="Y197" i="1059"/>
  <c r="Y196" i="1059"/>
  <c r="Y198" i="1059"/>
  <c r="K127" i="1064"/>
  <c r="S127" i="1064" s="1"/>
  <c r="K120" i="1057"/>
  <c r="K119" i="1057"/>
  <c r="L141" i="1064"/>
  <c r="L148" i="1064" s="1"/>
  <c r="L146" i="1064"/>
  <c r="P174" i="1057"/>
  <c r="Q17" i="1057"/>
  <c r="AC17" i="1057"/>
  <c r="N132" i="1058"/>
  <c r="O196" i="1058"/>
  <c r="O198" i="1058"/>
  <c r="O197" i="1058"/>
  <c r="Z208" i="1061"/>
  <c r="Z96" i="1061"/>
  <c r="N202" i="1063"/>
  <c r="N90" i="1063"/>
  <c r="N213" i="1063"/>
  <c r="N101" i="1063"/>
  <c r="V113" i="1064"/>
  <c r="V225" i="1064" s="1"/>
  <c r="Y209" i="1064"/>
  <c r="Y97" i="1064"/>
  <c r="N221" i="1064"/>
  <c r="N109" i="1064"/>
  <c r="S127" i="1062"/>
  <c r="AF127" i="1062"/>
  <c r="K127" i="1057"/>
  <c r="M112" i="1057"/>
  <c r="N217" i="1059"/>
  <c r="W113" i="1063"/>
  <c r="W225" i="1063" s="1"/>
  <c r="N68" i="1060"/>
  <c r="N94" i="1060"/>
  <c r="N206" i="1060"/>
  <c r="AC51" i="1064"/>
  <c r="Q51" i="1064"/>
  <c r="Y94" i="1058"/>
  <c r="Y206" i="1058"/>
  <c r="Y215" i="1058"/>
  <c r="Y103" i="1058"/>
  <c r="Y185" i="1058"/>
  <c r="Y184" i="1058"/>
  <c r="N215" i="1059"/>
  <c r="N103" i="1059"/>
  <c r="N184" i="1059"/>
  <c r="N185" i="1059"/>
  <c r="N108" i="1059"/>
  <c r="Z179" i="1060"/>
  <c r="Z168" i="1060"/>
  <c r="Z133" i="1060"/>
  <c r="Z217" i="1060"/>
  <c r="Z132" i="1060"/>
  <c r="Z169" i="1060"/>
  <c r="Z139" i="1060"/>
  <c r="Z65" i="1060"/>
  <c r="Z131" i="1060"/>
  <c r="Z167" i="1060"/>
  <c r="Z134" i="1060"/>
  <c r="D174" i="1057"/>
  <c r="B61" i="1057"/>
  <c r="Z131" i="1058"/>
  <c r="M102" i="1061"/>
  <c r="M214" i="1061"/>
  <c r="M211" i="1061"/>
  <c r="M99" i="1061"/>
  <c r="M140" i="1061"/>
  <c r="L219" i="1058"/>
  <c r="L106" i="1058"/>
  <c r="L110" i="1058" s="1"/>
  <c r="L219" i="1057"/>
  <c r="L106" i="1057"/>
  <c r="W112" i="1064"/>
  <c r="X140" i="1058"/>
  <c r="N177" i="1058"/>
  <c r="AA20" i="1058"/>
  <c r="O20" i="1058"/>
  <c r="O63" i="1058" s="1"/>
  <c r="K110" i="1060"/>
  <c r="AA71" i="1057"/>
  <c r="AA70" i="1057"/>
  <c r="J120" i="1063"/>
  <c r="J119" i="1063"/>
  <c r="J127" i="1063"/>
  <c r="W110" i="1063"/>
  <c r="Z217" i="1064"/>
  <c r="Z134" i="1064"/>
  <c r="Z179" i="1064"/>
  <c r="Z139" i="1064"/>
  <c r="Z131" i="1064"/>
  <c r="Z167" i="1064"/>
  <c r="Z168" i="1064"/>
  <c r="Z133" i="1064"/>
  <c r="Z132" i="1064"/>
  <c r="Z65" i="1064"/>
  <c r="Z70" i="1057"/>
  <c r="Z112" i="1057" s="1"/>
  <c r="AA212" i="1057"/>
  <c r="AA100" i="1057"/>
  <c r="Q157" i="1057"/>
  <c r="L148" i="1057"/>
  <c r="L145" i="1057"/>
  <c r="L146" i="1057" s="1"/>
  <c r="L144" i="1057"/>
  <c r="Z111" i="1061"/>
  <c r="Z112" i="1061" s="1"/>
  <c r="Z121" i="1061"/>
  <c r="G126" i="1060"/>
  <c r="X210" i="1064"/>
  <c r="X98" i="1064"/>
  <c r="Z173" i="1062"/>
  <c r="Z59" i="1062"/>
  <c r="Q51" i="1062"/>
  <c r="AC51" i="1062"/>
  <c r="X71" i="1063"/>
  <c r="X70" i="1063"/>
  <c r="X117" i="1063" s="1"/>
  <c r="Z212" i="1059"/>
  <c r="Z100" i="1059"/>
  <c r="O176" i="1057"/>
  <c r="Z172" i="1063"/>
  <c r="Z58" i="1063"/>
  <c r="P182" i="1061"/>
  <c r="AC23" i="1061"/>
  <c r="Q23" i="1061"/>
  <c r="AA15" i="1060"/>
  <c r="N172" i="1060"/>
  <c r="O15" i="1060"/>
  <c r="X213" i="1058"/>
  <c r="X101" i="1058"/>
  <c r="X121" i="1058"/>
  <c r="X111" i="1058"/>
  <c r="X112" i="1058" s="1"/>
  <c r="X212" i="1064"/>
  <c r="X100" i="1064"/>
  <c r="N121" i="1062"/>
  <c r="N111" i="1062"/>
  <c r="Z172" i="1059"/>
  <c r="Z58" i="1059"/>
  <c r="Z176" i="1058"/>
  <c r="Z62" i="1058"/>
  <c r="X121" i="1060"/>
  <c r="X111" i="1060"/>
  <c r="X142" i="1062"/>
  <c r="X143" i="1062" s="1"/>
  <c r="X202" i="1062"/>
  <c r="X89" i="1062"/>
  <c r="X90" i="1062"/>
  <c r="X117" i="1062"/>
  <c r="P175" i="1057"/>
  <c r="Q18" i="1057"/>
  <c r="AC18" i="1057"/>
  <c r="N175" i="1059"/>
  <c r="AA18" i="1059"/>
  <c r="O18" i="1059"/>
  <c r="AB207" i="1057"/>
  <c r="AB95" i="1057"/>
  <c r="V127" i="1063"/>
  <c r="AA215" i="1061"/>
  <c r="AA103" i="1061"/>
  <c r="AA185" i="1061"/>
  <c r="AA184" i="1061"/>
  <c r="M214" i="1062"/>
  <c r="M102" i="1062"/>
  <c r="M204" i="1062"/>
  <c r="M92" i="1062"/>
  <c r="AB58" i="1061"/>
  <c r="AB172" i="1061"/>
  <c r="O167" i="1057"/>
  <c r="AC12" i="1061"/>
  <c r="Q12" i="1061"/>
  <c r="P165" i="1061"/>
  <c r="P169" i="1061" s="1"/>
  <c r="P166" i="1061"/>
  <c r="N56" i="1058"/>
  <c r="N140" i="1058" s="1"/>
  <c r="M221" i="1059"/>
  <c r="M109" i="1059"/>
  <c r="M70" i="1059"/>
  <c r="M117" i="1059" s="1"/>
  <c r="M204" i="1064"/>
  <c r="M92" i="1064"/>
  <c r="M210" i="1064"/>
  <c r="M98" i="1064"/>
  <c r="M94" i="1060"/>
  <c r="M206" i="1060"/>
  <c r="Z182" i="1062"/>
  <c r="Z68" i="1062"/>
  <c r="AA49" i="1063"/>
  <c r="O49" i="1063"/>
  <c r="AA206" i="1061"/>
  <c r="AA94" i="1061"/>
  <c r="Z68" i="1060"/>
  <c r="Z182" i="1060"/>
  <c r="AA51" i="1063"/>
  <c r="O51" i="1063"/>
  <c r="O49" i="1064"/>
  <c r="AA49" i="1064"/>
  <c r="AA20" i="1060"/>
  <c r="N177" i="1060"/>
  <c r="O20" i="1060"/>
  <c r="AA19" i="1059"/>
  <c r="O19" i="1059"/>
  <c r="O62" i="1059" s="1"/>
  <c r="N176" i="1059"/>
  <c r="M214" i="1057"/>
  <c r="M102" i="1057"/>
  <c r="M103" i="1057"/>
  <c r="M215" i="1057"/>
  <c r="M185" i="1057"/>
  <c r="M184" i="1057"/>
  <c r="W110" i="1064"/>
  <c r="AC204" i="1057"/>
  <c r="AC92" i="1057"/>
  <c r="Y214" i="1059"/>
  <c r="Y102" i="1059"/>
  <c r="Y142" i="1059"/>
  <c r="Y143" i="1059" s="1"/>
  <c r="Y202" i="1059"/>
  <c r="Y89" i="1059"/>
  <c r="Y90" i="1059"/>
  <c r="Y117" i="1059"/>
  <c r="Q50" i="1057"/>
  <c r="AC50" i="1057"/>
  <c r="N172" i="1064"/>
  <c r="AA15" i="1064"/>
  <c r="O15" i="1064"/>
  <c r="X211" i="1064"/>
  <c r="X99" i="1064"/>
  <c r="X140" i="1064"/>
  <c r="AC17" i="1061"/>
  <c r="Q17" i="1061"/>
  <c r="P174" i="1061"/>
  <c r="D230" i="1058"/>
  <c r="B119" i="1058"/>
  <c r="M121" i="1059"/>
  <c r="M111" i="1059"/>
  <c r="M112" i="1059" s="1"/>
  <c r="G115" i="1063"/>
  <c r="G116" i="1063" s="1"/>
  <c r="W146" i="1063"/>
  <c r="W141" i="1063"/>
  <c r="W148" i="1063" s="1"/>
  <c r="N206" i="1063"/>
  <c r="N94" i="1063"/>
  <c r="N93" i="1063"/>
  <c r="N205" i="1063"/>
  <c r="N214" i="1063"/>
  <c r="N102" i="1063"/>
  <c r="D174" i="1063"/>
  <c r="B61" i="1063"/>
  <c r="Y206" i="1064"/>
  <c r="Y94" i="1064"/>
  <c r="R157" i="1064"/>
  <c r="Y203" i="1060"/>
  <c r="Y91" i="1060"/>
  <c r="AA208" i="1061"/>
  <c r="AA96" i="1061"/>
  <c r="N60" i="1060"/>
  <c r="X147" i="1057"/>
  <c r="X148" i="1057" s="1"/>
  <c r="AC21" i="1061"/>
  <c r="Q21" i="1061"/>
  <c r="P178" i="1061"/>
  <c r="N64" i="1059"/>
  <c r="N69" i="1059"/>
  <c r="G114" i="1064"/>
  <c r="Y219" i="1061"/>
  <c r="Y106" i="1061"/>
  <c r="Y110" i="1061" s="1"/>
  <c r="X208" i="1064"/>
  <c r="X96" i="1064"/>
  <c r="N169" i="1060"/>
  <c r="N139" i="1060"/>
  <c r="N217" i="1060"/>
  <c r="N179" i="1060"/>
  <c r="N168" i="1060"/>
  <c r="N132" i="1060"/>
  <c r="AA4" i="1060"/>
  <c r="N134" i="1060"/>
  <c r="N131" i="1060"/>
  <c r="N55" i="1060" s="1"/>
  <c r="N133" i="1060"/>
  <c r="N167" i="1060"/>
  <c r="O4" i="1060"/>
  <c r="Z133" i="1058"/>
  <c r="M203" i="1061"/>
  <c r="M91" i="1061"/>
  <c r="M213" i="1061"/>
  <c r="M101" i="1061"/>
  <c r="O174" i="1059"/>
  <c r="AB17" i="1059"/>
  <c r="P17" i="1059"/>
  <c r="Y55" i="1064"/>
  <c r="K126" i="1058"/>
  <c r="Y113" i="1057"/>
  <c r="Y225" i="1057" s="1"/>
  <c r="AA204" i="1063"/>
  <c r="AA92" i="1063"/>
  <c r="Z177" i="1058"/>
  <c r="Z63" i="1058"/>
  <c r="O11" i="1064"/>
  <c r="AA11" i="1064"/>
  <c r="N104" i="1064"/>
  <c r="N236" i="1064"/>
  <c r="Q157" i="1058"/>
  <c r="AA182" i="1063"/>
  <c r="AA68" i="1063"/>
  <c r="G225" i="1057"/>
  <c r="G113" i="1057"/>
  <c r="X117" i="1059"/>
  <c r="Y207" i="1058"/>
  <c r="Y95" i="1058"/>
  <c r="S127" i="1057"/>
  <c r="AF127" i="1057"/>
  <c r="Z196" i="1061"/>
  <c r="Z197" i="1061"/>
  <c r="Z198" i="1061"/>
  <c r="Z129" i="1059"/>
  <c r="Z163" i="1059" s="1"/>
  <c r="Z123" i="1059"/>
  <c r="Z130" i="1059"/>
  <c r="Z164" i="1059" s="1"/>
  <c r="Z69" i="1059"/>
  <c r="Z54" i="1059"/>
  <c r="Z125" i="1059"/>
  <c r="Z53" i="1059"/>
  <c r="Z104" i="1059"/>
  <c r="Z216" i="1059"/>
  <c r="Z66" i="1059"/>
  <c r="Z181" i="1059"/>
  <c r="Z180" i="1059"/>
  <c r="Z67" i="1059"/>
  <c r="Z236" i="1059"/>
  <c r="AC157" i="1058"/>
  <c r="Y60" i="1064"/>
  <c r="N121" i="1064"/>
  <c r="N111" i="1064"/>
  <c r="K225" i="1060"/>
  <c r="K113" i="1060"/>
  <c r="Z178" i="1059"/>
  <c r="Z117" i="1057"/>
  <c r="U122" i="1062"/>
  <c r="N171" i="1058"/>
  <c r="AA14" i="1058"/>
  <c r="O14" i="1058"/>
  <c r="O15" i="1063"/>
  <c r="N172" i="1063"/>
  <c r="AA15" i="1063"/>
  <c r="AB182" i="1061"/>
  <c r="AB68" i="1061"/>
  <c r="Z58" i="1060"/>
  <c r="Z172" i="1060"/>
  <c r="X102" i="1058"/>
  <c r="X214" i="1058"/>
  <c r="X197" i="1058"/>
  <c r="X198" i="1058"/>
  <c r="X196" i="1058"/>
  <c r="N171" i="1064"/>
  <c r="O14" i="1064"/>
  <c r="AA14" i="1064"/>
  <c r="N197" i="1062"/>
  <c r="N196" i="1062"/>
  <c r="N198" i="1062"/>
  <c r="V127" i="1064"/>
  <c r="X212" i="1060"/>
  <c r="X100" i="1060"/>
  <c r="X211" i="1062"/>
  <c r="X99" i="1062"/>
  <c r="X140" i="1062"/>
  <c r="X214" i="1062"/>
  <c r="X102" i="1062"/>
  <c r="X111" i="1062"/>
  <c r="X112" i="1062" s="1"/>
  <c r="X121" i="1062"/>
  <c r="N175" i="1062"/>
  <c r="AA18" i="1062"/>
  <c r="O18" i="1062"/>
  <c r="AB61" i="1057"/>
  <c r="AB175" i="1057"/>
  <c r="L70" i="1060"/>
  <c r="N108" i="1062"/>
  <c r="N66" i="1062"/>
  <c r="N60" i="1062"/>
  <c r="N56" i="1062"/>
  <c r="N63" i="1062"/>
  <c r="N53" i="1062"/>
  <c r="N61" i="1062"/>
  <c r="N57" i="1062"/>
  <c r="N64" i="1062"/>
  <c r="N59" i="1062"/>
  <c r="N54" i="1062"/>
  <c r="AA8" i="1062"/>
  <c r="O8" i="1062"/>
  <c r="N67" i="1062"/>
  <c r="N62" i="1062"/>
  <c r="N69" i="1062"/>
  <c r="N65" i="1062"/>
  <c r="N58" i="1062"/>
  <c r="N55" i="1062"/>
  <c r="N68" i="1062"/>
  <c r="M208" i="1062"/>
  <c r="M96" i="1062"/>
  <c r="L147" i="1058"/>
  <c r="O139" i="1057"/>
  <c r="AB166" i="1061"/>
  <c r="AB165" i="1061"/>
  <c r="AB169" i="1061" s="1"/>
  <c r="Y206" i="1059"/>
  <c r="Y94" i="1059"/>
  <c r="Y89" i="1061"/>
  <c r="Y126" i="1061" s="1"/>
  <c r="W112" i="1058"/>
  <c r="N68" i="1058"/>
  <c r="N60" i="1058"/>
  <c r="V122" i="1059"/>
  <c r="L219" i="1064"/>
  <c r="L106" i="1064"/>
  <c r="L110" i="1064" s="1"/>
  <c r="W122" i="1061"/>
  <c r="K120" i="1056"/>
  <c r="K119" i="1056"/>
  <c r="K127" i="1056"/>
  <c r="S127" i="1056" s="1"/>
  <c r="Y211" i="1053"/>
  <c r="Y99" i="1053"/>
  <c r="Y208" i="1054"/>
  <c r="Y96" i="1054"/>
  <c r="M203" i="1056"/>
  <c r="M91" i="1056"/>
  <c r="N208" i="1055"/>
  <c r="N96" i="1055"/>
  <c r="N205" i="1055"/>
  <c r="N93" i="1055"/>
  <c r="M145" i="1054"/>
  <c r="J120" i="1055"/>
  <c r="J119" i="1055"/>
  <c r="J127" i="1055"/>
  <c r="N207" i="1054"/>
  <c r="N95" i="1054"/>
  <c r="N209" i="1054"/>
  <c r="N97" i="1054"/>
  <c r="N211" i="1054"/>
  <c r="N99" i="1054"/>
  <c r="K225" i="1054"/>
  <c r="K114" i="1054"/>
  <c r="K115" i="1054" s="1"/>
  <c r="K116" i="1054" s="1"/>
  <c r="K113" i="1054"/>
  <c r="W147" i="1052"/>
  <c r="J144" i="1052"/>
  <c r="V122" i="1052"/>
  <c r="Z171" i="1054"/>
  <c r="Z57" i="1054"/>
  <c r="Z174" i="1056"/>
  <c r="Z60" i="1056"/>
  <c r="W219" i="1056"/>
  <c r="W106" i="1056"/>
  <c r="W110" i="1056" s="1"/>
  <c r="W127" i="1056" s="1"/>
  <c r="W112" i="1056"/>
  <c r="W113" i="1055"/>
  <c r="W225" i="1055" s="1"/>
  <c r="X208" i="1055"/>
  <c r="X96" i="1055"/>
  <c r="AB49" i="1054"/>
  <c r="P49" i="1054"/>
  <c r="Z10" i="1054"/>
  <c r="M149" i="1054"/>
  <c r="O171" i="1053"/>
  <c r="AB14" i="1053"/>
  <c r="P14" i="1053"/>
  <c r="O88" i="1056" a="1"/>
  <c r="O88" i="1056" s="1"/>
  <c r="P9" i="1056"/>
  <c r="AB9" i="1056"/>
  <c r="AB88" i="1056" s="1"/>
  <c r="AB109" i="1056" s="1"/>
  <c r="Q22" i="1054"/>
  <c r="AC22" i="1054"/>
  <c r="W145" i="1055"/>
  <c r="W144" i="1055" s="1"/>
  <c r="Y95" i="1054"/>
  <c r="Y207" i="1054"/>
  <c r="AA12" i="1054"/>
  <c r="O12" i="1054"/>
  <c r="N166" i="1054"/>
  <c r="N165" i="1054"/>
  <c r="N169" i="1054" s="1"/>
  <c r="N172" i="1055"/>
  <c r="O15" i="1055"/>
  <c r="AA15" i="1055"/>
  <c r="M111" i="1056"/>
  <c r="M121" i="1056"/>
  <c r="P123" i="1054"/>
  <c r="P125" i="1054"/>
  <c r="Q10" i="1054"/>
  <c r="P130" i="1054" a="1"/>
  <c r="P130" i="1054" s="1"/>
  <c r="P164" i="1054" s="1"/>
  <c r="P129" i="1054"/>
  <c r="P163" i="1054" s="1"/>
  <c r="P216" i="1054" a="1"/>
  <c r="P216" i="1054" s="1"/>
  <c r="P181" i="1054"/>
  <c r="P180" i="1054"/>
  <c r="W113" i="1054"/>
  <c r="W225" i="1054" s="1"/>
  <c r="W114" i="1054"/>
  <c r="W115" i="1054" s="1"/>
  <c r="W116" i="1054" s="1"/>
  <c r="N177" i="1055"/>
  <c r="AA20" i="1055"/>
  <c r="O20" i="1055"/>
  <c r="D231" i="1055"/>
  <c r="B120" i="1055"/>
  <c r="Y206" i="1055"/>
  <c r="Y94" i="1055"/>
  <c r="AB4" i="1053"/>
  <c r="P4" i="1053"/>
  <c r="Y207" i="1056"/>
  <c r="Y95" i="1056"/>
  <c r="Y207" i="1053"/>
  <c r="Y95" i="1053"/>
  <c r="W219" i="1054"/>
  <c r="W106" i="1054"/>
  <c r="X70" i="1054"/>
  <c r="X89" i="1054" s="1"/>
  <c r="X71" i="1054"/>
  <c r="M208" i="1053"/>
  <c r="M96" i="1053"/>
  <c r="M210" i="1053"/>
  <c r="M98" i="1053"/>
  <c r="Z175" i="1054"/>
  <c r="Z61" i="1054"/>
  <c r="Z176" i="1054"/>
  <c r="Z62" i="1054"/>
  <c r="AA50" i="1053"/>
  <c r="O50" i="1053"/>
  <c r="Y203" i="1055"/>
  <c r="Y91" i="1055"/>
  <c r="P51" i="1056"/>
  <c r="AB51" i="1056"/>
  <c r="Y205" i="1055"/>
  <c r="Y93" i="1055"/>
  <c r="Y202" i="1056"/>
  <c r="Y142" i="1056"/>
  <c r="Y143" i="1056" s="1"/>
  <c r="Y90" i="1056"/>
  <c r="N217" i="1055"/>
  <c r="N179" i="1055"/>
  <c r="N168" i="1055"/>
  <c r="N167" i="1055"/>
  <c r="N139" i="1055"/>
  <c r="N134" i="1055"/>
  <c r="N131" i="1055"/>
  <c r="N133" i="1055"/>
  <c r="N132" i="1055"/>
  <c r="AA4" i="1055"/>
  <c r="O4" i="1055"/>
  <c r="L219" i="1056"/>
  <c r="L106" i="1056"/>
  <c r="N172" i="1053"/>
  <c r="O15" i="1053"/>
  <c r="AA15" i="1053"/>
  <c r="X211" i="1054"/>
  <c r="X99" i="1054"/>
  <c r="X140" i="1054"/>
  <c r="Y179" i="1054"/>
  <c r="W117" i="1054"/>
  <c r="D174" i="1056"/>
  <c r="B61" i="1056"/>
  <c r="P129" i="1055"/>
  <c r="P163" i="1055" s="1"/>
  <c r="P123" i="1055"/>
  <c r="P130" i="1055" a="1"/>
  <c r="P130" i="1055" s="1"/>
  <c r="P164" i="1055" s="1"/>
  <c r="P125" i="1055"/>
  <c r="Q10" i="1055"/>
  <c r="P216" i="1055" a="1"/>
  <c r="P216" i="1055" s="1"/>
  <c r="P181" i="1055"/>
  <c r="P180" i="1055"/>
  <c r="W219" i="1053"/>
  <c r="W106" i="1053"/>
  <c r="M209" i="1056"/>
  <c r="M97" i="1056"/>
  <c r="L112" i="1053"/>
  <c r="X210" i="1053"/>
  <c r="X98" i="1053"/>
  <c r="O13" i="1055"/>
  <c r="AA13" i="1055"/>
  <c r="AA56" i="1055" s="1"/>
  <c r="N212" i="1055"/>
  <c r="N100" i="1055"/>
  <c r="X121" i="1055"/>
  <c r="X111" i="1055"/>
  <c r="D231" i="1053"/>
  <c r="B120" i="1053"/>
  <c r="N214" i="1054"/>
  <c r="N102" i="1054"/>
  <c r="X203" i="1056"/>
  <c r="X91" i="1056"/>
  <c r="X142" i="1056"/>
  <c r="X143" i="1056" s="1"/>
  <c r="W144" i="1052"/>
  <c r="N171" i="1054"/>
  <c r="AA14" i="1054"/>
  <c r="O14" i="1054"/>
  <c r="V114" i="1054"/>
  <c r="V115" i="1054" s="1"/>
  <c r="V116" i="1054" s="1"/>
  <c r="V126" i="1054" s="1"/>
  <c r="W145" i="1056"/>
  <c r="W146" i="1056" s="1"/>
  <c r="W148" i="1056"/>
  <c r="N171" i="1056"/>
  <c r="AA14" i="1056"/>
  <c r="O14" i="1056"/>
  <c r="N217" i="1054"/>
  <c r="N179" i="1054"/>
  <c r="N168" i="1054"/>
  <c r="N132" i="1054"/>
  <c r="N134" i="1054"/>
  <c r="N131" i="1054"/>
  <c r="N55" i="1054" s="1"/>
  <c r="N133" i="1054"/>
  <c r="N139" i="1054"/>
  <c r="AA4" i="1054"/>
  <c r="N167" i="1054"/>
  <c r="O4" i="1054"/>
  <c r="AA11" i="1054"/>
  <c r="O11" i="1054"/>
  <c r="N104" i="1054"/>
  <c r="N236" i="1054"/>
  <c r="W145" i="1053"/>
  <c r="W147" i="1053" s="1"/>
  <c r="Y211" i="1055"/>
  <c r="Y99" i="1055"/>
  <c r="O22" i="1053"/>
  <c r="AA22" i="1053"/>
  <c r="O18" i="1053"/>
  <c r="N175" i="1053"/>
  <c r="AA18" i="1053"/>
  <c r="Z125" i="1056"/>
  <c r="Z130" i="1056"/>
  <c r="Z164" i="1056" s="1"/>
  <c r="Z123" i="1056"/>
  <c r="Z129" i="1056"/>
  <c r="Z163" i="1056" s="1"/>
  <c r="Z69" i="1056"/>
  <c r="Z54" i="1056"/>
  <c r="Z53" i="1056"/>
  <c r="Z216" i="1056"/>
  <c r="Z104" i="1056"/>
  <c r="Z181" i="1056"/>
  <c r="Z67" i="1056"/>
  <c r="Z66" i="1056"/>
  <c r="Z236" i="1056"/>
  <c r="Z180" i="1056"/>
  <c r="M198" i="1056"/>
  <c r="M197" i="1056"/>
  <c r="M196" i="1056"/>
  <c r="D174" i="1053"/>
  <c r="B61" i="1053"/>
  <c r="Z10" i="1055"/>
  <c r="Z177" i="1055" s="1"/>
  <c r="M149" i="1055"/>
  <c r="W141" i="1055"/>
  <c r="W148" i="1055" s="1"/>
  <c r="W146" i="1055"/>
  <c r="Y61" i="1053"/>
  <c r="Z182" i="1053"/>
  <c r="Z68" i="1053"/>
  <c r="R17" i="1053"/>
  <c r="AD17" i="1053"/>
  <c r="X121" i="1054"/>
  <c r="X111" i="1054"/>
  <c r="X112" i="1054" s="1"/>
  <c r="M209" i="1053"/>
  <c r="M97" i="1053"/>
  <c r="M213" i="1053"/>
  <c r="M101" i="1053"/>
  <c r="Y207" i="1055"/>
  <c r="Y95" i="1055"/>
  <c r="N176" i="1056"/>
  <c r="AA19" i="1056"/>
  <c r="O19" i="1056"/>
  <c r="W113" i="1053"/>
  <c r="W225" i="1053" s="1"/>
  <c r="O166" i="1056"/>
  <c r="O165" i="1056"/>
  <c r="AB12" i="1056"/>
  <c r="P12" i="1056"/>
  <c r="G225" i="1056"/>
  <c r="G114" i="1056"/>
  <c r="G113" i="1056"/>
  <c r="AB13" i="1056"/>
  <c r="AB56" i="1056" s="1"/>
  <c r="P13" i="1056"/>
  <c r="Y213" i="1056"/>
  <c r="Y101" i="1056"/>
  <c r="Y71" i="1056"/>
  <c r="Y70" i="1056"/>
  <c r="Y117" i="1056" s="1"/>
  <c r="Z172" i="1054"/>
  <c r="Z58" i="1054"/>
  <c r="N177" i="1053"/>
  <c r="O20" i="1053"/>
  <c r="AA20" i="1053"/>
  <c r="Z139" i="1055"/>
  <c r="Z132" i="1055"/>
  <c r="Z134" i="1055"/>
  <c r="Z131" i="1055"/>
  <c r="Z133" i="1055"/>
  <c r="M55" i="1055"/>
  <c r="K148" i="1055"/>
  <c r="K147" i="1055"/>
  <c r="K145" i="1055"/>
  <c r="K146" i="1055" s="1"/>
  <c r="Y65" i="1054"/>
  <c r="X209" i="1054"/>
  <c r="X97" i="1054"/>
  <c r="W89" i="1054"/>
  <c r="O121" i="1055"/>
  <c r="O111" i="1055"/>
  <c r="O221" i="1055"/>
  <c r="O109" i="1055"/>
  <c r="K89" i="1054"/>
  <c r="M214" i="1056"/>
  <c r="M102" i="1056"/>
  <c r="M202" i="1056"/>
  <c r="M142" i="1056"/>
  <c r="M143" i="1056" s="1"/>
  <c r="M90" i="1056"/>
  <c r="V147" i="1054"/>
  <c r="V148" i="1054" s="1"/>
  <c r="K147" i="1056"/>
  <c r="N174" i="1054"/>
  <c r="AA17" i="1054"/>
  <c r="O17" i="1054"/>
  <c r="N202" i="1055"/>
  <c r="N90" i="1055"/>
  <c r="N58" i="1055"/>
  <c r="N213" i="1055"/>
  <c r="N101" i="1055"/>
  <c r="N176" i="1055"/>
  <c r="O19" i="1055"/>
  <c r="AA19" i="1055"/>
  <c r="X214" i="1055"/>
  <c r="X102" i="1055"/>
  <c r="X196" i="1055"/>
  <c r="X198" i="1055"/>
  <c r="X197" i="1055"/>
  <c r="O66" i="1054"/>
  <c r="O60" i="1054"/>
  <c r="O65" i="1054"/>
  <c r="O69" i="1054"/>
  <c r="O58" i="1054"/>
  <c r="O67" i="1054"/>
  <c r="AB8" i="1054"/>
  <c r="O54" i="1054"/>
  <c r="P8" i="1054"/>
  <c r="O57" i="1054"/>
  <c r="O64" i="1054"/>
  <c r="O53" i="1054"/>
  <c r="O108" i="1054"/>
  <c r="Z171" i="1056"/>
  <c r="Z57" i="1056"/>
  <c r="M91" i="1054"/>
  <c r="M203" i="1054"/>
  <c r="V114" i="1056"/>
  <c r="V115" i="1056" s="1"/>
  <c r="V116" i="1056" s="1"/>
  <c r="V126" i="1056" s="1"/>
  <c r="V113" i="1056"/>
  <c r="V225" i="1056" s="1"/>
  <c r="M146" i="1054"/>
  <c r="M141" i="1054"/>
  <c r="M148" i="1054" s="1"/>
  <c r="N221" i="1056"/>
  <c r="N109" i="1056"/>
  <c r="Y203" i="1053"/>
  <c r="Y91" i="1053"/>
  <c r="P88" i="1053" a="1"/>
  <c r="P88" i="1053" s="1"/>
  <c r="AC9" i="1053"/>
  <c r="AC88" i="1053" s="1"/>
  <c r="AC109" i="1053" s="1"/>
  <c r="Q9" i="1053"/>
  <c r="M212" i="1055"/>
  <c r="M100" i="1055"/>
  <c r="P19" i="1053"/>
  <c r="AB19" i="1053"/>
  <c r="L141" i="1053"/>
  <c r="L148" i="1053" s="1"/>
  <c r="O22" i="1055"/>
  <c r="AA22" i="1055"/>
  <c r="Y209" i="1055"/>
  <c r="Y97" i="1055"/>
  <c r="M207" i="1055"/>
  <c r="M95" i="1055"/>
  <c r="O197" i="1054"/>
  <c r="O198" i="1054"/>
  <c r="O196" i="1054"/>
  <c r="O11" i="1055"/>
  <c r="AA11" i="1055"/>
  <c r="N104" i="1055"/>
  <c r="N236" i="1055"/>
  <c r="W141" i="1053"/>
  <c r="W148" i="1053" s="1"/>
  <c r="K225" i="1053"/>
  <c r="K113" i="1053"/>
  <c r="K114" i="1053" s="1"/>
  <c r="K115" i="1053" s="1"/>
  <c r="K116" i="1053" s="1"/>
  <c r="K126" i="1053" s="1"/>
  <c r="Y175" i="1053"/>
  <c r="N182" i="1053"/>
  <c r="O23" i="1053"/>
  <c r="AA23" i="1053"/>
  <c r="M215" i="1053"/>
  <c r="M103" i="1053"/>
  <c r="M185" i="1053"/>
  <c r="M184" i="1053"/>
  <c r="M203" i="1053"/>
  <c r="M91" i="1053"/>
  <c r="Z176" i="1056"/>
  <c r="Z62" i="1056"/>
  <c r="AA165" i="1056"/>
  <c r="AA166" i="1056"/>
  <c r="AA204" i="1056"/>
  <c r="AA92" i="1056"/>
  <c r="Y215" i="1053"/>
  <c r="Y103" i="1053"/>
  <c r="Y185" i="1053"/>
  <c r="Y184" i="1053"/>
  <c r="Y214" i="1056"/>
  <c r="Y102" i="1056"/>
  <c r="AA15" i="1054"/>
  <c r="N172" i="1054"/>
  <c r="O15" i="1054"/>
  <c r="K219" i="1055"/>
  <c r="K106" i="1055"/>
  <c r="Y211" i="1056"/>
  <c r="Y99" i="1056"/>
  <c r="Y140" i="1056"/>
  <c r="Y167" i="1054"/>
  <c r="W110" i="1054"/>
  <c r="O198" i="1055"/>
  <c r="O197" i="1055"/>
  <c r="O196" i="1055"/>
  <c r="N178" i="1054"/>
  <c r="AA21" i="1054"/>
  <c r="O21" i="1054"/>
  <c r="N178" i="1056"/>
  <c r="AA21" i="1056"/>
  <c r="O21" i="1056"/>
  <c r="K148" i="1054"/>
  <c r="K145" i="1054"/>
  <c r="K146" i="1054" s="1"/>
  <c r="M206" i="1056"/>
  <c r="M94" i="1056"/>
  <c r="M211" i="1056"/>
  <c r="M99" i="1056"/>
  <c r="M140" i="1056"/>
  <c r="Y215" i="1056"/>
  <c r="Y103" i="1056"/>
  <c r="Y185" i="1056"/>
  <c r="Y184" i="1056"/>
  <c r="AB49" i="1055"/>
  <c r="P49" i="1055"/>
  <c r="Z174" i="1054"/>
  <c r="Z60" i="1054"/>
  <c r="X70" i="1053"/>
  <c r="X71" i="1053"/>
  <c r="N108" i="1055"/>
  <c r="G114" i="1054"/>
  <c r="L117" i="1056"/>
  <c r="Z217" i="1054"/>
  <c r="Z179" i="1054"/>
  <c r="Z168" i="1054"/>
  <c r="Z133" i="1054"/>
  <c r="Z134" i="1054"/>
  <c r="Z131" i="1054"/>
  <c r="Z139" i="1054"/>
  <c r="Z132" i="1054"/>
  <c r="Z65" i="1054"/>
  <c r="Z167" i="1054"/>
  <c r="N172" i="1056"/>
  <c r="AA15" i="1056"/>
  <c r="O15" i="1056"/>
  <c r="N175" i="1055"/>
  <c r="O18" i="1055"/>
  <c r="AA18" i="1055"/>
  <c r="Z92" i="1054"/>
  <c r="Z204" i="1054"/>
  <c r="M211" i="1055"/>
  <c r="M99" i="1055"/>
  <c r="M140" i="1055"/>
  <c r="P109" i="1054"/>
  <c r="P221" i="1054"/>
  <c r="W219" i="1055"/>
  <c r="W106" i="1055"/>
  <c r="W110" i="1055" s="1"/>
  <c r="O111" i="1054"/>
  <c r="O121" i="1054"/>
  <c r="Y209" i="1054"/>
  <c r="Y97" i="1054"/>
  <c r="G115" i="1055"/>
  <c r="G116" i="1055" s="1"/>
  <c r="T225" i="1056"/>
  <c r="T113" i="1056"/>
  <c r="T114" i="1056" s="1"/>
  <c r="T115" i="1056" s="1"/>
  <c r="T116" i="1056" s="1"/>
  <c r="T126" i="1056" s="1"/>
  <c r="AB50" i="1055"/>
  <c r="P50" i="1055"/>
  <c r="X202" i="1054"/>
  <c r="X142" i="1054"/>
  <c r="X143" i="1054" s="1"/>
  <c r="X90" i="1054"/>
  <c r="M211" i="1053"/>
  <c r="M99" i="1053"/>
  <c r="M140" i="1053"/>
  <c r="M71" i="1053"/>
  <c r="M70" i="1053"/>
  <c r="Y129" i="1055"/>
  <c r="Y163" i="1055" s="1"/>
  <c r="Y123" i="1055"/>
  <c r="Y130" i="1055"/>
  <c r="Y164" i="1055" s="1"/>
  <c r="Y125" i="1055"/>
  <c r="Y53" i="1055"/>
  <c r="Y69" i="1055"/>
  <c r="Y54" i="1055"/>
  <c r="Y104" i="1055"/>
  <c r="Y216" i="1055"/>
  <c r="Y67" i="1055"/>
  <c r="Y236" i="1055"/>
  <c r="Y181" i="1055"/>
  <c r="Y180" i="1055"/>
  <c r="Y66" i="1055"/>
  <c r="X203" i="1053"/>
  <c r="X91" i="1053"/>
  <c r="X203" i="1055"/>
  <c r="X91" i="1055"/>
  <c r="K112" i="1055"/>
  <c r="N177" i="1054"/>
  <c r="O20" i="1054"/>
  <c r="O63" i="1054" s="1"/>
  <c r="AA20" i="1054"/>
  <c r="Y139" i="1054"/>
  <c r="Y217" i="1054"/>
  <c r="N175" i="1056"/>
  <c r="AA18" i="1056"/>
  <c r="O18" i="1056"/>
  <c r="W145" i="1054"/>
  <c r="W146" i="1054" s="1"/>
  <c r="W148" i="1054"/>
  <c r="Z215" i="1055"/>
  <c r="Z103" i="1055"/>
  <c r="Z184" i="1055"/>
  <c r="Z185" i="1055"/>
  <c r="Z178" i="1054"/>
  <c r="Z64" i="1054"/>
  <c r="Z178" i="1056"/>
  <c r="Z64" i="1056"/>
  <c r="X208" i="1054"/>
  <c r="X96" i="1054"/>
  <c r="M210" i="1056"/>
  <c r="M98" i="1056"/>
  <c r="M204" i="1056"/>
  <c r="M92" i="1056"/>
  <c r="V144" i="1054"/>
  <c r="M210" i="1055"/>
  <c r="M98" i="1055"/>
  <c r="X208" i="1053"/>
  <c r="X96" i="1053"/>
  <c r="N65" i="1055"/>
  <c r="N71" i="1055" s="1"/>
  <c r="N215" i="1055"/>
  <c r="N103" i="1055"/>
  <c r="N185" i="1055"/>
  <c r="N184" i="1055"/>
  <c r="L117" i="1053"/>
  <c r="Y206" i="1056"/>
  <c r="Y94" i="1056"/>
  <c r="X213" i="1055"/>
  <c r="X101" i="1055"/>
  <c r="Z10" i="1053"/>
  <c r="M149" i="1053"/>
  <c r="N65" i="1054"/>
  <c r="N71" i="1054" s="1"/>
  <c r="Z59" i="1054"/>
  <c r="Z173" i="1054"/>
  <c r="Z172" i="1056"/>
  <c r="Z58" i="1056"/>
  <c r="AB21" i="1053"/>
  <c r="P21" i="1053"/>
  <c r="AA13" i="1054"/>
  <c r="AA56" i="1054" s="1"/>
  <c r="O13" i="1054"/>
  <c r="O56" i="1054" s="1"/>
  <c r="O221" i="1053"/>
  <c r="O109" i="1053"/>
  <c r="Q51" i="1054"/>
  <c r="AC51" i="1054"/>
  <c r="V114" i="1053"/>
  <c r="V115" i="1053" s="1"/>
  <c r="V116" i="1053" s="1"/>
  <c r="V126" i="1053" s="1"/>
  <c r="X209" i="1055"/>
  <c r="X97" i="1055"/>
  <c r="AD9" i="1054"/>
  <c r="AD88" i="1054" s="1"/>
  <c r="AD109" i="1054" s="1"/>
  <c r="Q88" i="1054" a="1"/>
  <c r="Q88" i="1054" s="1"/>
  <c r="R9" i="1054"/>
  <c r="Y210" i="1054"/>
  <c r="Y98" i="1054"/>
  <c r="Y210" i="1056"/>
  <c r="Y98" i="1056"/>
  <c r="AB51" i="1055"/>
  <c r="P51" i="1055"/>
  <c r="L141" i="1056"/>
  <c r="X102" i="1054"/>
  <c r="X214" i="1054"/>
  <c r="X197" i="1054"/>
  <c r="X196" i="1054"/>
  <c r="X198" i="1054"/>
  <c r="M202" i="1053"/>
  <c r="M90" i="1053"/>
  <c r="M89" i="1053"/>
  <c r="M142" i="1053"/>
  <c r="M143" i="1053" s="1"/>
  <c r="M117" i="1053"/>
  <c r="M207" i="1053"/>
  <c r="M95" i="1053"/>
  <c r="Y203" i="1056"/>
  <c r="Y91" i="1056"/>
  <c r="J119" i="1054"/>
  <c r="J120" i="1054"/>
  <c r="Y179" i="1055"/>
  <c r="N173" i="1056"/>
  <c r="AA16" i="1056"/>
  <c r="O16" i="1056"/>
  <c r="X203" i="1054"/>
  <c r="X91" i="1054"/>
  <c r="Y177" i="1054"/>
  <c r="Y197" i="1056"/>
  <c r="Y196" i="1056"/>
  <c r="Y198" i="1056"/>
  <c r="J122" i="1053"/>
  <c r="X212" i="1054"/>
  <c r="X100" i="1054"/>
  <c r="D230" i="1054"/>
  <c r="B119" i="1054"/>
  <c r="P157" i="1055"/>
  <c r="AE157" i="1055"/>
  <c r="AD157" i="1055"/>
  <c r="AC157" i="1055"/>
  <c r="R157" i="1055"/>
  <c r="Q157" i="1055"/>
  <c r="Y55" i="1054"/>
  <c r="Z174" i="1055"/>
  <c r="Z60" i="1055"/>
  <c r="Z175" i="1056"/>
  <c r="Z61" i="1056"/>
  <c r="K219" i="1054"/>
  <c r="K106" i="1054"/>
  <c r="M207" i="1056"/>
  <c r="M95" i="1056"/>
  <c r="M208" i="1056"/>
  <c r="M96" i="1056"/>
  <c r="N177" i="1056"/>
  <c r="AA20" i="1056"/>
  <c r="O20" i="1056"/>
  <c r="Y62" i="1055"/>
  <c r="Y64" i="1054"/>
  <c r="O108" i="1055"/>
  <c r="O54" i="1055"/>
  <c r="O68" i="1055"/>
  <c r="O66" i="1055"/>
  <c r="O60" i="1055"/>
  <c r="O56" i="1055"/>
  <c r="O63" i="1055"/>
  <c r="O53" i="1055"/>
  <c r="O61" i="1055"/>
  <c r="O65" i="1055"/>
  <c r="O58" i="1055"/>
  <c r="O67" i="1055"/>
  <c r="O62" i="1055"/>
  <c r="AB8" i="1055"/>
  <c r="P8" i="1055"/>
  <c r="O69" i="1055"/>
  <c r="N214" i="1055"/>
  <c r="N102" i="1055"/>
  <c r="N213" i="1054"/>
  <c r="N101" i="1054"/>
  <c r="N56" i="1054"/>
  <c r="N57" i="1054"/>
  <c r="U122" i="1056"/>
  <c r="L203" i="1055"/>
  <c r="L91" i="1055"/>
  <c r="L142" i="1055"/>
  <c r="L143" i="1055" s="1"/>
  <c r="M205" i="1055"/>
  <c r="M93" i="1055"/>
  <c r="W89" i="1051"/>
  <c r="O51" i="1053"/>
  <c r="AA51" i="1053"/>
  <c r="AA16" i="1054"/>
  <c r="O16" i="1054"/>
  <c r="O59" i="1054" s="1"/>
  <c r="N173" i="1054"/>
  <c r="I119" i="1055"/>
  <c r="I120" i="1055"/>
  <c r="I127" i="1055"/>
  <c r="L219" i="1053"/>
  <c r="L106" i="1053"/>
  <c r="Y54" i="1053"/>
  <c r="Y130" i="1053"/>
  <c r="Y164" i="1053" s="1"/>
  <c r="Y125" i="1053"/>
  <c r="Y53" i="1053"/>
  <c r="Y123" i="1053"/>
  <c r="Y129" i="1053"/>
  <c r="Y163" i="1053" s="1"/>
  <c r="Y69" i="1053"/>
  <c r="Y216" i="1053"/>
  <c r="Y104" i="1053"/>
  <c r="Y180" i="1053"/>
  <c r="Y181" i="1053"/>
  <c r="Y236" i="1053"/>
  <c r="Y66" i="1053"/>
  <c r="Y67" i="1053"/>
  <c r="Y60" i="1053"/>
  <c r="Y174" i="1053"/>
  <c r="Y168" i="1053"/>
  <c r="Y64" i="1053"/>
  <c r="Y140" i="1053" s="1"/>
  <c r="Y167" i="1053"/>
  <c r="Y217" i="1053"/>
  <c r="Y139" i="1053"/>
  <c r="Y176" i="1053"/>
  <c r="Y62" i="1053"/>
  <c r="Y179" i="1053"/>
  <c r="Y65" i="1053"/>
  <c r="Y178" i="1053"/>
  <c r="I122" i="1054"/>
  <c r="Y93" i="1054"/>
  <c r="Y205" i="1054"/>
  <c r="Z55" i="1053"/>
  <c r="J144" i="1055"/>
  <c r="W117" i="1055"/>
  <c r="K120" i="1053"/>
  <c r="K119" i="1053"/>
  <c r="K122" i="1053" s="1"/>
  <c r="N125" i="1056"/>
  <c r="N123" i="1056"/>
  <c r="N130" i="1056" a="1"/>
  <c r="N130" i="1056" s="1"/>
  <c r="N164" i="1056" s="1"/>
  <c r="N129" i="1056"/>
  <c r="N163" i="1056" s="1"/>
  <c r="O10" i="1056"/>
  <c r="N216" i="1056" a="1"/>
  <c r="N216" i="1056" s="1"/>
  <c r="N181" i="1056"/>
  <c r="N180" i="1056"/>
  <c r="X211" i="1055"/>
  <c r="X99" i="1055"/>
  <c r="X140" i="1055"/>
  <c r="Z173" i="1055"/>
  <c r="Z59" i="1055"/>
  <c r="Z171" i="1055"/>
  <c r="Z57" i="1055"/>
  <c r="V147" i="1056"/>
  <c r="V148" i="1056" s="1"/>
  <c r="Z166" i="1053"/>
  <c r="Z165" i="1053"/>
  <c r="Z169" i="1053" s="1"/>
  <c r="X213" i="1054"/>
  <c r="X101" i="1054"/>
  <c r="M205" i="1053"/>
  <c r="M93" i="1053"/>
  <c r="M212" i="1053"/>
  <c r="M100" i="1053"/>
  <c r="V122" i="1053"/>
  <c r="Y177" i="1053"/>
  <c r="Y139" i="1055"/>
  <c r="Y217" i="1055"/>
  <c r="Z173" i="1056"/>
  <c r="Z59" i="1056"/>
  <c r="Y215" i="1054"/>
  <c r="Y103" i="1054"/>
  <c r="Y184" i="1054"/>
  <c r="Y185" i="1054"/>
  <c r="L89" i="1056"/>
  <c r="Y63" i="1054"/>
  <c r="Z173" i="1053"/>
  <c r="Z59" i="1053"/>
  <c r="Y121" i="1056"/>
  <c r="Y111" i="1056"/>
  <c r="Y112" i="1056" s="1"/>
  <c r="M111" i="1053"/>
  <c r="M112" i="1053" s="1"/>
  <c r="M121" i="1053"/>
  <c r="N182" i="1054"/>
  <c r="AA23" i="1054"/>
  <c r="O23" i="1054"/>
  <c r="K110" i="1055"/>
  <c r="K127" i="1055" s="1"/>
  <c r="Z177" i="1054"/>
  <c r="Z63" i="1054"/>
  <c r="Y168" i="1054"/>
  <c r="N174" i="1055"/>
  <c r="O17" i="1055"/>
  <c r="AA17" i="1055"/>
  <c r="P50" i="1056"/>
  <c r="AB50" i="1056"/>
  <c r="K117" i="1054"/>
  <c r="M212" i="1056"/>
  <c r="M100" i="1056"/>
  <c r="M213" i="1056"/>
  <c r="M101" i="1056"/>
  <c r="Z177" i="1056"/>
  <c r="Z63" i="1056"/>
  <c r="Y60" i="1055"/>
  <c r="Y176" i="1055"/>
  <c r="Y178" i="1054"/>
  <c r="X213" i="1053"/>
  <c r="X101" i="1053"/>
  <c r="X198" i="1053"/>
  <c r="X196" i="1053"/>
  <c r="X197" i="1053"/>
  <c r="Y208" i="1056"/>
  <c r="Y96" i="1056"/>
  <c r="Y205" i="1056"/>
  <c r="Y93" i="1056"/>
  <c r="N61" i="1055"/>
  <c r="N178" i="1055"/>
  <c r="AA21" i="1055"/>
  <c r="O21" i="1055"/>
  <c r="L110" i="1053"/>
  <c r="N182" i="1056"/>
  <c r="AA23" i="1056"/>
  <c r="O23" i="1056"/>
  <c r="X202" i="1055"/>
  <c r="X142" i="1055"/>
  <c r="X143" i="1055" s="1"/>
  <c r="X90" i="1055"/>
  <c r="O11" i="1053"/>
  <c r="AA11" i="1053"/>
  <c r="N104" i="1053"/>
  <c r="N236" i="1053"/>
  <c r="N202" i="1054"/>
  <c r="N90" i="1054"/>
  <c r="N142" i="1054"/>
  <c r="N143" i="1054" s="1"/>
  <c r="N58" i="1054"/>
  <c r="L117" i="1051"/>
  <c r="J147" i="1052"/>
  <c r="V119" i="1056"/>
  <c r="V120" i="1056"/>
  <c r="Y212" i="1055"/>
  <c r="Y100" i="1055"/>
  <c r="D174" i="1055"/>
  <c r="B61" i="1055"/>
  <c r="AA204" i="1053"/>
  <c r="AA92" i="1053"/>
  <c r="W89" i="1055"/>
  <c r="L141" i="1054"/>
  <c r="Z205" i="1053"/>
  <c r="Z93" i="1053"/>
  <c r="O49" i="1053"/>
  <c r="AA49" i="1053"/>
  <c r="N173" i="1055"/>
  <c r="O16" i="1055"/>
  <c r="AA16" i="1055"/>
  <c r="Z217" i="1056"/>
  <c r="Z169" i="1056"/>
  <c r="Z179" i="1056"/>
  <c r="Z168" i="1056"/>
  <c r="Z132" i="1056"/>
  <c r="Z167" i="1056"/>
  <c r="Z133" i="1056"/>
  <c r="Z134" i="1056"/>
  <c r="Z139" i="1056"/>
  <c r="Z131" i="1056"/>
  <c r="Z65" i="1056"/>
  <c r="N171" i="1055"/>
  <c r="O14" i="1055"/>
  <c r="AA14" i="1055"/>
  <c r="AB11" i="1056"/>
  <c r="P11" i="1056"/>
  <c r="O236" i="1056"/>
  <c r="O104" i="1056"/>
  <c r="O12" i="1053"/>
  <c r="O132" i="1053" s="1"/>
  <c r="AA12" i="1053"/>
  <c r="AA131" i="1053" s="1"/>
  <c r="N165" i="1053"/>
  <c r="N169" i="1053" s="1"/>
  <c r="N166" i="1053"/>
  <c r="N69" i="1053"/>
  <c r="N62" i="1053"/>
  <c r="N58" i="1053"/>
  <c r="N67" i="1053"/>
  <c r="N64" i="1053"/>
  <c r="N59" i="1053"/>
  <c r="N54" i="1053"/>
  <c r="N68" i="1053"/>
  <c r="N66" i="1053"/>
  <c r="N63" i="1053"/>
  <c r="N53" i="1053"/>
  <c r="N57" i="1053"/>
  <c r="N60" i="1053"/>
  <c r="N108" i="1053"/>
  <c r="N65" i="1053"/>
  <c r="N61" i="1053"/>
  <c r="N55" i="1053"/>
  <c r="AA8" i="1053"/>
  <c r="N56" i="1053"/>
  <c r="O8" i="1053"/>
  <c r="M214" i="1053"/>
  <c r="M102" i="1053"/>
  <c r="N175" i="1054"/>
  <c r="AA18" i="1054"/>
  <c r="O18" i="1054"/>
  <c r="N176" i="1054"/>
  <c r="AA19" i="1054"/>
  <c r="O19" i="1054"/>
  <c r="L110" i="1056"/>
  <c r="N173" i="1053"/>
  <c r="O16" i="1053"/>
  <c r="AA16" i="1053"/>
  <c r="D174" i="1054"/>
  <c r="B61" i="1054"/>
  <c r="M196" i="1053"/>
  <c r="M198" i="1053"/>
  <c r="M197" i="1053"/>
  <c r="Y212" i="1056"/>
  <c r="Y100" i="1056"/>
  <c r="Z182" i="1054"/>
  <c r="Z68" i="1054"/>
  <c r="Z166" i="1055"/>
  <c r="Z165" i="1055"/>
  <c r="Z169" i="1055" s="1"/>
  <c r="Y206" i="1054"/>
  <c r="Y94" i="1054"/>
  <c r="AB22" i="1056"/>
  <c r="P22" i="1056"/>
  <c r="K110" i="1054"/>
  <c r="N108" i="1056"/>
  <c r="N63" i="1056"/>
  <c r="N53" i="1056"/>
  <c r="N61" i="1056"/>
  <c r="N57" i="1056"/>
  <c r="N65" i="1056"/>
  <c r="N69" i="1056"/>
  <c r="N62" i="1056"/>
  <c r="N58" i="1056"/>
  <c r="N67" i="1056"/>
  <c r="N64" i="1056"/>
  <c r="N59" i="1056"/>
  <c r="N54" i="1056"/>
  <c r="N70" i="1056" s="1"/>
  <c r="N68" i="1056"/>
  <c r="O8" i="1056"/>
  <c r="N60" i="1056"/>
  <c r="N56" i="1056"/>
  <c r="N66" i="1056"/>
  <c r="AA8" i="1056"/>
  <c r="Y174" i="1055"/>
  <c r="X141" i="1056"/>
  <c r="O182" i="1055"/>
  <c r="AB23" i="1055"/>
  <c r="P23" i="1055"/>
  <c r="X211" i="1053"/>
  <c r="X99" i="1053"/>
  <c r="X140" i="1053"/>
  <c r="X212" i="1053"/>
  <c r="X100" i="1053"/>
  <c r="X214" i="1053"/>
  <c r="X102" i="1053"/>
  <c r="X202" i="1053"/>
  <c r="X142" i="1053"/>
  <c r="X143" i="1053" s="1"/>
  <c r="X89" i="1053"/>
  <c r="X90" i="1053"/>
  <c r="X117" i="1053"/>
  <c r="M70" i="1056"/>
  <c r="M89" i="1056" s="1"/>
  <c r="L112" i="1056"/>
  <c r="N59" i="1055"/>
  <c r="N63" i="1055"/>
  <c r="Z178" i="1055"/>
  <c r="Z64" i="1055"/>
  <c r="L145" i="1053"/>
  <c r="L147" i="1053" s="1"/>
  <c r="Z182" i="1056"/>
  <c r="Z68" i="1056"/>
  <c r="J122" i="1056"/>
  <c r="N64" i="1054"/>
  <c r="N140" i="1054" s="1"/>
  <c r="N60" i="1054"/>
  <c r="N108" i="1054"/>
  <c r="X70" i="1056"/>
  <c r="X89" i="1056" s="1"/>
  <c r="L89" i="1052"/>
  <c r="K144" i="1052"/>
  <c r="N174" i="1056"/>
  <c r="AA17" i="1056"/>
  <c r="O17" i="1056"/>
  <c r="AA171" i="1053"/>
  <c r="AA57" i="1053"/>
  <c r="W110" i="1053"/>
  <c r="AB13" i="1053"/>
  <c r="AB56" i="1053" s="1"/>
  <c r="P13" i="1053"/>
  <c r="L203" i="1054"/>
  <c r="L91" i="1054"/>
  <c r="L70" i="1054"/>
  <c r="L112" i="1054" s="1"/>
  <c r="L142" i="1054"/>
  <c r="L143" i="1054" s="1"/>
  <c r="Z166" i="1054"/>
  <c r="Z165" i="1054"/>
  <c r="Z169" i="1054" s="1"/>
  <c r="L141" i="1055"/>
  <c r="Z172" i="1055"/>
  <c r="Z58" i="1055"/>
  <c r="X212" i="1055"/>
  <c r="X100" i="1055"/>
  <c r="Y130" i="1054"/>
  <c r="Y164" i="1054" s="1"/>
  <c r="Y129" i="1054"/>
  <c r="Y163" i="1054" s="1"/>
  <c r="Y125" i="1054"/>
  <c r="Y123" i="1054"/>
  <c r="Y53" i="1054"/>
  <c r="Y69" i="1054"/>
  <c r="Y54" i="1054"/>
  <c r="Y104" i="1054"/>
  <c r="Y216" i="1054"/>
  <c r="Y180" i="1054"/>
  <c r="Y66" i="1054"/>
  <c r="Y236" i="1054"/>
  <c r="Y67" i="1054"/>
  <c r="Y181" i="1054"/>
  <c r="N217" i="1056"/>
  <c r="N179" i="1056"/>
  <c r="N168" i="1056"/>
  <c r="N167" i="1056"/>
  <c r="N139" i="1056"/>
  <c r="N169" i="1056"/>
  <c r="N133" i="1056"/>
  <c r="N134" i="1056"/>
  <c r="N131" i="1056"/>
  <c r="N55" i="1056" s="1"/>
  <c r="N132" i="1056"/>
  <c r="O4" i="1056"/>
  <c r="AA4" i="1056"/>
  <c r="G115" i="1053"/>
  <c r="G116" i="1053" s="1"/>
  <c r="AA10" i="1056"/>
  <c r="N149" i="1056"/>
  <c r="M204" i="1053"/>
  <c r="M92" i="1053"/>
  <c r="M206" i="1053"/>
  <c r="M94" i="1053"/>
  <c r="P49" i="1056"/>
  <c r="AB49" i="1056"/>
  <c r="Y65" i="1055"/>
  <c r="Y167" i="1055"/>
  <c r="D230" i="1056"/>
  <c r="B119" i="1056"/>
  <c r="L148" i="1056"/>
  <c r="L145" i="1056"/>
  <c r="L146" i="1056" s="1"/>
  <c r="Y209" i="1056"/>
  <c r="Y97" i="1056"/>
  <c r="N130" i="1053" a="1"/>
  <c r="N130" i="1053" s="1"/>
  <c r="N164" i="1053" s="1"/>
  <c r="N129" i="1053"/>
  <c r="N163" i="1053" s="1"/>
  <c r="N123" i="1053"/>
  <c r="N125" i="1053"/>
  <c r="O10" i="1053"/>
  <c r="O168" i="1053" s="1"/>
  <c r="N216" i="1053" a="1"/>
  <c r="N216" i="1053" s="1"/>
  <c r="N180" i="1053"/>
  <c r="N174" i="1053"/>
  <c r="N181" i="1053"/>
  <c r="Z172" i="1053"/>
  <c r="Z58" i="1053"/>
  <c r="O12" i="1055"/>
  <c r="AA12" i="1055"/>
  <c r="N165" i="1055"/>
  <c r="N169" i="1055" s="1"/>
  <c r="N166" i="1055"/>
  <c r="P88" i="1055" a="1"/>
  <c r="P88" i="1055" s="1"/>
  <c r="AC9" i="1055"/>
  <c r="AC88" i="1055" s="1"/>
  <c r="AC109" i="1055" s="1"/>
  <c r="Q9" i="1055"/>
  <c r="M215" i="1056"/>
  <c r="M103" i="1056"/>
  <c r="M185" i="1056"/>
  <c r="M184" i="1056"/>
  <c r="M205" i="1056"/>
  <c r="M93" i="1056"/>
  <c r="Y206" i="1053"/>
  <c r="Y94" i="1053"/>
  <c r="AA182" i="1055"/>
  <c r="AA68" i="1055"/>
  <c r="M70" i="1054"/>
  <c r="X121" i="1053"/>
  <c r="X111" i="1053"/>
  <c r="X112" i="1053" s="1"/>
  <c r="L70" i="1055"/>
  <c r="Z204" i="1055"/>
  <c r="Z92" i="1055"/>
  <c r="N62" i="1055"/>
  <c r="N56" i="1055"/>
  <c r="X71" i="1055"/>
  <c r="X70" i="1055"/>
  <c r="X117" i="1055" s="1"/>
  <c r="Y174" i="1054"/>
  <c r="N62" i="1054"/>
  <c r="N68" i="1054"/>
  <c r="K127" i="1053"/>
  <c r="S127" i="1053" s="1"/>
  <c r="W113" i="1052"/>
  <c r="W225" i="1052" s="1"/>
  <c r="M203" i="1051"/>
  <c r="M91" i="1051"/>
  <c r="L225" i="1052"/>
  <c r="L113" i="1052"/>
  <c r="L114" i="1052" s="1"/>
  <c r="L115" i="1052" s="1"/>
  <c r="L116" i="1052" s="1"/>
  <c r="L126" i="1052" s="1"/>
  <c r="K120" i="1052"/>
  <c r="K119" i="1052"/>
  <c r="AA173" i="1051"/>
  <c r="AA59" i="1051"/>
  <c r="N177" i="1052"/>
  <c r="AA20" i="1052"/>
  <c r="O20" i="1052"/>
  <c r="W145" i="1051"/>
  <c r="W146" i="1051" s="1"/>
  <c r="W144" i="1051"/>
  <c r="W148" i="1051"/>
  <c r="L225" i="1051"/>
  <c r="L113" i="1051"/>
  <c r="L114" i="1051" s="1"/>
  <c r="L115" i="1051" s="1"/>
  <c r="L116" i="1051" s="1"/>
  <c r="X121" i="1052"/>
  <c r="X111" i="1052"/>
  <c r="AC51" i="1052"/>
  <c r="Q51" i="1052"/>
  <c r="Z208" i="1051"/>
  <c r="Z96" i="1051"/>
  <c r="Q157" i="1052"/>
  <c r="Y210" i="1051"/>
  <c r="Y98" i="1051"/>
  <c r="N175" i="1052"/>
  <c r="AA18" i="1052"/>
  <c r="O18" i="1052"/>
  <c r="M204" i="1051"/>
  <c r="M92" i="1051"/>
  <c r="D174" i="1051"/>
  <c r="B61" i="1051"/>
  <c r="Z177" i="1052"/>
  <c r="Z63" i="1052"/>
  <c r="AA50" i="1051"/>
  <c r="O50" i="1051"/>
  <c r="AA9" i="1051"/>
  <c r="AA88" i="1051" s="1"/>
  <c r="AA109" i="1051" s="1"/>
  <c r="N88" i="1051" a="1"/>
  <c r="N88" i="1051" s="1"/>
  <c r="O9" i="1051"/>
  <c r="Y211" i="1052"/>
  <c r="Y99" i="1052"/>
  <c r="X197" i="1052"/>
  <c r="X198" i="1052"/>
  <c r="X196" i="1052"/>
  <c r="AD4" i="1051"/>
  <c r="R4" i="1051"/>
  <c r="O221" i="1052"/>
  <c r="O109" i="1052"/>
  <c r="M141" i="1052"/>
  <c r="Y207" i="1052"/>
  <c r="Y95" i="1052"/>
  <c r="N104" i="1052"/>
  <c r="AA11" i="1052"/>
  <c r="O11" i="1052"/>
  <c r="N236" i="1052"/>
  <c r="Z175" i="1052"/>
  <c r="Z61" i="1052"/>
  <c r="Y179" i="1052"/>
  <c r="M208" i="1051"/>
  <c r="M96" i="1051"/>
  <c r="X203" i="1052"/>
  <c r="X91" i="1052"/>
  <c r="N215" i="1052"/>
  <c r="N103" i="1052"/>
  <c r="N184" i="1052"/>
  <c r="N185" i="1052"/>
  <c r="K146" i="1050"/>
  <c r="W113" i="1051"/>
  <c r="W225" i="1051" s="1"/>
  <c r="AC50" i="1052"/>
  <c r="Q50" i="1052"/>
  <c r="X145" i="1051"/>
  <c r="X146" i="1051" s="1"/>
  <c r="N213" i="1052"/>
  <c r="N101" i="1052"/>
  <c r="N63" i="1052"/>
  <c r="N209" i="1052"/>
  <c r="N97" i="1052"/>
  <c r="Y64" i="1052"/>
  <c r="K119" i="1051"/>
  <c r="K120" i="1051"/>
  <c r="Y206" i="1051"/>
  <c r="Y94" i="1051"/>
  <c r="Y70" i="1051"/>
  <c r="Y71" i="1051"/>
  <c r="Y177" i="1052"/>
  <c r="N172" i="1052"/>
  <c r="AA15" i="1052"/>
  <c r="O15" i="1052"/>
  <c r="AB20" i="1051"/>
  <c r="P20" i="1051"/>
  <c r="Y206" i="1052"/>
  <c r="Y94" i="1052"/>
  <c r="D230" i="1051"/>
  <c r="B119" i="1051"/>
  <c r="AA12" i="1052"/>
  <c r="O12" i="1052"/>
  <c r="N166" i="1052"/>
  <c r="N165" i="1052"/>
  <c r="R157" i="1052"/>
  <c r="P123" i="1052"/>
  <c r="P130" i="1052" a="1"/>
  <c r="P130" i="1052" s="1"/>
  <c r="P164" i="1052" s="1"/>
  <c r="P125" i="1052"/>
  <c r="P129" i="1052"/>
  <c r="P163" i="1052" s="1"/>
  <c r="Q10" i="1052"/>
  <c r="P181" i="1052"/>
  <c r="P180" i="1052"/>
  <c r="P216" i="1052" a="1"/>
  <c r="P216" i="1052" s="1"/>
  <c r="Z10" i="1052"/>
  <c r="M149" i="1052"/>
  <c r="Y55" i="1052"/>
  <c r="M214" i="1051"/>
  <c r="M102" i="1051"/>
  <c r="N172" i="1051"/>
  <c r="AA15" i="1051"/>
  <c r="O15" i="1051"/>
  <c r="Z166" i="1051"/>
  <c r="Z165" i="1051"/>
  <c r="Z169" i="1051" s="1"/>
  <c r="Z131" i="1051"/>
  <c r="Z132" i="1051"/>
  <c r="Z134" i="1051"/>
  <c r="Z133" i="1051"/>
  <c r="X212" i="1052"/>
  <c r="X100" i="1052"/>
  <c r="N204" i="1052"/>
  <c r="N92" i="1052"/>
  <c r="N205" i="1052"/>
  <c r="N93" i="1052"/>
  <c r="Z212" i="1051"/>
  <c r="Z100" i="1051"/>
  <c r="Z172" i="1051"/>
  <c r="Z58" i="1051"/>
  <c r="T225" i="1052"/>
  <c r="T113" i="1052"/>
  <c r="T114" i="1052" s="1"/>
  <c r="T115" i="1052" s="1"/>
  <c r="T116" i="1052" s="1"/>
  <c r="T126" i="1052" s="1"/>
  <c r="N202" i="1052"/>
  <c r="N90" i="1052"/>
  <c r="AA13" i="1051"/>
  <c r="AA56" i="1051" s="1"/>
  <c r="O13" i="1051"/>
  <c r="Y213" i="1051"/>
  <c r="Y101" i="1051"/>
  <c r="Y196" i="1051"/>
  <c r="Y198" i="1051"/>
  <c r="Y197" i="1051"/>
  <c r="D230" i="1052"/>
  <c r="B119" i="1052"/>
  <c r="D174" i="1052"/>
  <c r="B61" i="1052"/>
  <c r="Y60" i="1052"/>
  <c r="M221" i="1051"/>
  <c r="M109" i="1051"/>
  <c r="M70" i="1051"/>
  <c r="X202" i="1052"/>
  <c r="X142" i="1052"/>
  <c r="X143" i="1052" s="1"/>
  <c r="X90" i="1052"/>
  <c r="Z172" i="1052"/>
  <c r="Z58" i="1052"/>
  <c r="Z166" i="1052"/>
  <c r="Z165" i="1052"/>
  <c r="AC157" i="1052"/>
  <c r="G225" i="1052"/>
  <c r="G113" i="1052"/>
  <c r="G114" i="1052" s="1"/>
  <c r="Y168" i="1052"/>
  <c r="M205" i="1051"/>
  <c r="M93" i="1051"/>
  <c r="J122" i="1051"/>
  <c r="L141" i="1051"/>
  <c r="L148" i="1051" s="1"/>
  <c r="Y203" i="1051"/>
  <c r="Y91" i="1051"/>
  <c r="AB22" i="1051"/>
  <c r="P22" i="1051"/>
  <c r="AB21" i="1051"/>
  <c r="P21" i="1051"/>
  <c r="L219" i="1051"/>
  <c r="L106" i="1051"/>
  <c r="L110" i="1051" s="1"/>
  <c r="Y212" i="1051"/>
  <c r="Y100" i="1051"/>
  <c r="Y202" i="1051"/>
  <c r="Y142" i="1051"/>
  <c r="Y143" i="1051" s="1"/>
  <c r="Y90" i="1051"/>
  <c r="L141" i="1052"/>
  <c r="L148" i="1052" s="1"/>
  <c r="M207" i="1052"/>
  <c r="M95" i="1052"/>
  <c r="X70" i="1052"/>
  <c r="X117" i="1052" s="1"/>
  <c r="X71" i="1052"/>
  <c r="Y211" i="1051"/>
  <c r="Y99" i="1051"/>
  <c r="Y140" i="1051"/>
  <c r="N182" i="1052"/>
  <c r="AA23" i="1052"/>
  <c r="O23" i="1052"/>
  <c r="N177" i="1051"/>
  <c r="M209" i="1052"/>
  <c r="M97" i="1052"/>
  <c r="AA22" i="1052"/>
  <c r="O22" i="1052"/>
  <c r="X219" i="1051"/>
  <c r="X106" i="1051"/>
  <c r="X110" i="1051" s="1"/>
  <c r="Z129" i="1051"/>
  <c r="Z163" i="1051" s="1"/>
  <c r="Z123" i="1051"/>
  <c r="Z125" i="1051"/>
  <c r="Z130" i="1051"/>
  <c r="Z164" i="1051" s="1"/>
  <c r="Z69" i="1051"/>
  <c r="Z53" i="1051"/>
  <c r="Z54" i="1051"/>
  <c r="Z104" i="1051"/>
  <c r="Z216" i="1051"/>
  <c r="Z66" i="1051"/>
  <c r="Z180" i="1051"/>
  <c r="Z67" i="1051"/>
  <c r="Z181" i="1051"/>
  <c r="Z236" i="1051"/>
  <c r="Z217" i="1051"/>
  <c r="Z65" i="1051"/>
  <c r="Z168" i="1051"/>
  <c r="Z139" i="1051"/>
  <c r="Z179" i="1051"/>
  <c r="Z167" i="1051"/>
  <c r="M209" i="1051"/>
  <c r="M97" i="1051"/>
  <c r="M215" i="1051"/>
  <c r="M103" i="1051"/>
  <c r="M185" i="1051"/>
  <c r="M184" i="1051"/>
  <c r="AA12" i="1051"/>
  <c r="O12" i="1051"/>
  <c r="N165" i="1051"/>
  <c r="N169" i="1051" s="1"/>
  <c r="N166" i="1051"/>
  <c r="N132" i="1051"/>
  <c r="N131" i="1051"/>
  <c r="N134" i="1051"/>
  <c r="N133" i="1051"/>
  <c r="N212" i="1052"/>
  <c r="N100" i="1052"/>
  <c r="Z204" i="1052"/>
  <c r="Z92" i="1052"/>
  <c r="Z207" i="1051"/>
  <c r="Z95" i="1051"/>
  <c r="L117" i="1050"/>
  <c r="Y129" i="1052"/>
  <c r="Y163" i="1052" s="1"/>
  <c r="Y123" i="1052"/>
  <c r="Y130" i="1052"/>
  <c r="Y164" i="1052" s="1"/>
  <c r="Y69" i="1052"/>
  <c r="Y125" i="1052"/>
  <c r="Y54" i="1052"/>
  <c r="Y53" i="1052"/>
  <c r="Y216" i="1052"/>
  <c r="Y104" i="1052"/>
  <c r="Y236" i="1052"/>
  <c r="Y181" i="1052"/>
  <c r="Y67" i="1052"/>
  <c r="Y66" i="1052"/>
  <c r="Y180" i="1052"/>
  <c r="Z204" i="1051"/>
  <c r="Z92" i="1051"/>
  <c r="AC49" i="1052"/>
  <c r="Q49" i="1052"/>
  <c r="K127" i="1052"/>
  <c r="AB19" i="1051"/>
  <c r="P19" i="1051"/>
  <c r="Y214" i="1051"/>
  <c r="Y102" i="1051"/>
  <c r="N171" i="1052"/>
  <c r="AA14" i="1052"/>
  <c r="O14" i="1052"/>
  <c r="Y205" i="1052"/>
  <c r="Y93" i="1052"/>
  <c r="O182" i="1051"/>
  <c r="AB23" i="1051"/>
  <c r="P23" i="1051"/>
  <c r="AB17" i="1051"/>
  <c r="P17" i="1051"/>
  <c r="X213" i="1052"/>
  <c r="X101" i="1052"/>
  <c r="Z182" i="1052"/>
  <c r="Z68" i="1052"/>
  <c r="N173" i="1052"/>
  <c r="AA16" i="1052"/>
  <c r="O16" i="1052"/>
  <c r="J122" i="1052"/>
  <c r="AD157" i="1052"/>
  <c r="Y215" i="1052"/>
  <c r="Y103" i="1052"/>
  <c r="Y185" i="1052"/>
  <c r="Y184" i="1052"/>
  <c r="I122" i="1051"/>
  <c r="Y65" i="1052"/>
  <c r="Y139" i="1052"/>
  <c r="M206" i="1051"/>
  <c r="M94" i="1051"/>
  <c r="M213" i="1051"/>
  <c r="M101" i="1051"/>
  <c r="M71" i="1051"/>
  <c r="M89" i="1051" s="1"/>
  <c r="K127" i="1051"/>
  <c r="AF127" i="1051" s="1"/>
  <c r="N214" i="1052"/>
  <c r="N102" i="1052"/>
  <c r="Z210" i="1051"/>
  <c r="Z98" i="1051"/>
  <c r="Y205" i="1051"/>
  <c r="Y93" i="1051"/>
  <c r="N71" i="1052"/>
  <c r="N178" i="1052"/>
  <c r="AA21" i="1052"/>
  <c r="O21" i="1052"/>
  <c r="Z171" i="1051"/>
  <c r="Z57" i="1051"/>
  <c r="M55" i="1052"/>
  <c r="M198" i="1051"/>
  <c r="M197" i="1051"/>
  <c r="M196" i="1051"/>
  <c r="N171" i="1051"/>
  <c r="AA14" i="1051"/>
  <c r="O14" i="1051"/>
  <c r="N208" i="1052"/>
  <c r="N96" i="1052"/>
  <c r="N217" i="1052"/>
  <c r="N134" i="1052"/>
  <c r="N179" i="1052"/>
  <c r="N139" i="1052"/>
  <c r="N169" i="1052"/>
  <c r="N131" i="1052"/>
  <c r="N132" i="1052"/>
  <c r="N167" i="1052"/>
  <c r="N133" i="1052"/>
  <c r="N168" i="1052"/>
  <c r="O4" i="1052"/>
  <c r="AA4" i="1052"/>
  <c r="AB18" i="1051"/>
  <c r="P18" i="1051"/>
  <c r="L89" i="1051"/>
  <c r="X211" i="1052"/>
  <c r="X99" i="1052"/>
  <c r="X140" i="1052"/>
  <c r="G114" i="1051"/>
  <c r="K225" i="1052"/>
  <c r="K114" i="1052"/>
  <c r="K115" i="1052" s="1"/>
  <c r="K116" i="1052" s="1"/>
  <c r="K126" i="1052" s="1"/>
  <c r="K113" i="1052"/>
  <c r="L145" i="1052"/>
  <c r="L147" i="1052"/>
  <c r="Z171" i="1052"/>
  <c r="Z57" i="1052"/>
  <c r="N174" i="1052"/>
  <c r="AA17" i="1052"/>
  <c r="O17" i="1052"/>
  <c r="AA182" i="1051"/>
  <c r="AA68" i="1051"/>
  <c r="W219" i="1051"/>
  <c r="W106" i="1051"/>
  <c r="W110" i="1051" s="1"/>
  <c r="Y208" i="1051"/>
  <c r="Y96" i="1051"/>
  <c r="X214" i="1052"/>
  <c r="X102" i="1052"/>
  <c r="N176" i="1052"/>
  <c r="AA19" i="1052"/>
  <c r="O19" i="1052"/>
  <c r="Y62" i="1052"/>
  <c r="AB11" i="1051"/>
  <c r="P11" i="1051"/>
  <c r="O104" i="1051"/>
  <c r="O236" i="1051"/>
  <c r="Z173" i="1052"/>
  <c r="Z59" i="1052"/>
  <c r="AA49" i="1051"/>
  <c r="O49" i="1051"/>
  <c r="P157" i="1052"/>
  <c r="O121" i="1052"/>
  <c r="O111" i="1052"/>
  <c r="X112" i="1051"/>
  <c r="AA51" i="1051"/>
  <c r="O51" i="1051"/>
  <c r="N68" i="1051"/>
  <c r="N64" i="1051"/>
  <c r="N59" i="1051"/>
  <c r="N54" i="1051"/>
  <c r="N108" i="1051"/>
  <c r="AA8" i="1051"/>
  <c r="N69" i="1051"/>
  <c r="N60" i="1051"/>
  <c r="N56" i="1051"/>
  <c r="N63" i="1051"/>
  <c r="N53" i="1051"/>
  <c r="N66" i="1051"/>
  <c r="N61" i="1051"/>
  <c r="N57" i="1051"/>
  <c r="N67" i="1051"/>
  <c r="N65" i="1051"/>
  <c r="N55" i="1051"/>
  <c r="N62" i="1051"/>
  <c r="N58" i="1051"/>
  <c r="O8" i="1051"/>
  <c r="M202" i="1051"/>
  <c r="M142" i="1051"/>
  <c r="M143" i="1051" s="1"/>
  <c r="M90" i="1051"/>
  <c r="M207" i="1051"/>
  <c r="M95" i="1051"/>
  <c r="X89" i="1051"/>
  <c r="N206" i="1052"/>
  <c r="N94" i="1052"/>
  <c r="W219" i="1052"/>
  <c r="W106" i="1052"/>
  <c r="W110" i="1052" s="1"/>
  <c r="W89" i="1052"/>
  <c r="W117" i="1052"/>
  <c r="N123" i="1051"/>
  <c r="N130" i="1051" a="1"/>
  <c r="N130" i="1051" s="1"/>
  <c r="N164" i="1051" s="1"/>
  <c r="N129" i="1051"/>
  <c r="N163" i="1051" s="1"/>
  <c r="N125" i="1051"/>
  <c r="O10" i="1051"/>
  <c r="N216" i="1051" a="1"/>
  <c r="N216" i="1051" s="1"/>
  <c r="N181" i="1051"/>
  <c r="N180" i="1051"/>
  <c r="N167" i="1051"/>
  <c r="N217" i="1051"/>
  <c r="N179" i="1051"/>
  <c r="N139" i="1051"/>
  <c r="N168" i="1051"/>
  <c r="Z209" i="1051"/>
  <c r="Z97" i="1051"/>
  <c r="O108" i="1052"/>
  <c r="O65" i="1052"/>
  <c r="O69" i="1052"/>
  <c r="O56" i="1052"/>
  <c r="O61" i="1052"/>
  <c r="O58" i="1052"/>
  <c r="O60" i="1052"/>
  <c r="O68" i="1052"/>
  <c r="AB8" i="1052"/>
  <c r="O63" i="1052"/>
  <c r="O64" i="1052"/>
  <c r="O62" i="1052"/>
  <c r="O59" i="1052"/>
  <c r="O57" i="1052"/>
  <c r="P8" i="1052"/>
  <c r="O54" i="1052"/>
  <c r="O53" i="1052"/>
  <c r="O66" i="1052"/>
  <c r="O67" i="1052"/>
  <c r="Z178" i="1052"/>
  <c r="Z64" i="1052"/>
  <c r="L147" i="1051"/>
  <c r="L145" i="1051"/>
  <c r="L146" i="1051" s="1"/>
  <c r="M205" i="1052"/>
  <c r="M93" i="1052"/>
  <c r="Z215" i="1051"/>
  <c r="Z103" i="1051"/>
  <c r="Z185" i="1051"/>
  <c r="Z184" i="1051"/>
  <c r="K144" i="1050"/>
  <c r="M121" i="1051"/>
  <c r="M111" i="1051"/>
  <c r="N210" i="1052"/>
  <c r="N98" i="1052"/>
  <c r="N207" i="1052"/>
  <c r="N95" i="1052"/>
  <c r="Y61" i="1052"/>
  <c r="Z217" i="1052"/>
  <c r="Z131" i="1052"/>
  <c r="Z139" i="1052"/>
  <c r="Z169" i="1052"/>
  <c r="Z168" i="1052"/>
  <c r="Z179" i="1052"/>
  <c r="Z134" i="1052"/>
  <c r="Z167" i="1052"/>
  <c r="Z133" i="1052"/>
  <c r="Z132" i="1052"/>
  <c r="Z65" i="1052"/>
  <c r="AA13" i="1052"/>
  <c r="AA56" i="1052" s="1"/>
  <c r="O13" i="1052"/>
  <c r="O173" i="1051"/>
  <c r="AB16" i="1051"/>
  <c r="P16" i="1051"/>
  <c r="I119" i="1052"/>
  <c r="I120" i="1052"/>
  <c r="I127" i="1052"/>
  <c r="N176" i="1051"/>
  <c r="L219" i="1052"/>
  <c r="L106" i="1052"/>
  <c r="Y121" i="1051"/>
  <c r="Y111" i="1051"/>
  <c r="Z174" i="1052"/>
  <c r="Z60" i="1052"/>
  <c r="L117" i="1052"/>
  <c r="Z63" i="1051"/>
  <c r="N174" i="1051"/>
  <c r="Z176" i="1052"/>
  <c r="Z62" i="1052"/>
  <c r="P88" i="1052" a="1"/>
  <c r="P88" i="1052" s="1"/>
  <c r="AC9" i="1052"/>
  <c r="AC88" i="1052" s="1"/>
  <c r="AC109" i="1052" s="1"/>
  <c r="Q9" i="1052"/>
  <c r="Y176" i="1052"/>
  <c r="AA10" i="1051"/>
  <c r="AA62" i="1051" s="1"/>
  <c r="N149" i="1051"/>
  <c r="O197" i="1052"/>
  <c r="O196" i="1052"/>
  <c r="O198" i="1052"/>
  <c r="K225" i="1051"/>
  <c r="K113" i="1051"/>
  <c r="Y167" i="1052"/>
  <c r="Y217" i="1052"/>
  <c r="M210" i="1051"/>
  <c r="M98" i="1051"/>
  <c r="M211" i="1051"/>
  <c r="M99" i="1051"/>
  <c r="M140" i="1051"/>
  <c r="M212" i="1051"/>
  <c r="M100" i="1051"/>
  <c r="V122" i="1051"/>
  <c r="K120" i="1050"/>
  <c r="K119" i="1050"/>
  <c r="K127" i="1050"/>
  <c r="M203" i="1050"/>
  <c r="M91" i="1050"/>
  <c r="P17" i="1050"/>
  <c r="AB17" i="1050"/>
  <c r="T225" i="1050"/>
  <c r="T113" i="1050"/>
  <c r="T114" i="1050" s="1"/>
  <c r="T115" i="1050" s="1"/>
  <c r="T116" i="1050" s="1"/>
  <c r="T126" i="1050" s="1"/>
  <c r="O9" i="1050"/>
  <c r="AA9" i="1050"/>
  <c r="AA88" i="1050" s="1"/>
  <c r="AA109" i="1050" s="1"/>
  <c r="N88" i="1050" a="1"/>
  <c r="N88" i="1050" s="1"/>
  <c r="Y212" i="1050"/>
  <c r="Y100" i="1050"/>
  <c r="Z208" i="1050"/>
  <c r="Z96" i="1050"/>
  <c r="N171" i="1050"/>
  <c r="AA14" i="1050"/>
  <c r="O14" i="1050"/>
  <c r="Z204" i="1050"/>
  <c r="Z92" i="1050"/>
  <c r="P22" i="1050"/>
  <c r="AB22" i="1050"/>
  <c r="X219" i="1050"/>
  <c r="X106" i="1050"/>
  <c r="D174" i="1050"/>
  <c r="B61" i="1050"/>
  <c r="N130" i="1050" a="1"/>
  <c r="N130" i="1050" s="1"/>
  <c r="N164" i="1050" s="1"/>
  <c r="N125" i="1050"/>
  <c r="N129" i="1050"/>
  <c r="N163" i="1050" s="1"/>
  <c r="N123" i="1050"/>
  <c r="O10" i="1050"/>
  <c r="O176" i="1050" s="1"/>
  <c r="N216" i="1050" a="1"/>
  <c r="N216" i="1050" s="1"/>
  <c r="N181" i="1050"/>
  <c r="N180" i="1050"/>
  <c r="N177" i="1050"/>
  <c r="N178" i="1050"/>
  <c r="P182" i="1050"/>
  <c r="Q23" i="1050"/>
  <c r="AC23" i="1050"/>
  <c r="X145" i="1050"/>
  <c r="X147" i="1050" s="1"/>
  <c r="M202" i="1050"/>
  <c r="M90" i="1050"/>
  <c r="M142" i="1050"/>
  <c r="M143" i="1050" s="1"/>
  <c r="J120" i="1050"/>
  <c r="J119" i="1050"/>
  <c r="J127" i="1050"/>
  <c r="L89" i="1050"/>
  <c r="AA13" i="1050"/>
  <c r="AA56" i="1050" s="1"/>
  <c r="O13" i="1050"/>
  <c r="N174" i="1050"/>
  <c r="X112" i="1050"/>
  <c r="G225" i="1050"/>
  <c r="G113" i="1050"/>
  <c r="M221" i="1050"/>
  <c r="M109" i="1050"/>
  <c r="M70" i="1050"/>
  <c r="AB182" i="1050"/>
  <c r="AB68" i="1050"/>
  <c r="P19" i="1050"/>
  <c r="AB19" i="1050"/>
  <c r="P49" i="1050"/>
  <c r="AB49" i="1050"/>
  <c r="Y121" i="1050"/>
  <c r="Y111" i="1050"/>
  <c r="M214" i="1050"/>
  <c r="M102" i="1050"/>
  <c r="AA215" i="1050"/>
  <c r="AA103" i="1050"/>
  <c r="AA184" i="1050"/>
  <c r="AA185" i="1050"/>
  <c r="N217" i="1050"/>
  <c r="N179" i="1050"/>
  <c r="N168" i="1050"/>
  <c r="N132" i="1050"/>
  <c r="N134" i="1050"/>
  <c r="N133" i="1050"/>
  <c r="N131" i="1050"/>
  <c r="N167" i="1050"/>
  <c r="N139" i="1050"/>
  <c r="AA4" i="1050"/>
  <c r="O4" i="1050"/>
  <c r="Y205" i="1050"/>
  <c r="Y93" i="1050"/>
  <c r="Y213" i="1050"/>
  <c r="Y101" i="1050"/>
  <c r="M208" i="1050"/>
  <c r="M96" i="1050"/>
  <c r="M206" i="1050"/>
  <c r="M94" i="1050"/>
  <c r="M211" i="1050"/>
  <c r="M99" i="1050"/>
  <c r="M140" i="1050"/>
  <c r="Z217" i="1050"/>
  <c r="Z168" i="1050"/>
  <c r="Z167" i="1050"/>
  <c r="Z179" i="1050"/>
  <c r="Z134" i="1050"/>
  <c r="Z169" i="1050"/>
  <c r="Z133" i="1050"/>
  <c r="Z139" i="1050"/>
  <c r="Z131" i="1050"/>
  <c r="Z55" i="1050" s="1"/>
  <c r="Z132" i="1050"/>
  <c r="Z65" i="1050"/>
  <c r="X141" i="1050"/>
  <c r="Y206" i="1050"/>
  <c r="Y94" i="1050"/>
  <c r="X203" i="1050"/>
  <c r="X91" i="1050"/>
  <c r="L141" i="1050"/>
  <c r="Z62" i="1050"/>
  <c r="Y207" i="1050"/>
  <c r="Y95" i="1050"/>
  <c r="L112" i="1050"/>
  <c r="W147" i="1050"/>
  <c r="W145" i="1050"/>
  <c r="W146" i="1050" s="1"/>
  <c r="W148" i="1050"/>
  <c r="Z165" i="1050"/>
  <c r="Z166" i="1050"/>
  <c r="Y202" i="1050"/>
  <c r="Y90" i="1050"/>
  <c r="M207" i="1050"/>
  <c r="M95" i="1050"/>
  <c r="AC20" i="1050"/>
  <c r="Q20" i="1050"/>
  <c r="Y71" i="1050"/>
  <c r="X89" i="1050"/>
  <c r="M215" i="1050"/>
  <c r="M103" i="1050"/>
  <c r="M185" i="1050"/>
  <c r="M184" i="1050"/>
  <c r="M212" i="1050"/>
  <c r="M100" i="1050"/>
  <c r="M209" i="1050"/>
  <c r="M97" i="1050"/>
  <c r="Y214" i="1050"/>
  <c r="Y102" i="1050"/>
  <c r="Y198" i="1050"/>
  <c r="Y196" i="1050"/>
  <c r="Y197" i="1050"/>
  <c r="M213" i="1050"/>
  <c r="M101" i="1050"/>
  <c r="M210" i="1050"/>
  <c r="M98" i="1050"/>
  <c r="L145" i="1050"/>
  <c r="L146" i="1050" s="1"/>
  <c r="W219" i="1050"/>
  <c r="W106" i="1050"/>
  <c r="W110" i="1050" s="1"/>
  <c r="W112" i="1050"/>
  <c r="O12" i="1050"/>
  <c r="AA12" i="1050"/>
  <c r="N166" i="1050"/>
  <c r="N165" i="1050"/>
  <c r="N169" i="1050" s="1"/>
  <c r="M205" i="1050"/>
  <c r="M93" i="1050"/>
  <c r="Z171" i="1050"/>
  <c r="Z57" i="1050"/>
  <c r="Z209" i="1050"/>
  <c r="Z97" i="1050"/>
  <c r="M111" i="1050"/>
  <c r="M121" i="1050"/>
  <c r="Y211" i="1050"/>
  <c r="Y99" i="1050"/>
  <c r="Y140" i="1050"/>
  <c r="Z173" i="1050"/>
  <c r="Z59" i="1050"/>
  <c r="W117" i="1050"/>
  <c r="N108" i="1050"/>
  <c r="N61" i="1050"/>
  <c r="N57" i="1050"/>
  <c r="N65" i="1050"/>
  <c r="N55" i="1050"/>
  <c r="N69" i="1050"/>
  <c r="N62" i="1050"/>
  <c r="N58" i="1050"/>
  <c r="N67" i="1050"/>
  <c r="N64" i="1050"/>
  <c r="N59" i="1050"/>
  <c r="N54" i="1050"/>
  <c r="N71" i="1050" s="1"/>
  <c r="N68" i="1050"/>
  <c r="N63" i="1050"/>
  <c r="O8" i="1050"/>
  <c r="N53" i="1050"/>
  <c r="N60" i="1050"/>
  <c r="AA8" i="1050"/>
  <c r="N66" i="1050"/>
  <c r="N56" i="1050"/>
  <c r="Z172" i="1050"/>
  <c r="Z58" i="1050"/>
  <c r="M198" i="1050"/>
  <c r="M196" i="1050"/>
  <c r="M197" i="1050"/>
  <c r="M204" i="1050"/>
  <c r="M92" i="1050"/>
  <c r="N172" i="1050"/>
  <c r="AA15" i="1050"/>
  <c r="O15" i="1050"/>
  <c r="P11" i="1050"/>
  <c r="AB11" i="1050"/>
  <c r="O236" i="1050"/>
  <c r="O104" i="1050"/>
  <c r="P50" i="1050"/>
  <c r="AB50" i="1050"/>
  <c r="L219" i="1050"/>
  <c r="L106" i="1050"/>
  <c r="L110" i="1050" s="1"/>
  <c r="N173" i="1050"/>
  <c r="AA16" i="1050"/>
  <c r="O16" i="1050"/>
  <c r="W89" i="1050"/>
  <c r="O175" i="1050"/>
  <c r="P18" i="1050"/>
  <c r="AB18" i="1050"/>
  <c r="D230" i="1050"/>
  <c r="B119" i="1050"/>
  <c r="X117" i="1050"/>
  <c r="M71" i="1050"/>
  <c r="M89" i="1050" s="1"/>
  <c r="AA10" i="1050"/>
  <c r="AA61" i="1050" s="1"/>
  <c r="N149" i="1050"/>
  <c r="Q21" i="1050"/>
  <c r="AC21" i="1050"/>
  <c r="Z130" i="1050"/>
  <c r="Z164" i="1050" s="1"/>
  <c r="Z125" i="1050"/>
  <c r="Z129" i="1050"/>
  <c r="Z163" i="1050" s="1"/>
  <c r="Z123" i="1050"/>
  <c r="Z54" i="1050"/>
  <c r="Z53" i="1050"/>
  <c r="Z69" i="1050"/>
  <c r="Z104" i="1050"/>
  <c r="Z216" i="1050"/>
  <c r="Z180" i="1050"/>
  <c r="Z181" i="1050"/>
  <c r="Z67" i="1050"/>
  <c r="Z66" i="1050"/>
  <c r="Z236" i="1050"/>
  <c r="Z177" i="1050"/>
  <c r="Z63" i="1050"/>
  <c r="Z178" i="1050"/>
  <c r="Z64" i="1050"/>
  <c r="Y55" i="1050"/>
  <c r="Y70" i="1050" s="1"/>
  <c r="V148" i="1050"/>
  <c r="AC51" i="1050"/>
  <c r="Q51" i="1050"/>
  <c r="Y120" i="1061" l="1"/>
  <c r="Y119" i="1061"/>
  <c r="Y122" i="1061" s="1"/>
  <c r="Y128" i="1061"/>
  <c r="O99" i="1058"/>
  <c r="O211" i="1058"/>
  <c r="O210" i="1058"/>
  <c r="O98" i="1058"/>
  <c r="L115" i="1061"/>
  <c r="L116" i="1061" s="1"/>
  <c r="L126" i="1061" s="1"/>
  <c r="O205" i="1059"/>
  <c r="O93" i="1059"/>
  <c r="L128" i="1064"/>
  <c r="L119" i="1064"/>
  <c r="L120" i="1064"/>
  <c r="O210" i="1059"/>
  <c r="O98" i="1059"/>
  <c r="Y141" i="1060"/>
  <c r="M225" i="1062"/>
  <c r="M113" i="1062"/>
  <c r="M114" i="1062" s="1"/>
  <c r="M115" i="1062" s="1"/>
  <c r="M116" i="1062" s="1"/>
  <c r="M126" i="1062" s="1"/>
  <c r="N203" i="1064"/>
  <c r="N91" i="1064"/>
  <c r="L128" i="1063"/>
  <c r="L119" i="1063"/>
  <c r="L120" i="1063"/>
  <c r="K115" i="1063"/>
  <c r="K116" i="1063" s="1"/>
  <c r="K126" i="1063" s="1"/>
  <c r="O208" i="1058"/>
  <c r="O96" i="1058"/>
  <c r="N141" i="1058"/>
  <c r="Z113" i="1057"/>
  <c r="Z225" i="1057" s="1"/>
  <c r="Z114" i="1057"/>
  <c r="Z115" i="1057" s="1"/>
  <c r="Z116" i="1057" s="1"/>
  <c r="M225" i="1064"/>
  <c r="M113" i="1064"/>
  <c r="O209" i="1063"/>
  <c r="O97" i="1063"/>
  <c r="O203" i="1059"/>
  <c r="O91" i="1059"/>
  <c r="Y141" i="1064"/>
  <c r="O207" i="1060"/>
  <c r="O95" i="1060"/>
  <c r="X120" i="1059"/>
  <c r="X119" i="1059"/>
  <c r="X122" i="1059" s="1"/>
  <c r="N208" i="1058"/>
  <c r="N96" i="1058"/>
  <c r="N212" i="1062"/>
  <c r="N100" i="1062"/>
  <c r="AB215" i="1061"/>
  <c r="AB103" i="1061"/>
  <c r="AB184" i="1061"/>
  <c r="AB185" i="1061"/>
  <c r="Z196" i="1059"/>
  <c r="Z198" i="1059"/>
  <c r="Z197" i="1059"/>
  <c r="N91" i="1060"/>
  <c r="N203" i="1060"/>
  <c r="N212" i="1059"/>
  <c r="N100" i="1059"/>
  <c r="R17" i="1061"/>
  <c r="AD17" i="1061"/>
  <c r="O177" i="1060"/>
  <c r="P20" i="1060"/>
  <c r="AB20" i="1060"/>
  <c r="Z103" i="1060"/>
  <c r="Z215" i="1060"/>
  <c r="Z185" i="1060"/>
  <c r="Z184" i="1060"/>
  <c r="O175" i="1059"/>
  <c r="AB18" i="1059"/>
  <c r="P18" i="1059"/>
  <c r="Z207" i="1062"/>
  <c r="Z95" i="1062"/>
  <c r="AA219" i="1057"/>
  <c r="AA106" i="1057"/>
  <c r="D175" i="1057"/>
  <c r="B62" i="1057"/>
  <c r="N215" i="1060"/>
  <c r="N185" i="1060"/>
  <c r="N103" i="1060"/>
  <c r="N184" i="1060"/>
  <c r="AC174" i="1057"/>
  <c r="AC60" i="1057"/>
  <c r="N71" i="1064"/>
  <c r="Q172" i="1061"/>
  <c r="R15" i="1061"/>
  <c r="AD15" i="1061"/>
  <c r="X219" i="1060"/>
  <c r="X106" i="1060"/>
  <c r="AB16" i="1062"/>
  <c r="O173" i="1062"/>
  <c r="P16" i="1062"/>
  <c r="AA202" i="1061"/>
  <c r="AA90" i="1061"/>
  <c r="AA142" i="1061"/>
  <c r="AA143" i="1061" s="1"/>
  <c r="O121" i="1061"/>
  <c r="O111" i="1061"/>
  <c r="O217" i="1064"/>
  <c r="O179" i="1064"/>
  <c r="O167" i="1064"/>
  <c r="O168" i="1064"/>
  <c r="O139" i="1064"/>
  <c r="O133" i="1064"/>
  <c r="O132" i="1064"/>
  <c r="O131" i="1064"/>
  <c r="O134" i="1064"/>
  <c r="P4" i="1064"/>
  <c r="AB4" i="1064"/>
  <c r="Y212" i="1063"/>
  <c r="Y100" i="1063"/>
  <c r="O204" i="1063"/>
  <c r="O92" i="1063"/>
  <c r="O205" i="1063"/>
  <c r="O93" i="1063"/>
  <c r="AB209" i="1061"/>
  <c r="AB97" i="1061"/>
  <c r="Z209" i="1063"/>
  <c r="Z97" i="1063"/>
  <c r="AA166" i="1064"/>
  <c r="AA165" i="1064"/>
  <c r="Y214" i="1058"/>
  <c r="Y102" i="1058"/>
  <c r="AB91" i="1057"/>
  <c r="AB203" i="1057"/>
  <c r="O88" i="1060" a="1"/>
  <c r="O88" i="1060" s="1"/>
  <c r="AB9" i="1060"/>
  <c r="AB88" i="1060" s="1"/>
  <c r="AB109" i="1060" s="1"/>
  <c r="P9" i="1060"/>
  <c r="O121" i="1064"/>
  <c r="O111" i="1064"/>
  <c r="L225" i="1062"/>
  <c r="L113" i="1062"/>
  <c r="Z215" i="1058"/>
  <c r="Z103" i="1058"/>
  <c r="Z185" i="1058"/>
  <c r="Z184" i="1058"/>
  <c r="M91" i="1063"/>
  <c r="M203" i="1063"/>
  <c r="M142" i="1063"/>
  <c r="M143" i="1063" s="1"/>
  <c r="Z208" i="1063"/>
  <c r="Z96" i="1063"/>
  <c r="P175" i="1061"/>
  <c r="N215" i="1057"/>
  <c r="N103" i="1057"/>
  <c r="N184" i="1057"/>
  <c r="N185" i="1057"/>
  <c r="N96" i="1057"/>
  <c r="N208" i="1057"/>
  <c r="AB211" i="1061"/>
  <c r="AB99" i="1061"/>
  <c r="Q12" i="1062"/>
  <c r="AC12" i="1062"/>
  <c r="P165" i="1062"/>
  <c r="P166" i="1062"/>
  <c r="L144" i="1062"/>
  <c r="Y111" i="1060"/>
  <c r="Y121" i="1060"/>
  <c r="Y71" i="1062"/>
  <c r="Y70" i="1062"/>
  <c r="X147" i="1058"/>
  <c r="X145" i="1058"/>
  <c r="X144" i="1058" s="1"/>
  <c r="AA171" i="1059"/>
  <c r="AA57" i="1059"/>
  <c r="Y198" i="1064"/>
  <c r="Y197" i="1064"/>
  <c r="Y196" i="1064"/>
  <c r="AA173" i="1060"/>
  <c r="AA59" i="1060"/>
  <c r="O182" i="1058"/>
  <c r="AB23" i="1058"/>
  <c r="P23" i="1058"/>
  <c r="O214" i="1060"/>
  <c r="O102" i="1060"/>
  <c r="O213" i="1060"/>
  <c r="O101" i="1060"/>
  <c r="O209" i="1060"/>
  <c r="O97" i="1060"/>
  <c r="AA182" i="1064"/>
  <c r="AA68" i="1064"/>
  <c r="W120" i="1060"/>
  <c r="W119" i="1060"/>
  <c r="W122" i="1060" s="1"/>
  <c r="P177" i="1061"/>
  <c r="AB203" i="1061"/>
  <c r="AB91" i="1061"/>
  <c r="L128" i="1062"/>
  <c r="L120" i="1062"/>
  <c r="L119" i="1062"/>
  <c r="L122" i="1062" s="1"/>
  <c r="O88" i="1062" a="1"/>
  <c r="O88" i="1062" s="1"/>
  <c r="P9" i="1062"/>
  <c r="AB9" i="1062"/>
  <c r="AB88" i="1062" s="1"/>
  <c r="AB109" i="1062" s="1"/>
  <c r="X148" i="1059"/>
  <c r="P168" i="1061"/>
  <c r="P139" i="1061"/>
  <c r="P176" i="1061"/>
  <c r="P221" i="1058"/>
  <c r="P109" i="1058"/>
  <c r="G126" i="1061"/>
  <c r="AC20" i="1059"/>
  <c r="Q20" i="1059"/>
  <c r="Z145" i="1061"/>
  <c r="Z147" i="1061" s="1"/>
  <c r="Z144" i="1061"/>
  <c r="AA112" i="1057"/>
  <c r="O174" i="1060"/>
  <c r="P17" i="1060"/>
  <c r="AB17" i="1060"/>
  <c r="R12" i="1057"/>
  <c r="AD12" i="1057"/>
  <c r="Q166" i="1057"/>
  <c r="Q165" i="1057"/>
  <c r="O133" i="1058"/>
  <c r="L144" i="1064"/>
  <c r="AA178" i="1059"/>
  <c r="AB142" i="1057"/>
  <c r="AB143" i="1057" s="1"/>
  <c r="AB202" i="1057"/>
  <c r="AB90" i="1057"/>
  <c r="AB57" i="1060"/>
  <c r="AB171" i="1060"/>
  <c r="N210" i="1061"/>
  <c r="N98" i="1061"/>
  <c r="N211" i="1061"/>
  <c r="N99" i="1061"/>
  <c r="N140" i="1061"/>
  <c r="O213" i="1059"/>
  <c r="O101" i="1059"/>
  <c r="G126" i="1062"/>
  <c r="Q21" i="1060"/>
  <c r="AC21" i="1060"/>
  <c r="AA133" i="1058"/>
  <c r="AA89" i="1057"/>
  <c r="AA60" i="1059"/>
  <c r="AA167" i="1059"/>
  <c r="N196" i="1059"/>
  <c r="N198" i="1059"/>
  <c r="N197" i="1059"/>
  <c r="Q171" i="1061"/>
  <c r="R14" i="1061"/>
  <c r="AD14" i="1061"/>
  <c r="O180" i="1060"/>
  <c r="O130" i="1060" a="1"/>
  <c r="O130" i="1060" s="1"/>
  <c r="O164" i="1060" s="1"/>
  <c r="O125" i="1060"/>
  <c r="O129" i="1060"/>
  <c r="O163" i="1060" s="1"/>
  <c r="O123" i="1060"/>
  <c r="P10" i="1060"/>
  <c r="P178" i="1060" s="1"/>
  <c r="O181" i="1060"/>
  <c r="O216" i="1060" a="1"/>
  <c r="O216" i="1060" s="1"/>
  <c r="AA10" i="1062"/>
  <c r="N149" i="1062"/>
  <c r="K122" i="1064"/>
  <c r="M219" i="1058"/>
  <c r="M106" i="1058"/>
  <c r="M110" i="1058" s="1"/>
  <c r="N215" i="1058"/>
  <c r="N103" i="1058"/>
  <c r="N185" i="1058"/>
  <c r="N184" i="1058"/>
  <c r="N205" i="1062"/>
  <c r="N93" i="1062"/>
  <c r="L219" i="1060"/>
  <c r="L106" i="1060"/>
  <c r="Y208" i="1064"/>
  <c r="Y96" i="1064"/>
  <c r="X127" i="1059"/>
  <c r="R50" i="1057"/>
  <c r="AE50" i="1057" s="1"/>
  <c r="AD50" i="1057"/>
  <c r="AB206" i="1061"/>
  <c r="AB94" i="1061"/>
  <c r="AA175" i="1059"/>
  <c r="AA61" i="1059"/>
  <c r="O172" i="1060"/>
  <c r="AB15" i="1060"/>
  <c r="P15" i="1060"/>
  <c r="N117" i="1064"/>
  <c r="R17" i="1057"/>
  <c r="AD17" i="1057"/>
  <c r="N213" i="1064"/>
  <c r="N101" i="1064"/>
  <c r="N215" i="1064"/>
  <c r="N103" i="1064"/>
  <c r="N185" i="1064"/>
  <c r="N184" i="1064"/>
  <c r="AC172" i="1061"/>
  <c r="AC58" i="1061"/>
  <c r="AA205" i="1062"/>
  <c r="AA93" i="1062"/>
  <c r="O197" i="1061"/>
  <c r="O196" i="1061"/>
  <c r="O198" i="1061"/>
  <c r="Y197" i="1063"/>
  <c r="Y196" i="1063"/>
  <c r="Y198" i="1063"/>
  <c r="N213" i="1059"/>
  <c r="N101" i="1059"/>
  <c r="P134" i="1059"/>
  <c r="P132" i="1059"/>
  <c r="P131" i="1059"/>
  <c r="Q4" i="1059"/>
  <c r="P133" i="1059"/>
  <c r="AC4" i="1059"/>
  <c r="N208" i="1063"/>
  <c r="N96" i="1063"/>
  <c r="O214" i="1063"/>
  <c r="O102" i="1063"/>
  <c r="O208" i="1063"/>
  <c r="O96" i="1063"/>
  <c r="O165" i="1064"/>
  <c r="O169" i="1064" s="1"/>
  <c r="O166" i="1064"/>
  <c r="P12" i="1064"/>
  <c r="AB12" i="1064"/>
  <c r="Y142" i="1058"/>
  <c r="Y143" i="1058" s="1"/>
  <c r="Y202" i="1058"/>
  <c r="Y90" i="1058"/>
  <c r="X147" i="1060"/>
  <c r="X145" i="1060"/>
  <c r="X146" i="1060" s="1"/>
  <c r="X144" i="1060"/>
  <c r="Z207" i="1058"/>
  <c r="Z95" i="1058"/>
  <c r="R51" i="1057"/>
  <c r="AE51" i="1057" s="1"/>
  <c r="AD51" i="1057"/>
  <c r="Z210" i="1064"/>
  <c r="Z98" i="1064"/>
  <c r="N208" i="1059"/>
  <c r="N96" i="1059"/>
  <c r="D233" i="1062"/>
  <c r="B122" i="1062"/>
  <c r="L128" i="1061"/>
  <c r="L120" i="1061"/>
  <c r="L119" i="1061"/>
  <c r="Z215" i="1064"/>
  <c r="Z103" i="1064"/>
  <c r="Z185" i="1064"/>
  <c r="Z184" i="1064"/>
  <c r="O88" i="1063" a="1"/>
  <c r="O88" i="1063" s="1"/>
  <c r="AB9" i="1063"/>
  <c r="AB88" i="1063" s="1"/>
  <c r="AB109" i="1063" s="1"/>
  <c r="P9" i="1063"/>
  <c r="N55" i="1058"/>
  <c r="R18" i="1061"/>
  <c r="AD18" i="1061"/>
  <c r="N71" i="1057"/>
  <c r="N70" i="1057"/>
  <c r="N102" i="1057"/>
  <c r="N214" i="1057"/>
  <c r="N213" i="1057"/>
  <c r="N101" i="1057"/>
  <c r="O177" i="1063"/>
  <c r="AB20" i="1063"/>
  <c r="P20" i="1063"/>
  <c r="Y198" i="1060"/>
  <c r="Y197" i="1060"/>
  <c r="Y196" i="1060"/>
  <c r="AC177" i="1057"/>
  <c r="AC63" i="1057"/>
  <c r="Z89" i="1057"/>
  <c r="Z126" i="1057" s="1"/>
  <c r="Y214" i="1064"/>
  <c r="Y102" i="1064"/>
  <c r="O175" i="1058"/>
  <c r="AB18" i="1058"/>
  <c r="P18" i="1058"/>
  <c r="AA182" i="1058"/>
  <c r="AA68" i="1058"/>
  <c r="AA62" i="1063"/>
  <c r="AA176" i="1063"/>
  <c r="O208" i="1060"/>
  <c r="O96" i="1060"/>
  <c r="D232" i="1060"/>
  <c r="B121" i="1060"/>
  <c r="X147" i="1059"/>
  <c r="Q217" i="1061"/>
  <c r="Q134" i="1061"/>
  <c r="Q133" i="1061"/>
  <c r="Q132" i="1061"/>
  <c r="Q131" i="1061"/>
  <c r="R4" i="1061"/>
  <c r="AD4" i="1061"/>
  <c r="R19" i="1061"/>
  <c r="AD19" i="1061"/>
  <c r="AC139" i="1057"/>
  <c r="AC217" i="1057"/>
  <c r="AC134" i="1057"/>
  <c r="AC179" i="1057"/>
  <c r="AC168" i="1057"/>
  <c r="AC133" i="1057"/>
  <c r="AC131" i="1057"/>
  <c r="AC167" i="1057"/>
  <c r="AC132" i="1057"/>
  <c r="AC65" i="1057"/>
  <c r="O172" i="1062"/>
  <c r="AB15" i="1062"/>
  <c r="P15" i="1062"/>
  <c r="P177" i="1062"/>
  <c r="AC20" i="1062"/>
  <c r="Q20" i="1062"/>
  <c r="AB207" i="1061"/>
  <c r="AB95" i="1061"/>
  <c r="L225" i="1063"/>
  <c r="L113" i="1063"/>
  <c r="L114" i="1063" s="1"/>
  <c r="P121" i="1058"/>
  <c r="P111" i="1058"/>
  <c r="M112" i="1060"/>
  <c r="O92" i="1058"/>
  <c r="O204" i="1058"/>
  <c r="Z148" i="1057"/>
  <c r="AB198" i="1057"/>
  <c r="AB196" i="1057"/>
  <c r="AB197" i="1057"/>
  <c r="Q14" i="1060"/>
  <c r="P171" i="1060"/>
  <c r="AC14" i="1060"/>
  <c r="N204" i="1061"/>
  <c r="N92" i="1061"/>
  <c r="O214" i="1059"/>
  <c r="O102" i="1059"/>
  <c r="O206" i="1059"/>
  <c r="O94" i="1059"/>
  <c r="Q49" i="1058"/>
  <c r="AC49" i="1058"/>
  <c r="Z211" i="1059"/>
  <c r="Z99" i="1059"/>
  <c r="Z140" i="1059"/>
  <c r="O172" i="1059"/>
  <c r="AB15" i="1059"/>
  <c r="P15" i="1059"/>
  <c r="AA142" i="1057"/>
  <c r="AA143" i="1057" s="1"/>
  <c r="AA174" i="1059"/>
  <c r="AA139" i="1059"/>
  <c r="D175" i="1058"/>
  <c r="B62" i="1058"/>
  <c r="AC171" i="1061"/>
  <c r="AC57" i="1061"/>
  <c r="AB173" i="1059"/>
  <c r="AB59" i="1059"/>
  <c r="W144" i="1064"/>
  <c r="Z203" i="1059"/>
  <c r="Z91" i="1059"/>
  <c r="M148" i="1058"/>
  <c r="M147" i="1058"/>
  <c r="M145" i="1058"/>
  <c r="M146" i="1058" s="1"/>
  <c r="M144" i="1058"/>
  <c r="Z144" i="1057"/>
  <c r="G126" i="1058"/>
  <c r="N140" i="1060"/>
  <c r="V122" i="1060"/>
  <c r="W127" i="1055"/>
  <c r="X117" i="1054"/>
  <c r="K122" i="1056"/>
  <c r="W113" i="1058"/>
  <c r="W225" i="1058" s="1"/>
  <c r="N210" i="1062"/>
  <c r="N98" i="1062"/>
  <c r="N209" i="1062"/>
  <c r="N97" i="1062"/>
  <c r="X114" i="1062"/>
  <c r="X115" i="1062" s="1"/>
  <c r="X116" i="1062" s="1"/>
  <c r="X126" i="1062" s="1"/>
  <c r="X113" i="1062"/>
  <c r="X225" i="1062" s="1"/>
  <c r="AA172" i="1063"/>
  <c r="AA58" i="1063"/>
  <c r="Z142" i="1059"/>
  <c r="Z143" i="1059" s="1"/>
  <c r="Z90" i="1059"/>
  <c r="Z202" i="1059"/>
  <c r="Y114" i="1057"/>
  <c r="Y115" i="1057" s="1"/>
  <c r="Y116" i="1057" s="1"/>
  <c r="Y126" i="1057" s="1"/>
  <c r="AA132" i="1060"/>
  <c r="AA131" i="1060"/>
  <c r="AA55" i="1060" s="1"/>
  <c r="AA134" i="1060"/>
  <c r="AA133" i="1060"/>
  <c r="R21" i="1061"/>
  <c r="AD21" i="1061"/>
  <c r="G126" i="1063"/>
  <c r="X141" i="1064"/>
  <c r="N92" i="1058"/>
  <c r="N204" i="1058"/>
  <c r="X145" i="1062"/>
  <c r="X144" i="1062" s="1"/>
  <c r="L147" i="1057"/>
  <c r="X146" i="1058"/>
  <c r="X141" i="1058"/>
  <c r="M141" i="1061"/>
  <c r="N70" i="1064"/>
  <c r="V114" i="1064"/>
  <c r="V115" i="1064" s="1"/>
  <c r="V116" i="1064" s="1"/>
  <c r="V126" i="1064" s="1"/>
  <c r="Z129" i="1058"/>
  <c r="Z163" i="1058" s="1"/>
  <c r="Z130" i="1058"/>
  <c r="Z164" i="1058" s="1"/>
  <c r="Z125" i="1058"/>
  <c r="Z123" i="1058"/>
  <c r="Z69" i="1058"/>
  <c r="Z54" i="1058"/>
  <c r="Z53" i="1058"/>
  <c r="Z216" i="1058"/>
  <c r="Z236" i="1058"/>
  <c r="Z104" i="1058"/>
  <c r="Z181" i="1058"/>
  <c r="Z180" i="1058"/>
  <c r="Z67" i="1058"/>
  <c r="Z66" i="1058"/>
  <c r="Z167" i="1058"/>
  <c r="Z139" i="1058"/>
  <c r="Z217" i="1058"/>
  <c r="Z65" i="1058"/>
  <c r="Z179" i="1058"/>
  <c r="Z168" i="1058"/>
  <c r="W120" i="1058"/>
  <c r="W119" i="1058"/>
  <c r="W122" i="1058" s="1"/>
  <c r="N202" i="1064"/>
  <c r="N142" i="1064"/>
  <c r="N143" i="1064" s="1"/>
  <c r="N90" i="1064"/>
  <c r="M141" i="1062"/>
  <c r="P130" i="1062" a="1"/>
  <c r="P130" i="1062" s="1"/>
  <c r="P164" i="1062" s="1"/>
  <c r="P125" i="1062"/>
  <c r="P123" i="1062"/>
  <c r="P129" i="1062"/>
  <c r="P163" i="1062" s="1"/>
  <c r="P181" i="1062"/>
  <c r="Q10" i="1062"/>
  <c r="P180" i="1062"/>
  <c r="P216" i="1062" a="1"/>
  <c r="P216" i="1062" s="1"/>
  <c r="M219" i="1060"/>
  <c r="M106" i="1060"/>
  <c r="AA59" i="1062"/>
  <c r="AA173" i="1062"/>
  <c r="O129" i="1063"/>
  <c r="O163" i="1063" s="1"/>
  <c r="O123" i="1063"/>
  <c r="O181" i="1063"/>
  <c r="O130" i="1063" a="1"/>
  <c r="O130" i="1063" s="1"/>
  <c r="O164" i="1063" s="1"/>
  <c r="O125" i="1063"/>
  <c r="O180" i="1063"/>
  <c r="P10" i="1063"/>
  <c r="O216" i="1063" a="1"/>
  <c r="O216" i="1063" s="1"/>
  <c r="AA214" i="1061"/>
  <c r="AA102" i="1061"/>
  <c r="P130" i="1061" a="1"/>
  <c r="P130" i="1061" s="1"/>
  <c r="P164" i="1061" s="1"/>
  <c r="P129" i="1061"/>
  <c r="P163" i="1061" s="1"/>
  <c r="P123" i="1061"/>
  <c r="Q10" i="1061"/>
  <c r="Q175" i="1061" s="1"/>
  <c r="P125" i="1061"/>
  <c r="P216" i="1061" a="1"/>
  <c r="P216" i="1061" s="1"/>
  <c r="P180" i="1061"/>
  <c r="P181" i="1061"/>
  <c r="Y213" i="1063"/>
  <c r="Y101" i="1063"/>
  <c r="Y140" i="1058"/>
  <c r="N142" i="1060"/>
  <c r="N143" i="1060" s="1"/>
  <c r="N90" i="1060"/>
  <c r="N202" i="1060"/>
  <c r="D231" i="1063"/>
  <c r="B120" i="1063"/>
  <c r="O65" i="1063"/>
  <c r="O54" i="1063"/>
  <c r="O71" i="1063" s="1"/>
  <c r="O174" i="1063"/>
  <c r="AB17" i="1063"/>
  <c r="P17" i="1063"/>
  <c r="Z212" i="1064"/>
  <c r="Z100" i="1064"/>
  <c r="O182" i="1060"/>
  <c r="AB23" i="1060"/>
  <c r="P23" i="1060"/>
  <c r="AB211" i="1057"/>
  <c r="AB99" i="1057"/>
  <c r="AB140" i="1057"/>
  <c r="N221" i="1060"/>
  <c r="N70" i="1060"/>
  <c r="N109" i="1060"/>
  <c r="P125" i="1064"/>
  <c r="P129" i="1064"/>
  <c r="P163" i="1064" s="1"/>
  <c r="P130" i="1064" a="1"/>
  <c r="P130" i="1064" s="1"/>
  <c r="P164" i="1064" s="1"/>
  <c r="P123" i="1064"/>
  <c r="Q10" i="1064"/>
  <c r="P216" i="1064" a="1"/>
  <c r="P216" i="1064" s="1"/>
  <c r="P180" i="1064"/>
  <c r="P181" i="1064"/>
  <c r="O174" i="1062"/>
  <c r="AB17" i="1062"/>
  <c r="P17" i="1062"/>
  <c r="Z61" i="1058"/>
  <c r="X114" i="1059"/>
  <c r="X115" i="1059" s="1"/>
  <c r="X116" i="1059" s="1"/>
  <c r="X113" i="1059"/>
  <c r="X225" i="1059" s="1"/>
  <c r="N207" i="1057"/>
  <c r="N95" i="1057"/>
  <c r="O108" i="1057"/>
  <c r="O63" i="1057"/>
  <c r="O53" i="1057"/>
  <c r="O61" i="1057"/>
  <c r="O57" i="1057"/>
  <c r="P8" i="1057"/>
  <c r="O65" i="1057"/>
  <c r="O55" i="1057"/>
  <c r="O64" i="1057"/>
  <c r="O69" i="1057"/>
  <c r="O62" i="1057"/>
  <c r="O58" i="1057"/>
  <c r="O59" i="1057"/>
  <c r="O67" i="1057"/>
  <c r="O54" i="1057"/>
  <c r="O68" i="1057"/>
  <c r="AB8" i="1057"/>
  <c r="O66" i="1057"/>
  <c r="O60" i="1057"/>
  <c r="O56" i="1057"/>
  <c r="L147" i="1062"/>
  <c r="Y212" i="1060"/>
  <c r="Y100" i="1060"/>
  <c r="R20" i="1057"/>
  <c r="AD20" i="1057"/>
  <c r="AD10" i="1057"/>
  <c r="Y111" i="1064"/>
  <c r="Y121" i="1064"/>
  <c r="M145" i="1060"/>
  <c r="M146" i="1060" s="1"/>
  <c r="M147" i="1060"/>
  <c r="M148" i="1060"/>
  <c r="O176" i="1063"/>
  <c r="AB19" i="1063"/>
  <c r="P19" i="1063"/>
  <c r="O63" i="1060"/>
  <c r="AA10" i="1063"/>
  <c r="AA63" i="1063" s="1"/>
  <c r="N149" i="1063"/>
  <c r="Z146" i="1061"/>
  <c r="Z141" i="1061"/>
  <c r="Z211" i="1063"/>
  <c r="Z99" i="1063"/>
  <c r="N109" i="1062"/>
  <c r="N70" i="1062"/>
  <c r="N112" i="1062" s="1"/>
  <c r="N221" i="1062"/>
  <c r="AA58" i="1062"/>
  <c r="AA172" i="1062"/>
  <c r="AA204" i="1064"/>
  <c r="AA92" i="1064"/>
  <c r="O217" i="1063"/>
  <c r="O133" i="1063"/>
  <c r="O168" i="1063"/>
  <c r="O132" i="1063"/>
  <c r="O131" i="1063"/>
  <c r="O179" i="1063"/>
  <c r="O167" i="1063"/>
  <c r="AB4" i="1063"/>
  <c r="O134" i="1063"/>
  <c r="P4" i="1063"/>
  <c r="O139" i="1063"/>
  <c r="R9" i="1061"/>
  <c r="AD9" i="1061"/>
  <c r="AD88" i="1061" s="1"/>
  <c r="AD109" i="1061" s="1"/>
  <c r="Q88" i="1061" a="1"/>
  <c r="Q88" i="1061" s="1"/>
  <c r="P198" i="1058"/>
  <c r="P197" i="1058"/>
  <c r="P196" i="1058"/>
  <c r="O131" i="1058"/>
  <c r="O68" i="1058"/>
  <c r="O197" i="1057"/>
  <c r="O196" i="1057"/>
  <c r="O198" i="1057"/>
  <c r="AB71" i="1057"/>
  <c r="AB70" i="1057"/>
  <c r="AB129" i="1061"/>
  <c r="AB163" i="1061" s="1"/>
  <c r="AB123" i="1061"/>
  <c r="AB69" i="1061"/>
  <c r="AB130" i="1061"/>
  <c r="AB164" i="1061" s="1"/>
  <c r="AB125" i="1061"/>
  <c r="AB53" i="1061"/>
  <c r="AB54" i="1061"/>
  <c r="AB104" i="1061"/>
  <c r="AB180" i="1061"/>
  <c r="AB236" i="1061"/>
  <c r="AB181" i="1061"/>
  <c r="AB67" i="1061"/>
  <c r="AB66" i="1061"/>
  <c r="AB216" i="1061"/>
  <c r="N202" i="1061"/>
  <c r="N142" i="1061"/>
  <c r="N143" i="1061" s="1"/>
  <c r="N90" i="1061"/>
  <c r="N203" i="1061"/>
  <c r="N91" i="1061"/>
  <c r="N208" i="1061"/>
  <c r="N96" i="1061"/>
  <c r="O207" i="1059"/>
  <c r="O95" i="1059"/>
  <c r="O61" i="1059"/>
  <c r="Z215" i="1059"/>
  <c r="Z103" i="1059"/>
  <c r="Z185" i="1059"/>
  <c r="Z184" i="1059"/>
  <c r="Z61" i="1062"/>
  <c r="AA172" i="1059"/>
  <c r="AA58" i="1059"/>
  <c r="AA217" i="1059"/>
  <c r="X117" i="1064"/>
  <c r="Y219" i="1059"/>
  <c r="Y106" i="1059"/>
  <c r="Y110" i="1059" s="1"/>
  <c r="P178" i="1063"/>
  <c r="AC21" i="1063"/>
  <c r="Q21" i="1063"/>
  <c r="Z129" i="1060"/>
  <c r="Z163" i="1060" s="1"/>
  <c r="Z123" i="1060"/>
  <c r="Z69" i="1060"/>
  <c r="Z125" i="1060"/>
  <c r="Z54" i="1060"/>
  <c r="Z53" i="1060"/>
  <c r="Z130" i="1060"/>
  <c r="Z164" i="1060" s="1"/>
  <c r="Z104" i="1060"/>
  <c r="Z216" i="1060"/>
  <c r="Z66" i="1060"/>
  <c r="Z180" i="1060"/>
  <c r="Z67" i="1060"/>
  <c r="Z181" i="1060"/>
  <c r="Z236" i="1060"/>
  <c r="Z178" i="1060"/>
  <c r="Z64" i="1060"/>
  <c r="M117" i="1058"/>
  <c r="L144" i="1050"/>
  <c r="L144" i="1052"/>
  <c r="N214" i="1062"/>
  <c r="N102" i="1062"/>
  <c r="N202" i="1062"/>
  <c r="N90" i="1062"/>
  <c r="N142" i="1062"/>
  <c r="N143" i="1062" s="1"/>
  <c r="AA10" i="1064"/>
  <c r="AA177" i="1064" s="1"/>
  <c r="N149" i="1064"/>
  <c r="M113" i="1059"/>
  <c r="M225" i="1059"/>
  <c r="M114" i="1059"/>
  <c r="M115" i="1059" s="1"/>
  <c r="M116" i="1059" s="1"/>
  <c r="AB49" i="1063"/>
  <c r="P49" i="1063"/>
  <c r="L117" i="1060"/>
  <c r="AC175" i="1057"/>
  <c r="AC61" i="1057"/>
  <c r="X112" i="1060"/>
  <c r="AA172" i="1060"/>
  <c r="AA58" i="1060"/>
  <c r="W120" i="1063"/>
  <c r="W119" i="1063"/>
  <c r="W122" i="1063" s="1"/>
  <c r="W113" i="1064"/>
  <c r="W225" i="1064" s="1"/>
  <c r="AD51" i="1064"/>
  <c r="R51" i="1064"/>
  <c r="AE51" i="1064" s="1"/>
  <c r="W114" i="1063"/>
  <c r="W115" i="1063" s="1"/>
  <c r="W116" i="1063" s="1"/>
  <c r="W126" i="1063" s="1"/>
  <c r="M141" i="1063"/>
  <c r="N206" i="1064"/>
  <c r="N94" i="1064"/>
  <c r="N205" i="1064"/>
  <c r="N93" i="1064"/>
  <c r="Y141" i="1059"/>
  <c r="Z211" i="1064"/>
  <c r="Z99" i="1064"/>
  <c r="O176" i="1058"/>
  <c r="AB19" i="1058"/>
  <c r="P19" i="1058"/>
  <c r="Z208" i="1062"/>
  <c r="Z96" i="1062"/>
  <c r="AA70" i="1061"/>
  <c r="AA89" i="1061" s="1"/>
  <c r="AA71" i="1061"/>
  <c r="Q50" i="1064"/>
  <c r="AC50" i="1064"/>
  <c r="Y214" i="1063"/>
  <c r="Y102" i="1063"/>
  <c r="Y142" i="1063"/>
  <c r="Y143" i="1063" s="1"/>
  <c r="Y202" i="1063"/>
  <c r="Y90" i="1063"/>
  <c r="M148" i="1061"/>
  <c r="M145" i="1061"/>
  <c r="M146" i="1061" s="1"/>
  <c r="O215" i="1063"/>
  <c r="O103" i="1063"/>
  <c r="O184" i="1063"/>
  <c r="O185" i="1063"/>
  <c r="O90" i="1063"/>
  <c r="O202" i="1063"/>
  <c r="AB215" i="1057"/>
  <c r="AB103" i="1057"/>
  <c r="AB185" i="1057"/>
  <c r="AB184" i="1057"/>
  <c r="M145" i="1064"/>
  <c r="M147" i="1064" s="1"/>
  <c r="Y121" i="1058"/>
  <c r="Y111" i="1058"/>
  <c r="M148" i="1062"/>
  <c r="M147" i="1062"/>
  <c r="M145" i="1062"/>
  <c r="M146" i="1062" s="1"/>
  <c r="M144" i="1062"/>
  <c r="AA173" i="1064"/>
  <c r="AA59" i="1064"/>
  <c r="D231" i="1064"/>
  <c r="B120" i="1064"/>
  <c r="AA174" i="1062"/>
  <c r="AA60" i="1062"/>
  <c r="R49" i="1057"/>
  <c r="AE49" i="1057" s="1"/>
  <c r="AD49" i="1057"/>
  <c r="Z175" i="1058"/>
  <c r="O172" i="1058"/>
  <c r="AB15" i="1058"/>
  <c r="P15" i="1058"/>
  <c r="P88" i="1064" a="1"/>
  <c r="P88" i="1064" s="1"/>
  <c r="AC9" i="1064"/>
  <c r="AC88" i="1064" s="1"/>
  <c r="AC109" i="1064" s="1"/>
  <c r="Q9" i="1064"/>
  <c r="N221" i="1063"/>
  <c r="N109" i="1063"/>
  <c r="P169" i="1062"/>
  <c r="P139" i="1062"/>
  <c r="P168" i="1062"/>
  <c r="P132" i="1062"/>
  <c r="P131" i="1062"/>
  <c r="P179" i="1062"/>
  <c r="P167" i="1062"/>
  <c r="P134" i="1062"/>
  <c r="P133" i="1062"/>
  <c r="Q4" i="1062"/>
  <c r="AC4" i="1062"/>
  <c r="P217" i="1062"/>
  <c r="N100" i="1057"/>
  <c r="N212" i="1057"/>
  <c r="N93" i="1057"/>
  <c r="N205" i="1057"/>
  <c r="M219" i="1057"/>
  <c r="M106" i="1057"/>
  <c r="M110" i="1057" s="1"/>
  <c r="AB166" i="1062"/>
  <c r="AB165" i="1062"/>
  <c r="Y90" i="1060"/>
  <c r="Y202" i="1060"/>
  <c r="Y142" i="1060"/>
  <c r="Y143" i="1060" s="1"/>
  <c r="Y212" i="1062"/>
  <c r="Y100" i="1062"/>
  <c r="X112" i="1063"/>
  <c r="AE11" i="1057"/>
  <c r="R104" i="1057"/>
  <c r="AF104" i="1057" s="1"/>
  <c r="R236" i="1057"/>
  <c r="M89" i="1060"/>
  <c r="W146" i="1060"/>
  <c r="AA93" i="1060"/>
  <c r="AA205" i="1060"/>
  <c r="AA207" i="1063"/>
  <c r="AA95" i="1063"/>
  <c r="O98" i="1060"/>
  <c r="O210" i="1060"/>
  <c r="O100" i="1060"/>
  <c r="O212" i="1060"/>
  <c r="D232" i="1057"/>
  <c r="B121" i="1057"/>
  <c r="P11" i="1063"/>
  <c r="AB11" i="1063"/>
  <c r="O104" i="1063"/>
  <c r="O236" i="1063"/>
  <c r="AB50" i="1063"/>
  <c r="P50" i="1063"/>
  <c r="Z211" i="1060"/>
  <c r="Z99" i="1060"/>
  <c r="AC132" i="1061"/>
  <c r="AC131" i="1061"/>
  <c r="AC134" i="1061"/>
  <c r="AC133" i="1061"/>
  <c r="B121" i="1059"/>
  <c r="D232" i="1059"/>
  <c r="P13" i="1064"/>
  <c r="AB13" i="1064"/>
  <c r="AB56" i="1064" s="1"/>
  <c r="M219" i="1061"/>
  <c r="M106" i="1061"/>
  <c r="M110" i="1061" s="1"/>
  <c r="AC13" i="1059"/>
  <c r="AC56" i="1059" s="1"/>
  <c r="Q13" i="1059"/>
  <c r="AA217" i="1063"/>
  <c r="AA167" i="1063"/>
  <c r="AA179" i="1063"/>
  <c r="AA139" i="1063"/>
  <c r="AA131" i="1063"/>
  <c r="AA132" i="1063"/>
  <c r="AA168" i="1063"/>
  <c r="AA133" i="1063"/>
  <c r="AA65" i="1063"/>
  <c r="AA134" i="1063"/>
  <c r="R49" i="1062"/>
  <c r="AE49" i="1062" s="1"/>
  <c r="AD49" i="1062"/>
  <c r="Q129" i="1058"/>
  <c r="Q163" i="1058" s="1"/>
  <c r="Q130" i="1058" a="1"/>
  <c r="Q130" i="1058" s="1"/>
  <c r="Q164" i="1058" s="1"/>
  <c r="R10" i="1058"/>
  <c r="Q123" i="1058"/>
  <c r="Q125" i="1058"/>
  <c r="Q181" i="1058"/>
  <c r="Q216" i="1058" a="1"/>
  <c r="Q216" i="1058" s="1"/>
  <c r="Q180" i="1058"/>
  <c r="P139" i="1058"/>
  <c r="P217" i="1058"/>
  <c r="P179" i="1058"/>
  <c r="P168" i="1058"/>
  <c r="P167" i="1058"/>
  <c r="AC4" i="1058"/>
  <c r="Q4" i="1058"/>
  <c r="AB210" i="1061"/>
  <c r="AB98" i="1061"/>
  <c r="O71" i="1058"/>
  <c r="AA166" i="1063"/>
  <c r="AA165" i="1063"/>
  <c r="AA169" i="1063" s="1"/>
  <c r="AC172" i="1057"/>
  <c r="AC58" i="1057"/>
  <c r="X145" i="1063"/>
  <c r="X146" i="1063" s="1"/>
  <c r="AB101" i="1057"/>
  <c r="AB213" i="1057"/>
  <c r="N212" i="1061"/>
  <c r="N100" i="1061"/>
  <c r="N213" i="1061"/>
  <c r="N101" i="1061"/>
  <c r="P58" i="1059"/>
  <c r="AC8" i="1059"/>
  <c r="Q8" i="1059"/>
  <c r="P56" i="1059"/>
  <c r="P55" i="1059"/>
  <c r="P59" i="1059"/>
  <c r="O142" i="1059"/>
  <c r="O143" i="1059" s="1"/>
  <c r="O202" i="1059"/>
  <c r="O90" i="1059"/>
  <c r="L89" i="1060"/>
  <c r="AA134" i="1058"/>
  <c r="AA207" i="1059"/>
  <c r="AA95" i="1059"/>
  <c r="Z209" i="1060"/>
  <c r="Z97" i="1060"/>
  <c r="AA141" i="1057"/>
  <c r="Z130" i="1064"/>
  <c r="Z164" i="1064" s="1"/>
  <c r="Z129" i="1064"/>
  <c r="Z163" i="1064" s="1"/>
  <c r="Z125" i="1064"/>
  <c r="Z123" i="1064"/>
  <c r="Z54" i="1064"/>
  <c r="Z53" i="1064"/>
  <c r="Z69" i="1064"/>
  <c r="Z216" i="1064"/>
  <c r="Z104" i="1064"/>
  <c r="Z66" i="1064"/>
  <c r="Z67" i="1064"/>
  <c r="Z181" i="1064"/>
  <c r="Z236" i="1064"/>
  <c r="Z180" i="1064"/>
  <c r="R11" i="1061"/>
  <c r="AD11" i="1061"/>
  <c r="Q104" i="1061"/>
  <c r="Q236" i="1061"/>
  <c r="M203" i="1060"/>
  <c r="M91" i="1060"/>
  <c r="M110" i="1060" s="1"/>
  <c r="D175" i="1061"/>
  <c r="B62" i="1061"/>
  <c r="AB60" i="1061"/>
  <c r="AF127" i="1064"/>
  <c r="M89" i="1058"/>
  <c r="W144" i="1050"/>
  <c r="L144" i="1051"/>
  <c r="L147" i="1056"/>
  <c r="AF127" i="1056"/>
  <c r="J122" i="1055"/>
  <c r="O63" i="1062"/>
  <c r="O53" i="1062"/>
  <c r="O61" i="1062"/>
  <c r="O57" i="1062"/>
  <c r="O65" i="1062"/>
  <c r="O55" i="1062"/>
  <c r="O59" i="1062"/>
  <c r="O54" i="1062"/>
  <c r="AB8" i="1062"/>
  <c r="P8" i="1062"/>
  <c r="O67" i="1062"/>
  <c r="O62" i="1062"/>
  <c r="O60" i="1062"/>
  <c r="O69" i="1062"/>
  <c r="O66" i="1062"/>
  <c r="O58" i="1062"/>
  <c r="O56" i="1062"/>
  <c r="O108" i="1062"/>
  <c r="O68" i="1062"/>
  <c r="O64" i="1062"/>
  <c r="N99" i="1062"/>
  <c r="N211" i="1062"/>
  <c r="N140" i="1062"/>
  <c r="AB97" i="1057"/>
  <c r="AB209" i="1057"/>
  <c r="O172" i="1063"/>
  <c r="AB15" i="1063"/>
  <c r="P15" i="1063"/>
  <c r="Z214" i="1059"/>
  <c r="Z102" i="1059"/>
  <c r="Z71" i="1059"/>
  <c r="Z70" i="1059"/>
  <c r="G114" i="1057"/>
  <c r="P11" i="1064"/>
  <c r="AB11" i="1064"/>
  <c r="O104" i="1064"/>
  <c r="O236" i="1064"/>
  <c r="Y203" i="1064"/>
  <c r="Y91" i="1064"/>
  <c r="W120" i="1064"/>
  <c r="W119" i="1064"/>
  <c r="P49" i="1064"/>
  <c r="AB49" i="1064"/>
  <c r="R18" i="1057"/>
  <c r="AD18" i="1057"/>
  <c r="Q182" i="1061"/>
  <c r="R23" i="1061"/>
  <c r="AD23" i="1061"/>
  <c r="X219" i="1063"/>
  <c r="X106" i="1063"/>
  <c r="Z55" i="1060"/>
  <c r="N209" i="1064"/>
  <c r="N97" i="1064"/>
  <c r="N204" i="1064"/>
  <c r="N92" i="1064"/>
  <c r="N208" i="1064"/>
  <c r="N96" i="1064"/>
  <c r="O111" i="1062"/>
  <c r="O121" i="1062"/>
  <c r="N121" i="1063"/>
  <c r="N111" i="1063"/>
  <c r="Y71" i="1063"/>
  <c r="Y70" i="1063"/>
  <c r="Z94" i="1058"/>
  <c r="Z206" i="1058"/>
  <c r="N211" i="1059"/>
  <c r="N99" i="1059"/>
  <c r="N140" i="1059"/>
  <c r="O58" i="1063"/>
  <c r="O207" i="1063"/>
  <c r="O95" i="1063"/>
  <c r="O63" i="1063"/>
  <c r="W127" i="1064"/>
  <c r="Z210" i="1059"/>
  <c r="Z98" i="1059"/>
  <c r="AA68" i="1060"/>
  <c r="AA182" i="1060"/>
  <c r="AD173" i="1057"/>
  <c r="AD59" i="1057"/>
  <c r="M89" i="1059"/>
  <c r="O173" i="1064"/>
  <c r="AB16" i="1064"/>
  <c r="P16" i="1064"/>
  <c r="Z207" i="1060"/>
  <c r="Z95" i="1060"/>
  <c r="Z96" i="1060"/>
  <c r="Z208" i="1060"/>
  <c r="N202" i="1059"/>
  <c r="N90" i="1059"/>
  <c r="N142" i="1059"/>
  <c r="N143" i="1059" s="1"/>
  <c r="L225" i="1059"/>
  <c r="L113" i="1059"/>
  <c r="L146" i="1063"/>
  <c r="N206" i="1057"/>
  <c r="N94" i="1057"/>
  <c r="N209" i="1057"/>
  <c r="N97" i="1057"/>
  <c r="W144" i="1060"/>
  <c r="O178" i="1064"/>
  <c r="AB21" i="1064"/>
  <c r="P21" i="1064"/>
  <c r="L144" i="1063"/>
  <c r="AC207" i="1057"/>
  <c r="AC95" i="1057"/>
  <c r="Y70" i="1060"/>
  <c r="Y71" i="1060"/>
  <c r="N209" i="1058"/>
  <c r="N97" i="1058"/>
  <c r="L120" i="1059"/>
  <c r="L128" i="1059"/>
  <c r="L119" i="1059"/>
  <c r="L122" i="1059" s="1"/>
  <c r="X117" i="1058"/>
  <c r="M147" i="1059"/>
  <c r="M144" i="1059"/>
  <c r="M145" i="1059"/>
  <c r="M146" i="1059" s="1"/>
  <c r="M148" i="1059"/>
  <c r="O173" i="1058"/>
  <c r="AB16" i="1058"/>
  <c r="P16" i="1058"/>
  <c r="Z208" i="1064"/>
  <c r="Z96" i="1064"/>
  <c r="O90" i="1060"/>
  <c r="O202" i="1060"/>
  <c r="Z209" i="1064"/>
  <c r="Z97" i="1064"/>
  <c r="D175" i="1059"/>
  <c r="B62" i="1059"/>
  <c r="P11" i="1060"/>
  <c r="AB11" i="1060"/>
  <c r="O104" i="1060"/>
  <c r="O236" i="1060"/>
  <c r="Y147" i="1057"/>
  <c r="Z130" i="1062"/>
  <c r="Z164" i="1062" s="1"/>
  <c r="Z69" i="1062"/>
  <c r="Z125" i="1062"/>
  <c r="Z54" i="1062"/>
  <c r="Z53" i="1062"/>
  <c r="Z123" i="1062"/>
  <c r="Z129" i="1062"/>
  <c r="Z163" i="1062" s="1"/>
  <c r="Z216" i="1062"/>
  <c r="Z104" i="1062"/>
  <c r="Z66" i="1062"/>
  <c r="Z180" i="1062"/>
  <c r="Z181" i="1062"/>
  <c r="Z67" i="1062"/>
  <c r="Z236" i="1062"/>
  <c r="Z178" i="1062"/>
  <c r="Z64" i="1062"/>
  <c r="Z168" i="1062"/>
  <c r="Z179" i="1062"/>
  <c r="Z62" i="1062"/>
  <c r="Z176" i="1062"/>
  <c r="Z167" i="1062"/>
  <c r="Z65" i="1062"/>
  <c r="Z177" i="1062"/>
  <c r="Z139" i="1062"/>
  <c r="Z63" i="1062"/>
  <c r="Z217" i="1062"/>
  <c r="P109" i="1057"/>
  <c r="P221" i="1057"/>
  <c r="Z205" i="1059"/>
  <c r="Z93" i="1059"/>
  <c r="AC125" i="1057"/>
  <c r="AC129" i="1057"/>
  <c r="AC163" i="1057" s="1"/>
  <c r="AC123" i="1057"/>
  <c r="AC130" i="1057"/>
  <c r="AC164" i="1057" s="1"/>
  <c r="AC54" i="1057"/>
  <c r="AC53" i="1057"/>
  <c r="AC69" i="1057"/>
  <c r="AC216" i="1057"/>
  <c r="AC181" i="1057"/>
  <c r="AC104" i="1057"/>
  <c r="AC67" i="1057"/>
  <c r="AC180" i="1057"/>
  <c r="AC66" i="1057"/>
  <c r="AC236" i="1057"/>
  <c r="K120" i="1063"/>
  <c r="K119" i="1063"/>
  <c r="K127" i="1063"/>
  <c r="AA57" i="1063"/>
  <c r="AA171" i="1063"/>
  <c r="AB204" i="1059"/>
  <c r="AB92" i="1059"/>
  <c r="P221" i="1061"/>
  <c r="P109" i="1061"/>
  <c r="P176" i="1062"/>
  <c r="AC19" i="1062"/>
  <c r="Q19" i="1062"/>
  <c r="P69" i="1058"/>
  <c r="P53" i="1058"/>
  <c r="P61" i="1058"/>
  <c r="P57" i="1058"/>
  <c r="P68" i="1058"/>
  <c r="P58" i="1058"/>
  <c r="P67" i="1058"/>
  <c r="P66" i="1058"/>
  <c r="P65" i="1058"/>
  <c r="P59" i="1058"/>
  <c r="P54" i="1058"/>
  <c r="Q8" i="1058"/>
  <c r="AC8" i="1058"/>
  <c r="O59" i="1058"/>
  <c r="O165" i="1063"/>
  <c r="O169" i="1063" s="1"/>
  <c r="O166" i="1063"/>
  <c r="P12" i="1063"/>
  <c r="AB12" i="1063"/>
  <c r="V122" i="1064"/>
  <c r="Q172" i="1057"/>
  <c r="R15" i="1057"/>
  <c r="AD15" i="1057"/>
  <c r="X89" i="1063"/>
  <c r="P129" i="1057"/>
  <c r="P163" i="1057" s="1"/>
  <c r="P123" i="1057"/>
  <c r="P125" i="1057"/>
  <c r="P130" i="1057" a="1"/>
  <c r="P130" i="1057" s="1"/>
  <c r="P164" i="1057" s="1"/>
  <c r="Q10" i="1057"/>
  <c r="Q149" i="1057" s="1"/>
  <c r="P180" i="1057"/>
  <c r="P216" i="1057" a="1"/>
  <c r="P216" i="1057" s="1"/>
  <c r="P181" i="1057"/>
  <c r="AB214" i="1057"/>
  <c r="AB102" i="1057"/>
  <c r="Q173" i="1061"/>
  <c r="R16" i="1061"/>
  <c r="AD16" i="1061"/>
  <c r="N71" i="1061"/>
  <c r="N70" i="1061"/>
  <c r="O66" i="1061"/>
  <c r="O60" i="1061"/>
  <c r="O56" i="1061"/>
  <c r="O63" i="1061"/>
  <c r="O53" i="1061"/>
  <c r="O108" i="1061"/>
  <c r="O61" i="1061"/>
  <c r="O65" i="1061"/>
  <c r="O55" i="1061"/>
  <c r="O69" i="1061"/>
  <c r="O62" i="1061"/>
  <c r="O58" i="1061"/>
  <c r="O67" i="1061"/>
  <c r="O59" i="1061"/>
  <c r="O54" i="1061"/>
  <c r="O64" i="1061"/>
  <c r="O57" i="1061"/>
  <c r="P8" i="1061"/>
  <c r="O68" i="1061"/>
  <c r="AB8" i="1061"/>
  <c r="O211" i="1059"/>
  <c r="O99" i="1059"/>
  <c r="L145" i="1060"/>
  <c r="L146" i="1060" s="1"/>
  <c r="L147" i="1060"/>
  <c r="L148" i="1060"/>
  <c r="AB22" i="1064"/>
  <c r="P22" i="1064"/>
  <c r="Z205" i="1064"/>
  <c r="Z93" i="1064"/>
  <c r="L148" i="1059"/>
  <c r="L144" i="1059"/>
  <c r="AC10" i="1061"/>
  <c r="P149" i="1061"/>
  <c r="V114" i="1060"/>
  <c r="V115" i="1060" s="1"/>
  <c r="V116" i="1060" s="1"/>
  <c r="V126" i="1060" s="1"/>
  <c r="AA65" i="1059"/>
  <c r="AB174" i="1061"/>
  <c r="AD92" i="1057"/>
  <c r="AD204" i="1057"/>
  <c r="O178" i="1063"/>
  <c r="AC171" i="1057"/>
  <c r="AC57" i="1057"/>
  <c r="AF127" i="1059"/>
  <c r="S127" i="1059"/>
  <c r="W122" i="1062"/>
  <c r="Y112" i="1051"/>
  <c r="L144" i="1056"/>
  <c r="L89" i="1054"/>
  <c r="K147" i="1054"/>
  <c r="W147" i="1055"/>
  <c r="N215" i="1062"/>
  <c r="N103" i="1062"/>
  <c r="N185" i="1062"/>
  <c r="N184" i="1062"/>
  <c r="N92" i="1062"/>
  <c r="N204" i="1062"/>
  <c r="O175" i="1062"/>
  <c r="AB18" i="1062"/>
  <c r="P18" i="1062"/>
  <c r="X146" i="1062"/>
  <c r="X141" i="1062"/>
  <c r="O171" i="1058"/>
  <c r="AB14" i="1058"/>
  <c r="P14" i="1058"/>
  <c r="Z211" i="1058"/>
  <c r="Z99" i="1058"/>
  <c r="AC17" i="1059"/>
  <c r="Q17" i="1059"/>
  <c r="O169" i="1060"/>
  <c r="O139" i="1060"/>
  <c r="O134" i="1060"/>
  <c r="O217" i="1060"/>
  <c r="O179" i="1060"/>
  <c r="O168" i="1060"/>
  <c r="O131" i="1060"/>
  <c r="O133" i="1060"/>
  <c r="O132" i="1060"/>
  <c r="O167" i="1060"/>
  <c r="AB4" i="1060"/>
  <c r="P4" i="1060"/>
  <c r="G115" i="1064"/>
  <c r="G116" i="1064" s="1"/>
  <c r="N208" i="1060"/>
  <c r="N96" i="1060"/>
  <c r="D231" i="1058"/>
  <c r="B120" i="1058"/>
  <c r="O172" i="1064"/>
  <c r="AB15" i="1064"/>
  <c r="P15" i="1064"/>
  <c r="AB51" i="1063"/>
  <c r="P51" i="1063"/>
  <c r="Z215" i="1062"/>
  <c r="Z103" i="1062"/>
  <c r="Z185" i="1062"/>
  <c r="Z184" i="1062"/>
  <c r="R12" i="1061"/>
  <c r="AD12" i="1061"/>
  <c r="Q165" i="1061"/>
  <c r="Q169" i="1061" s="1"/>
  <c r="Q166" i="1061"/>
  <c r="Z210" i="1058"/>
  <c r="Z98" i="1058"/>
  <c r="X113" i="1058"/>
  <c r="X225" i="1058" s="1"/>
  <c r="X114" i="1058"/>
  <c r="X115" i="1058" s="1"/>
  <c r="X116" i="1058" s="1"/>
  <c r="X126" i="1058" s="1"/>
  <c r="AC182" i="1061"/>
  <c r="AC68" i="1061"/>
  <c r="Z55" i="1064"/>
  <c r="S127" i="1063"/>
  <c r="AF127" i="1063"/>
  <c r="M225" i="1057"/>
  <c r="M113" i="1057"/>
  <c r="M114" i="1057"/>
  <c r="M115" i="1057" s="1"/>
  <c r="M116" i="1057" s="1"/>
  <c r="O64" i="1064"/>
  <c r="O59" i="1064"/>
  <c r="O54" i="1064"/>
  <c r="O69" i="1064"/>
  <c r="O70" i="1064" s="1"/>
  <c r="O68" i="1064"/>
  <c r="AB8" i="1064"/>
  <c r="O56" i="1064"/>
  <c r="O55" i="1064"/>
  <c r="O53" i="1064"/>
  <c r="O66" i="1064"/>
  <c r="O65" i="1064"/>
  <c r="O63" i="1064"/>
  <c r="O62" i="1064"/>
  <c r="O67" i="1064"/>
  <c r="O58" i="1064"/>
  <c r="O61" i="1064"/>
  <c r="P8" i="1064"/>
  <c r="O57" i="1064"/>
  <c r="O108" i="1064"/>
  <c r="O60" i="1064"/>
  <c r="N207" i="1064"/>
  <c r="N95" i="1064"/>
  <c r="N214" i="1064"/>
  <c r="N102" i="1064"/>
  <c r="O196" i="1062"/>
  <c r="O198" i="1062"/>
  <c r="O197" i="1062"/>
  <c r="Z207" i="1064"/>
  <c r="Z95" i="1064"/>
  <c r="N197" i="1063"/>
  <c r="N196" i="1063"/>
  <c r="N198" i="1063"/>
  <c r="AA213" i="1061"/>
  <c r="AA101" i="1061"/>
  <c r="AA111" i="1061"/>
  <c r="AA112" i="1061" s="1"/>
  <c r="AA121" i="1061"/>
  <c r="W127" i="1063"/>
  <c r="Y121" i="1063"/>
  <c r="Y111" i="1063"/>
  <c r="Z203" i="1062"/>
  <c r="Z91" i="1062"/>
  <c r="N100" i="1060"/>
  <c r="N212" i="1060"/>
  <c r="P68" i="1063"/>
  <c r="P65" i="1063"/>
  <c r="P108" i="1063"/>
  <c r="P60" i="1063"/>
  <c r="P63" i="1063"/>
  <c r="AC8" i="1063"/>
  <c r="P62" i="1063"/>
  <c r="P59" i="1063"/>
  <c r="P54" i="1063"/>
  <c r="P71" i="1063" s="1"/>
  <c r="P53" i="1063"/>
  <c r="P67" i="1063"/>
  <c r="P56" i="1063"/>
  <c r="P69" i="1063"/>
  <c r="P66" i="1063"/>
  <c r="P58" i="1063"/>
  <c r="Q8" i="1063"/>
  <c r="P64" i="1063"/>
  <c r="O62" i="1063"/>
  <c r="O64" i="1063"/>
  <c r="AB11" i="1058"/>
  <c r="O104" i="1058"/>
  <c r="P11" i="1058"/>
  <c r="P108" i="1058" s="1"/>
  <c r="O236" i="1058"/>
  <c r="AE16" i="1057"/>
  <c r="R173" i="1057"/>
  <c r="Y71" i="1058"/>
  <c r="Y70" i="1058"/>
  <c r="Z209" i="1059"/>
  <c r="Z97" i="1059"/>
  <c r="X117" i="1060"/>
  <c r="O197" i="1064"/>
  <c r="O198" i="1064"/>
  <c r="O196" i="1064"/>
  <c r="AA58" i="1058"/>
  <c r="AA172" i="1058"/>
  <c r="P173" i="1063"/>
  <c r="AC16" i="1063"/>
  <c r="Q16" i="1063"/>
  <c r="AC22" i="1062"/>
  <c r="Q22" i="1062"/>
  <c r="O221" i="1064"/>
  <c r="O109" i="1064"/>
  <c r="AB132" i="1062"/>
  <c r="AB169" i="1062"/>
  <c r="AB134" i="1062"/>
  <c r="AB131" i="1062"/>
  <c r="AB55" i="1062" s="1"/>
  <c r="AB133" i="1062"/>
  <c r="O165" i="1060"/>
  <c r="O166" i="1060"/>
  <c r="AB12" i="1060"/>
  <c r="P12" i="1060"/>
  <c r="N98" i="1057"/>
  <c r="N210" i="1057"/>
  <c r="N142" i="1057"/>
  <c r="N143" i="1057" s="1"/>
  <c r="N202" i="1057"/>
  <c r="N89" i="1057"/>
  <c r="N90" i="1057"/>
  <c r="N117" i="1057"/>
  <c r="AC182" i="1057"/>
  <c r="AC68" i="1057"/>
  <c r="AA178" i="1064"/>
  <c r="AA64" i="1064"/>
  <c r="Y213" i="1060"/>
  <c r="Y101" i="1060"/>
  <c r="AB22" i="1059"/>
  <c r="P22" i="1059"/>
  <c r="Y211" i="1062"/>
  <c r="Y99" i="1062"/>
  <c r="Y140" i="1062"/>
  <c r="Y213" i="1062"/>
  <c r="Y101" i="1062"/>
  <c r="Y111" i="1062"/>
  <c r="Y112" i="1062" s="1"/>
  <c r="Y121" i="1062"/>
  <c r="AC92" i="1060"/>
  <c r="AC204" i="1060"/>
  <c r="AA173" i="1058"/>
  <c r="AA59" i="1058"/>
  <c r="N112" i="1057"/>
  <c r="Y202" i="1064"/>
  <c r="Y142" i="1064"/>
  <c r="Y143" i="1064" s="1"/>
  <c r="Y90" i="1064"/>
  <c r="L110" i="1057"/>
  <c r="AC11" i="1059"/>
  <c r="Q11" i="1059"/>
  <c r="P104" i="1059"/>
  <c r="P236" i="1059"/>
  <c r="N209" i="1060"/>
  <c r="N97" i="1060"/>
  <c r="O68" i="1060"/>
  <c r="O65" i="1060"/>
  <c r="O71" i="1060" s="1"/>
  <c r="Z210" i="1060"/>
  <c r="Z98" i="1060"/>
  <c r="M141" i="1057"/>
  <c r="AA10" i="1060"/>
  <c r="AA65" i="1060" s="1"/>
  <c r="N149" i="1060"/>
  <c r="P179" i="1061"/>
  <c r="M146" i="1064"/>
  <c r="M141" i="1064"/>
  <c r="M148" i="1064" s="1"/>
  <c r="Z64" i="1058"/>
  <c r="Q88" i="1057" a="1"/>
  <c r="Q88" i="1057" s="1"/>
  <c r="R9" i="1057"/>
  <c r="AD9" i="1057"/>
  <c r="AD88" i="1057" s="1"/>
  <c r="AD109" i="1057" s="1"/>
  <c r="Q51" i="1058"/>
  <c r="AC51" i="1058"/>
  <c r="AB212" i="1057"/>
  <c r="AB100" i="1057"/>
  <c r="Z117" i="1061"/>
  <c r="O174" i="1058"/>
  <c r="AB17" i="1058"/>
  <c r="P17" i="1058"/>
  <c r="AA174" i="1064"/>
  <c r="AA60" i="1064"/>
  <c r="O171" i="1063"/>
  <c r="AB14" i="1063"/>
  <c r="P14" i="1063"/>
  <c r="G115" i="1059"/>
  <c r="G116" i="1059" s="1"/>
  <c r="AA175" i="1064"/>
  <c r="AA61" i="1064"/>
  <c r="O176" i="1060"/>
  <c r="P19" i="1060"/>
  <c r="AB19" i="1060"/>
  <c r="AB205" i="1057"/>
  <c r="AB93" i="1057"/>
  <c r="O101" i="1058"/>
  <c r="O213" i="1058"/>
  <c r="O57" i="1058"/>
  <c r="O212" i="1058"/>
  <c r="O100" i="1058"/>
  <c r="X110" i="1063"/>
  <c r="X127" i="1063" s="1"/>
  <c r="O111" i="1057"/>
  <c r="O121" i="1057"/>
  <c r="AC59" i="1061"/>
  <c r="AC173" i="1061"/>
  <c r="N207" i="1061"/>
  <c r="N95" i="1061"/>
  <c r="N205" i="1061"/>
  <c r="N93" i="1061"/>
  <c r="N215" i="1061"/>
  <c r="N103" i="1061"/>
  <c r="N185" i="1061"/>
  <c r="N184" i="1061"/>
  <c r="Q50" i="1061"/>
  <c r="AC50" i="1061"/>
  <c r="O204" i="1059"/>
  <c r="O92" i="1059"/>
  <c r="O208" i="1059"/>
  <c r="O96" i="1059"/>
  <c r="L110" i="1060"/>
  <c r="R22" i="1060"/>
  <c r="AE22" i="1060" s="1"/>
  <c r="AD22" i="1060"/>
  <c r="AB205" i="1061"/>
  <c r="AB93" i="1061"/>
  <c r="Y113" i="1059"/>
  <c r="Y225" i="1059" s="1"/>
  <c r="AB22" i="1058"/>
  <c r="P22" i="1058"/>
  <c r="AB204" i="1063"/>
  <c r="AB92" i="1063"/>
  <c r="AB64" i="1061"/>
  <c r="AB140" i="1061" s="1"/>
  <c r="AA203" i="1059"/>
  <c r="AA91" i="1059"/>
  <c r="X147" i="1064"/>
  <c r="X145" i="1064"/>
  <c r="X146" i="1064" s="1"/>
  <c r="X148" i="1064" s="1"/>
  <c r="AB208" i="1057"/>
  <c r="AB96" i="1057"/>
  <c r="AA55" i="1062"/>
  <c r="Z206" i="1064"/>
  <c r="Z94" i="1064"/>
  <c r="AE204" i="1057"/>
  <c r="AE92" i="1057"/>
  <c r="N111" i="1060"/>
  <c r="N121" i="1060"/>
  <c r="M117" i="1057"/>
  <c r="W127" i="1060"/>
  <c r="N140" i="1063"/>
  <c r="W126" i="1054"/>
  <c r="W114" i="1053"/>
  <c r="W115" i="1053" s="1"/>
  <c r="W116" i="1053" s="1"/>
  <c r="W126" i="1053" s="1"/>
  <c r="W114" i="1055"/>
  <c r="W115" i="1055" s="1"/>
  <c r="W116" i="1055" s="1"/>
  <c r="M144" i="1054"/>
  <c r="N203" i="1062"/>
  <c r="N91" i="1062"/>
  <c r="N71" i="1062"/>
  <c r="N89" i="1062" s="1"/>
  <c r="N208" i="1062"/>
  <c r="N96" i="1062"/>
  <c r="AA175" i="1062"/>
  <c r="AA61" i="1062"/>
  <c r="AA171" i="1064"/>
  <c r="AA57" i="1064"/>
  <c r="AA171" i="1058"/>
  <c r="AA57" i="1058"/>
  <c r="K114" i="1060"/>
  <c r="AA215" i="1063"/>
  <c r="AA103" i="1063"/>
  <c r="AA184" i="1063"/>
  <c r="AA185" i="1063"/>
  <c r="D175" i="1063"/>
  <c r="B62" i="1063"/>
  <c r="AA172" i="1064"/>
  <c r="AA58" i="1064"/>
  <c r="Y148" i="1059"/>
  <c r="Y147" i="1059"/>
  <c r="Y145" i="1059"/>
  <c r="Y144" i="1059" s="1"/>
  <c r="O176" i="1059"/>
  <c r="AB19" i="1059"/>
  <c r="P19" i="1059"/>
  <c r="AC166" i="1061"/>
  <c r="AC165" i="1061"/>
  <c r="AC169" i="1061" s="1"/>
  <c r="J122" i="1063"/>
  <c r="K120" i="1060"/>
  <c r="K119" i="1060"/>
  <c r="K127" i="1060"/>
  <c r="K122" i="1057"/>
  <c r="AA175" i="1063"/>
  <c r="AA61" i="1063"/>
  <c r="N210" i="1064"/>
  <c r="N98" i="1064"/>
  <c r="N212" i="1064"/>
  <c r="N100" i="1064"/>
  <c r="AA198" i="1061"/>
  <c r="AA197" i="1061"/>
  <c r="AA196" i="1061"/>
  <c r="V122" i="1063"/>
  <c r="AD50" i="1060"/>
  <c r="R50" i="1060"/>
  <c r="AE50" i="1060" s="1"/>
  <c r="M70" i="1063"/>
  <c r="O66" i="1063"/>
  <c r="O108" i="1063"/>
  <c r="Y140" i="1063"/>
  <c r="D175" i="1064"/>
  <c r="B62" i="1064"/>
  <c r="AA10" i="1058"/>
  <c r="AA63" i="1058" s="1"/>
  <c r="N149" i="1058"/>
  <c r="W147" i="1058"/>
  <c r="Y101" i="1058"/>
  <c r="Y213" i="1058"/>
  <c r="X110" i="1060"/>
  <c r="AC176" i="1057"/>
  <c r="AC62" i="1057"/>
  <c r="AA129" i="1059"/>
  <c r="AA163" i="1059" s="1"/>
  <c r="AA123" i="1059"/>
  <c r="AA69" i="1059"/>
  <c r="AA130" i="1059"/>
  <c r="AA164" i="1059" s="1"/>
  <c r="AA54" i="1059"/>
  <c r="AA53" i="1059"/>
  <c r="AA125" i="1059"/>
  <c r="AA216" i="1059"/>
  <c r="AA104" i="1059"/>
  <c r="AA181" i="1059"/>
  <c r="AA180" i="1059"/>
  <c r="AA236" i="1059"/>
  <c r="AA67" i="1059"/>
  <c r="AA66" i="1059"/>
  <c r="AB173" i="1063"/>
  <c r="AB59" i="1063"/>
  <c r="N213" i="1060"/>
  <c r="N101" i="1060"/>
  <c r="R21" i="1062"/>
  <c r="Q178" i="1062"/>
  <c r="AD21" i="1062"/>
  <c r="D175" i="1062"/>
  <c r="B62" i="1062"/>
  <c r="AA165" i="1060"/>
  <c r="AA169" i="1060" s="1"/>
  <c r="AA166" i="1060"/>
  <c r="N211" i="1057"/>
  <c r="N99" i="1057"/>
  <c r="N140" i="1057"/>
  <c r="Q182" i="1057"/>
  <c r="R23" i="1057"/>
  <c r="AD23" i="1057"/>
  <c r="O166" i="1058"/>
  <c r="O165" i="1058"/>
  <c r="O169" i="1058" s="1"/>
  <c r="AB12" i="1058"/>
  <c r="P12" i="1058"/>
  <c r="R50" i="1062"/>
  <c r="AE50" i="1062" s="1"/>
  <c r="AD50" i="1062"/>
  <c r="Y214" i="1060"/>
  <c r="Y102" i="1060"/>
  <c r="P171" i="1062"/>
  <c r="AC14" i="1062"/>
  <c r="Q14" i="1062"/>
  <c r="Y210" i="1062"/>
  <c r="Y98" i="1062"/>
  <c r="Y214" i="1062"/>
  <c r="Y102" i="1062"/>
  <c r="Y198" i="1062"/>
  <c r="Y196" i="1062"/>
  <c r="Y197" i="1062"/>
  <c r="X219" i="1062"/>
  <c r="X106" i="1062"/>
  <c r="X110" i="1062" s="1"/>
  <c r="R13" i="1060"/>
  <c r="AE13" i="1060" s="1"/>
  <c r="AE56" i="1060" s="1"/>
  <c r="AD13" i="1060"/>
  <c r="AD56" i="1060" s="1"/>
  <c r="AA63" i="1059"/>
  <c r="Y213" i="1064"/>
  <c r="Y101" i="1064"/>
  <c r="Y71" i="1064"/>
  <c r="Y70" i="1064"/>
  <c r="K144" i="1060"/>
  <c r="AA176" i="1064"/>
  <c r="AA62" i="1064"/>
  <c r="AB10" i="1059"/>
  <c r="AB177" i="1059" s="1"/>
  <c r="O149" i="1059"/>
  <c r="Z55" i="1063"/>
  <c r="O204" i="1060"/>
  <c r="O92" i="1060"/>
  <c r="P65" i="1060"/>
  <c r="P69" i="1060"/>
  <c r="P62" i="1060"/>
  <c r="P58" i="1060"/>
  <c r="P68" i="1060"/>
  <c r="AC8" i="1060"/>
  <c r="P54" i="1060"/>
  <c r="P64" i="1060"/>
  <c r="P57" i="1060"/>
  <c r="P53" i="1060"/>
  <c r="Q8" i="1060"/>
  <c r="P63" i="1060"/>
  <c r="P108" i="1060"/>
  <c r="P66" i="1060"/>
  <c r="P60" i="1060"/>
  <c r="P67" i="1060"/>
  <c r="P56" i="1060"/>
  <c r="AD49" i="1060"/>
  <c r="R49" i="1060"/>
  <c r="AE49" i="1060" s="1"/>
  <c r="D175" i="1060"/>
  <c r="B62" i="1060"/>
  <c r="M219" i="1062"/>
  <c r="M106" i="1062"/>
  <c r="M110" i="1062" s="1"/>
  <c r="Q177" i="1061"/>
  <c r="R20" i="1061"/>
  <c r="AD20" i="1061"/>
  <c r="Z178" i="1058"/>
  <c r="N112" i="1061"/>
  <c r="AA174" i="1058"/>
  <c r="AA60" i="1058"/>
  <c r="O174" i="1064"/>
  <c r="P17" i="1064"/>
  <c r="AB17" i="1064"/>
  <c r="Z210" i="1063"/>
  <c r="Z98" i="1063"/>
  <c r="N209" i="1059"/>
  <c r="N97" i="1059"/>
  <c r="Z130" i="1063"/>
  <c r="Z164" i="1063" s="1"/>
  <c r="Z125" i="1063"/>
  <c r="Z129" i="1063"/>
  <c r="Z163" i="1063" s="1"/>
  <c r="Z69" i="1063"/>
  <c r="Z54" i="1063"/>
  <c r="Z53" i="1063"/>
  <c r="Z123" i="1063"/>
  <c r="Z216" i="1063"/>
  <c r="Z104" i="1063"/>
  <c r="Z181" i="1063"/>
  <c r="Z180" i="1063"/>
  <c r="Z236" i="1063"/>
  <c r="Z66" i="1063"/>
  <c r="Z67" i="1063"/>
  <c r="Z178" i="1063"/>
  <c r="Z64" i="1063"/>
  <c r="Z140" i="1063" s="1"/>
  <c r="O132" i="1058"/>
  <c r="AC12" i="1059"/>
  <c r="Q12" i="1059"/>
  <c r="P166" i="1059"/>
  <c r="P165" i="1059"/>
  <c r="P169" i="1059" s="1"/>
  <c r="O175" i="1064"/>
  <c r="P18" i="1064"/>
  <c r="AB18" i="1064"/>
  <c r="AB13" i="1058"/>
  <c r="AB56" i="1058" s="1"/>
  <c r="P13" i="1058"/>
  <c r="AA176" i="1060"/>
  <c r="AA62" i="1060"/>
  <c r="O102" i="1058"/>
  <c r="O214" i="1058"/>
  <c r="O61" i="1058"/>
  <c r="O178" i="1058"/>
  <c r="AB21" i="1058"/>
  <c r="P21" i="1058"/>
  <c r="P64" i="1058" s="1"/>
  <c r="O182" i="1059"/>
  <c r="AB23" i="1059"/>
  <c r="P23" i="1059"/>
  <c r="Z206" i="1062"/>
  <c r="Z94" i="1062"/>
  <c r="AC178" i="1057"/>
  <c r="AC64" i="1057"/>
  <c r="Y91" i="1058"/>
  <c r="Y203" i="1058"/>
  <c r="N214" i="1061"/>
  <c r="N102" i="1061"/>
  <c r="N97" i="1061"/>
  <c r="N209" i="1061"/>
  <c r="O212" i="1059"/>
  <c r="O100" i="1059"/>
  <c r="O68" i="1059"/>
  <c r="Y203" i="1063"/>
  <c r="Y91" i="1063"/>
  <c r="M112" i="1061"/>
  <c r="P182" i="1063"/>
  <c r="AC23" i="1063"/>
  <c r="Q23" i="1063"/>
  <c r="AC13" i="1063"/>
  <c r="AC56" i="1063" s="1"/>
  <c r="Q13" i="1063"/>
  <c r="AB49" i="1059"/>
  <c r="P49" i="1059"/>
  <c r="AB178" i="1061"/>
  <c r="AA179" i="1059"/>
  <c r="O180" i="1059"/>
  <c r="O181" i="1059"/>
  <c r="O130" i="1059" a="1"/>
  <c r="O130" i="1059" s="1"/>
  <c r="O164" i="1059" s="1"/>
  <c r="O129" i="1059"/>
  <c r="O163" i="1059" s="1"/>
  <c r="O123" i="1059"/>
  <c r="O125" i="1059"/>
  <c r="P10" i="1059"/>
  <c r="O216" i="1059" a="1"/>
  <c r="O216" i="1059" s="1"/>
  <c r="N198" i="1060"/>
  <c r="N196" i="1060"/>
  <c r="N197" i="1060"/>
  <c r="M147" i="1057"/>
  <c r="M145" i="1057"/>
  <c r="M146" i="1057" s="1"/>
  <c r="M148" i="1057"/>
  <c r="M144" i="1057"/>
  <c r="Q171" i="1057"/>
  <c r="R14" i="1057"/>
  <c r="AD14" i="1057"/>
  <c r="O182" i="1062"/>
  <c r="AB23" i="1062"/>
  <c r="P23" i="1062"/>
  <c r="N221" i="1059"/>
  <c r="N109" i="1059"/>
  <c r="N70" i="1059"/>
  <c r="N89" i="1059" s="1"/>
  <c r="K122" i="1059"/>
  <c r="L148" i="1050"/>
  <c r="K122" i="1050"/>
  <c r="W126" i="1055"/>
  <c r="N206" i="1062"/>
  <c r="N94" i="1062"/>
  <c r="N207" i="1062"/>
  <c r="N95" i="1062"/>
  <c r="N213" i="1062"/>
  <c r="N101" i="1062"/>
  <c r="O171" i="1064"/>
  <c r="P14" i="1064"/>
  <c r="AB14" i="1064"/>
  <c r="Z206" i="1060"/>
  <c r="Z94" i="1060"/>
  <c r="N112" i="1064"/>
  <c r="Z213" i="1059"/>
  <c r="Z101" i="1059"/>
  <c r="Z111" i="1059"/>
  <c r="Z112" i="1059" s="1"/>
  <c r="Z121" i="1059"/>
  <c r="AA176" i="1059"/>
  <c r="AA62" i="1059"/>
  <c r="M219" i="1059"/>
  <c r="M106" i="1059"/>
  <c r="M110" i="1059" s="1"/>
  <c r="Z206" i="1059"/>
  <c r="Z94" i="1059"/>
  <c r="Z206" i="1063"/>
  <c r="Z94" i="1063"/>
  <c r="R51" i="1062"/>
  <c r="AE51" i="1062" s="1"/>
  <c r="AD51" i="1062"/>
  <c r="Z114" i="1061"/>
  <c r="Z115" i="1061" s="1"/>
  <c r="Z116" i="1061" s="1"/>
  <c r="Z126" i="1061" s="1"/>
  <c r="Z113" i="1061"/>
  <c r="Z225" i="1061" s="1"/>
  <c r="Z219" i="1057"/>
  <c r="Z106" i="1057"/>
  <c r="Z110" i="1057" s="1"/>
  <c r="O177" i="1058"/>
  <c r="AB20" i="1058"/>
  <c r="P20" i="1058"/>
  <c r="L128" i="1058"/>
  <c r="L120" i="1058"/>
  <c r="L119" i="1058"/>
  <c r="Z55" i="1058"/>
  <c r="AB18" i="1063"/>
  <c r="P18" i="1063"/>
  <c r="O175" i="1063"/>
  <c r="N211" i="1064"/>
  <c r="N99" i="1064"/>
  <c r="N140" i="1064"/>
  <c r="AB22" i="1063"/>
  <c r="P22" i="1063"/>
  <c r="AB210" i="1057"/>
  <c r="AB98" i="1057"/>
  <c r="AA217" i="1064"/>
  <c r="AA139" i="1064"/>
  <c r="AA168" i="1064"/>
  <c r="AA179" i="1064"/>
  <c r="AA169" i="1064"/>
  <c r="AA167" i="1064"/>
  <c r="AA131" i="1064"/>
  <c r="AA134" i="1064"/>
  <c r="AA132" i="1064"/>
  <c r="AA133" i="1064"/>
  <c r="AA65" i="1064"/>
  <c r="AB132" i="1059"/>
  <c r="AB131" i="1059"/>
  <c r="AB168" i="1059"/>
  <c r="AB217" i="1059"/>
  <c r="AB179" i="1059"/>
  <c r="AB139" i="1059"/>
  <c r="AB167" i="1059"/>
  <c r="AB65" i="1059"/>
  <c r="AB133" i="1059"/>
  <c r="AB134" i="1059"/>
  <c r="O69" i="1063"/>
  <c r="W144" i="1058"/>
  <c r="Y197" i="1058"/>
  <c r="Y198" i="1058"/>
  <c r="Y196" i="1058"/>
  <c r="O177" i="1064"/>
  <c r="P20" i="1064"/>
  <c r="AB20" i="1064"/>
  <c r="X89" i="1060"/>
  <c r="X219" i="1058"/>
  <c r="X106" i="1058"/>
  <c r="R19" i="1057"/>
  <c r="Q176" i="1057"/>
  <c r="AD19" i="1057"/>
  <c r="Z219" i="1061"/>
  <c r="Z106" i="1061"/>
  <c r="X114" i="1064"/>
  <c r="X115" i="1064" s="1"/>
  <c r="X116" i="1064" s="1"/>
  <c r="X126" i="1064" s="1"/>
  <c r="X113" i="1064"/>
  <c r="X225" i="1064" s="1"/>
  <c r="Q50" i="1058"/>
  <c r="AC50" i="1058"/>
  <c r="N203" i="1057"/>
  <c r="N91" i="1057"/>
  <c r="N204" i="1057"/>
  <c r="N92" i="1057"/>
  <c r="M219" i="1064"/>
  <c r="M106" i="1064"/>
  <c r="M110" i="1064" s="1"/>
  <c r="AA165" i="1058"/>
  <c r="AA169" i="1058" s="1"/>
  <c r="AA166" i="1058"/>
  <c r="X126" i="1059"/>
  <c r="AB171" i="1062"/>
  <c r="AB57" i="1062"/>
  <c r="Y142" i="1062"/>
  <c r="Y143" i="1062" s="1"/>
  <c r="Y202" i="1062"/>
  <c r="Y89" i="1062"/>
  <c r="Y90" i="1062"/>
  <c r="Y117" i="1062"/>
  <c r="X110" i="1058"/>
  <c r="O171" i="1059"/>
  <c r="AB14" i="1059"/>
  <c r="P14" i="1059"/>
  <c r="P57" i="1059" s="1"/>
  <c r="AA177" i="1059"/>
  <c r="AB16" i="1060"/>
  <c r="O173" i="1060"/>
  <c r="P16" i="1060"/>
  <c r="Z60" i="1058"/>
  <c r="L112" i="1060"/>
  <c r="O176" i="1064"/>
  <c r="P19" i="1064"/>
  <c r="AB19" i="1064"/>
  <c r="O58" i="1060"/>
  <c r="O205" i="1060"/>
  <c r="O93" i="1060"/>
  <c r="O182" i="1064"/>
  <c r="AB23" i="1064"/>
  <c r="P23" i="1064"/>
  <c r="AA140" i="1061"/>
  <c r="AC63" i="1061"/>
  <c r="AC177" i="1061"/>
  <c r="AA203" i="1057"/>
  <c r="AA91" i="1057"/>
  <c r="AA110" i="1057" s="1"/>
  <c r="X144" i="1059"/>
  <c r="P167" i="1061"/>
  <c r="Q179" i="1057"/>
  <c r="Q168" i="1057"/>
  <c r="Q132" i="1057"/>
  <c r="Q167" i="1057"/>
  <c r="Q169" i="1057"/>
  <c r="Q134" i="1057"/>
  <c r="Q217" i="1057"/>
  <c r="Q133" i="1057"/>
  <c r="Q139" i="1057"/>
  <c r="AD4" i="1057"/>
  <c r="Q131" i="1057"/>
  <c r="R4" i="1057"/>
  <c r="D231" i="1061"/>
  <c r="B120" i="1061"/>
  <c r="Q88" i="1058" a="1"/>
  <c r="Q88" i="1058" s="1"/>
  <c r="R9" i="1058"/>
  <c r="AD9" i="1058"/>
  <c r="AD88" i="1058" s="1"/>
  <c r="AD109" i="1058" s="1"/>
  <c r="AB94" i="1057"/>
  <c r="AB206" i="1057"/>
  <c r="Z110" i="1061"/>
  <c r="N55" i="1063"/>
  <c r="N214" i="1059"/>
  <c r="N102" i="1059"/>
  <c r="X219" i="1064"/>
  <c r="X106" i="1064"/>
  <c r="X110" i="1064" s="1"/>
  <c r="AC166" i="1057"/>
  <c r="AC165" i="1057"/>
  <c r="AC169" i="1057" s="1"/>
  <c r="AB166" i="1059"/>
  <c r="AB165" i="1059"/>
  <c r="AB169" i="1059" s="1"/>
  <c r="AA204" i="1058"/>
  <c r="AA92" i="1058"/>
  <c r="O58" i="1058"/>
  <c r="O90" i="1058"/>
  <c r="O202" i="1058"/>
  <c r="N71" i="1058"/>
  <c r="AA178" i="1058"/>
  <c r="AA64" i="1058"/>
  <c r="AA182" i="1059"/>
  <c r="AA68" i="1059"/>
  <c r="Q178" i="1057"/>
  <c r="R21" i="1057"/>
  <c r="AD21" i="1057"/>
  <c r="AA64" i="1059"/>
  <c r="AB121" i="1057"/>
  <c r="AB111" i="1057"/>
  <c r="AB112" i="1057" s="1"/>
  <c r="Z205" i="1063"/>
  <c r="Z93" i="1063"/>
  <c r="N206" i="1061"/>
  <c r="N94" i="1061"/>
  <c r="X114" i="1057"/>
  <c r="X115" i="1057" s="1"/>
  <c r="X116" i="1057" s="1"/>
  <c r="X126" i="1057" s="1"/>
  <c r="AA132" i="1058"/>
  <c r="AA55" i="1058" s="1"/>
  <c r="Z205" i="1058"/>
  <c r="Z93" i="1058"/>
  <c r="P178" i="1059"/>
  <c r="AC21" i="1059"/>
  <c r="Q21" i="1059"/>
  <c r="AB182" i="1063"/>
  <c r="AB68" i="1063"/>
  <c r="AF127" i="1058"/>
  <c r="S127" i="1058"/>
  <c r="N71" i="1060"/>
  <c r="N117" i="1060" s="1"/>
  <c r="N121" i="1059"/>
  <c r="N111" i="1059"/>
  <c r="P173" i="1059"/>
  <c r="AC16" i="1059"/>
  <c r="Q16" i="1059"/>
  <c r="W147" i="1064"/>
  <c r="M89" i="1057"/>
  <c r="Q50" i="1059"/>
  <c r="AC50" i="1059"/>
  <c r="P18" i="1060"/>
  <c r="O175" i="1060"/>
  <c r="AB18" i="1060"/>
  <c r="AA182" i="1062"/>
  <c r="AA68" i="1062"/>
  <c r="AB11" i="1062"/>
  <c r="P11" i="1062"/>
  <c r="O104" i="1062"/>
  <c r="O236" i="1062"/>
  <c r="AB9" i="1059"/>
  <c r="AB88" i="1059" s="1"/>
  <c r="AB109" i="1059" s="1"/>
  <c r="O88" i="1059" a="1"/>
  <c r="O88" i="1059" s="1"/>
  <c r="P9" i="1059"/>
  <c r="M112" i="1058"/>
  <c r="N219" i="1056"/>
  <c r="N106" i="1056"/>
  <c r="N203" i="1056"/>
  <c r="N91" i="1056"/>
  <c r="O204" i="1054"/>
  <c r="O92" i="1054"/>
  <c r="O211" i="1054"/>
  <c r="O99" i="1054"/>
  <c r="O207" i="1054"/>
  <c r="O95" i="1054"/>
  <c r="N141" i="1054"/>
  <c r="Y141" i="1053"/>
  <c r="N210" i="1054"/>
  <c r="N98" i="1054"/>
  <c r="N196" i="1053"/>
  <c r="N197" i="1053"/>
  <c r="N198" i="1053"/>
  <c r="D231" i="1056"/>
  <c r="B120" i="1056"/>
  <c r="L117" i="1054"/>
  <c r="AC13" i="1053"/>
  <c r="AC56" i="1053" s="1"/>
  <c r="Q13" i="1053"/>
  <c r="AA174" i="1056"/>
  <c r="AA60" i="1056"/>
  <c r="Z212" i="1055"/>
  <c r="Z100" i="1055"/>
  <c r="X141" i="1053"/>
  <c r="N207" i="1056"/>
  <c r="N95" i="1056"/>
  <c r="N205" i="1056"/>
  <c r="N93" i="1056"/>
  <c r="O175" i="1054"/>
  <c r="AB18" i="1054"/>
  <c r="P18" i="1054"/>
  <c r="N211" i="1053"/>
  <c r="N99" i="1053"/>
  <c r="N140" i="1053"/>
  <c r="N210" i="1053"/>
  <c r="N98" i="1053"/>
  <c r="Q11" i="1056"/>
  <c r="AC11" i="1056"/>
  <c r="P104" i="1056"/>
  <c r="P236" i="1056"/>
  <c r="N206" i="1054"/>
  <c r="N94" i="1054"/>
  <c r="AA10" i="1053"/>
  <c r="N149" i="1053"/>
  <c r="AA182" i="1056"/>
  <c r="AA68" i="1056"/>
  <c r="Q50" i="1056"/>
  <c r="AC50" i="1056"/>
  <c r="O182" i="1054"/>
  <c r="P23" i="1054"/>
  <c r="AB23" i="1054"/>
  <c r="Z205" i="1055"/>
  <c r="Z93" i="1055"/>
  <c r="N111" i="1056"/>
  <c r="N121" i="1056"/>
  <c r="Y210" i="1053"/>
  <c r="Y98" i="1053"/>
  <c r="Y208" i="1053"/>
  <c r="Y96" i="1053"/>
  <c r="AA59" i="1054"/>
  <c r="AA173" i="1054"/>
  <c r="O214" i="1055"/>
  <c r="O102" i="1055"/>
  <c r="O204" i="1055"/>
  <c r="O92" i="1055"/>
  <c r="Y212" i="1054"/>
  <c r="Y100" i="1054"/>
  <c r="Z208" i="1055"/>
  <c r="Z96" i="1055"/>
  <c r="AA173" i="1056"/>
  <c r="AA59" i="1056"/>
  <c r="R88" i="1054" a="1"/>
  <c r="R88" i="1054" s="1"/>
  <c r="AE9" i="1054"/>
  <c r="AE88" i="1054" s="1"/>
  <c r="AE109" i="1054" s="1"/>
  <c r="O178" i="1053"/>
  <c r="Z130" i="1053"/>
  <c r="Z164" i="1053" s="1"/>
  <c r="Z125" i="1053"/>
  <c r="Z53" i="1053"/>
  <c r="Z129" i="1053"/>
  <c r="Z163" i="1053" s="1"/>
  <c r="Z123" i="1053"/>
  <c r="Z69" i="1053"/>
  <c r="Z54" i="1053"/>
  <c r="Z216" i="1053"/>
  <c r="Z104" i="1053"/>
  <c r="Z180" i="1053"/>
  <c r="Z66" i="1053"/>
  <c r="Z67" i="1053"/>
  <c r="Z174" i="1053"/>
  <c r="Z60" i="1053"/>
  <c r="Z181" i="1053"/>
  <c r="Z236" i="1053"/>
  <c r="Z176" i="1053"/>
  <c r="Z217" i="1053"/>
  <c r="Z62" i="1053"/>
  <c r="Z167" i="1053"/>
  <c r="Z168" i="1053"/>
  <c r="Z178" i="1053"/>
  <c r="Z64" i="1053"/>
  <c r="Z139" i="1053"/>
  <c r="Z65" i="1053"/>
  <c r="Z179" i="1053"/>
  <c r="AA175" i="1056"/>
  <c r="AA61" i="1056"/>
  <c r="Y214" i="1055"/>
  <c r="Y102" i="1055"/>
  <c r="Y121" i="1055"/>
  <c r="Y111" i="1055"/>
  <c r="Z208" i="1054"/>
  <c r="Z96" i="1054"/>
  <c r="AB11" i="1055"/>
  <c r="P11" i="1055"/>
  <c r="O104" i="1055"/>
  <c r="O236" i="1055"/>
  <c r="O176" i="1053"/>
  <c r="P53" i="1054"/>
  <c r="P69" i="1054"/>
  <c r="P67" i="1054"/>
  <c r="AC8" i="1054"/>
  <c r="P66" i="1054"/>
  <c r="P68" i="1054"/>
  <c r="P61" i="1054"/>
  <c r="P54" i="1054"/>
  <c r="Q8" i="1054"/>
  <c r="AF127" i="1053"/>
  <c r="O177" i="1053"/>
  <c r="AB20" i="1053"/>
  <c r="P20" i="1053"/>
  <c r="Q13" i="1056"/>
  <c r="AC13" i="1056"/>
  <c r="AC56" i="1056" s="1"/>
  <c r="Z63" i="1055"/>
  <c r="AA175" i="1053"/>
  <c r="AA61" i="1053"/>
  <c r="AB11" i="1054"/>
  <c r="P11" i="1054"/>
  <c r="O236" i="1054"/>
  <c r="O104" i="1054"/>
  <c r="N91" i="1054"/>
  <c r="N203" i="1054"/>
  <c r="W127" i="1054"/>
  <c r="N55" i="1055"/>
  <c r="Z63" i="1053"/>
  <c r="Z210" i="1054"/>
  <c r="Z98" i="1054"/>
  <c r="O139" i="1053"/>
  <c r="AA172" i="1055"/>
  <c r="AA58" i="1055"/>
  <c r="AD22" i="1054"/>
  <c r="R22" i="1054"/>
  <c r="AE22" i="1054" s="1"/>
  <c r="Z125" i="1054"/>
  <c r="Z129" i="1054"/>
  <c r="Z163" i="1054" s="1"/>
  <c r="Z123" i="1054"/>
  <c r="Z130" i="1054"/>
  <c r="Z164" i="1054" s="1"/>
  <c r="Z54" i="1054"/>
  <c r="Z53" i="1054"/>
  <c r="Z69" i="1054"/>
  <c r="Z104" i="1054"/>
  <c r="Z216" i="1054"/>
  <c r="Z66" i="1054"/>
  <c r="Z236" i="1054"/>
  <c r="Z180" i="1054"/>
  <c r="Z67" i="1054"/>
  <c r="Z181" i="1054"/>
  <c r="X89" i="1052"/>
  <c r="L219" i="1055"/>
  <c r="L106" i="1055"/>
  <c r="L110" i="1055" s="1"/>
  <c r="P221" i="1055"/>
  <c r="P109" i="1055"/>
  <c r="Y70" i="1054"/>
  <c r="Y71" i="1054"/>
  <c r="AB204" i="1053"/>
  <c r="AB92" i="1053"/>
  <c r="N212" i="1056"/>
  <c r="N100" i="1056"/>
  <c r="N209" i="1056"/>
  <c r="N97" i="1056"/>
  <c r="AA173" i="1053"/>
  <c r="AA59" i="1053"/>
  <c r="AA175" i="1054"/>
  <c r="N203" i="1053"/>
  <c r="N91" i="1053"/>
  <c r="N213" i="1053"/>
  <c r="N101" i="1053"/>
  <c r="AB10" i="1056"/>
  <c r="O149" i="1056"/>
  <c r="AA173" i="1055"/>
  <c r="AA59" i="1055"/>
  <c r="P11" i="1053"/>
  <c r="AB11" i="1053"/>
  <c r="O104" i="1053"/>
  <c r="O236" i="1053"/>
  <c r="AA182" i="1054"/>
  <c r="AA68" i="1054"/>
  <c r="Y211" i="1054"/>
  <c r="Y99" i="1054"/>
  <c r="Y140" i="1054"/>
  <c r="Y214" i="1053"/>
  <c r="Y102" i="1053"/>
  <c r="Y196" i="1053"/>
  <c r="Y197" i="1053"/>
  <c r="Y198" i="1053"/>
  <c r="AF127" i="1055"/>
  <c r="S127" i="1055"/>
  <c r="L112" i="1055"/>
  <c r="O206" i="1055"/>
  <c r="O94" i="1055"/>
  <c r="O208" i="1055"/>
  <c r="O96" i="1055"/>
  <c r="Y210" i="1055"/>
  <c r="Y98" i="1055"/>
  <c r="AA133" i="1053"/>
  <c r="Q221" i="1054"/>
  <c r="Q109" i="1054"/>
  <c r="Y197" i="1055"/>
  <c r="Y196" i="1055"/>
  <c r="Y198" i="1055"/>
  <c r="X145" i="1054"/>
  <c r="X147" i="1054" s="1"/>
  <c r="G126" i="1055"/>
  <c r="M141" i="1055"/>
  <c r="O175" i="1055"/>
  <c r="AB18" i="1055"/>
  <c r="P18" i="1055"/>
  <c r="AB204" i="1056"/>
  <c r="AB92" i="1056"/>
  <c r="AE17" i="1053"/>
  <c r="Z202" i="1056"/>
  <c r="Z90" i="1056"/>
  <c r="AA10" i="1054"/>
  <c r="AA61" i="1054" s="1"/>
  <c r="N149" i="1054"/>
  <c r="D232" i="1053"/>
  <c r="B121" i="1053"/>
  <c r="L225" i="1053"/>
  <c r="L114" i="1053"/>
  <c r="L113" i="1053"/>
  <c r="Q123" i="1055"/>
  <c r="Q130" i="1055" a="1"/>
  <c r="Q130" i="1055" s="1"/>
  <c r="Q164" i="1055" s="1"/>
  <c r="Q129" i="1055"/>
  <c r="Q163" i="1055" s="1"/>
  <c r="Q125" i="1055"/>
  <c r="R10" i="1055"/>
  <c r="Q180" i="1055"/>
  <c r="Q181" i="1055"/>
  <c r="Q216" i="1055" a="1"/>
  <c r="Q216" i="1055" s="1"/>
  <c r="Z177" i="1053"/>
  <c r="P111" i="1054"/>
  <c r="P121" i="1054"/>
  <c r="O172" i="1055"/>
  <c r="AB15" i="1055"/>
  <c r="P15" i="1055"/>
  <c r="AC49" i="1054"/>
  <c r="Q49" i="1054"/>
  <c r="X113" i="1053"/>
  <c r="X225" i="1053" s="1"/>
  <c r="Z206" i="1055"/>
  <c r="Z94" i="1055"/>
  <c r="L145" i="1054"/>
  <c r="L146" i="1054" s="1"/>
  <c r="L148" i="1054"/>
  <c r="W119" i="1053"/>
  <c r="W122" i="1053" s="1"/>
  <c r="W120" i="1053"/>
  <c r="Z215" i="1056"/>
  <c r="Z103" i="1056"/>
  <c r="Z184" i="1056"/>
  <c r="Z185" i="1056"/>
  <c r="N211" i="1055"/>
  <c r="N99" i="1055"/>
  <c r="N140" i="1055"/>
  <c r="X145" i="1053"/>
  <c r="X146" i="1053" s="1"/>
  <c r="N213" i="1056"/>
  <c r="N101" i="1056"/>
  <c r="N214" i="1056"/>
  <c r="N102" i="1056"/>
  <c r="N202" i="1056"/>
  <c r="N142" i="1056"/>
  <c r="N143" i="1056" s="1"/>
  <c r="N90" i="1056"/>
  <c r="O173" i="1053"/>
  <c r="P16" i="1053"/>
  <c r="AB16" i="1053"/>
  <c r="N209" i="1053"/>
  <c r="N97" i="1053"/>
  <c r="N215" i="1053"/>
  <c r="N103" i="1053"/>
  <c r="N185" i="1053"/>
  <c r="N184" i="1053"/>
  <c r="AA171" i="1055"/>
  <c r="AA57" i="1055"/>
  <c r="O173" i="1055"/>
  <c r="AB16" i="1055"/>
  <c r="P16" i="1055"/>
  <c r="N145" i="1054"/>
  <c r="N147" i="1054" s="1"/>
  <c r="N148" i="1054"/>
  <c r="L128" i="1053"/>
  <c r="L120" i="1053"/>
  <c r="L119" i="1053"/>
  <c r="L122" i="1053" s="1"/>
  <c r="O174" i="1055"/>
  <c r="AB17" i="1055"/>
  <c r="P17" i="1055"/>
  <c r="W127" i="1053"/>
  <c r="Y213" i="1053"/>
  <c r="Y101" i="1053"/>
  <c r="Y121" i="1053"/>
  <c r="Y111" i="1053"/>
  <c r="AB51" i="1053"/>
  <c r="P51" i="1053"/>
  <c r="L117" i="1055"/>
  <c r="O213" i="1055"/>
  <c r="O101" i="1055"/>
  <c r="O177" i="1056"/>
  <c r="AB20" i="1056"/>
  <c r="P20" i="1056"/>
  <c r="Y203" i="1054"/>
  <c r="Y91" i="1054"/>
  <c r="M145" i="1053"/>
  <c r="M147" i="1053"/>
  <c r="Z206" i="1056"/>
  <c r="Z94" i="1056"/>
  <c r="M219" i="1053"/>
  <c r="M106" i="1053"/>
  <c r="M110" i="1053" s="1"/>
  <c r="Z55" i="1054"/>
  <c r="N70" i="1054"/>
  <c r="N89" i="1054" s="1"/>
  <c r="Q49" i="1055"/>
  <c r="AC49" i="1055"/>
  <c r="M141" i="1056"/>
  <c r="O202" i="1054"/>
  <c r="O90" i="1054"/>
  <c r="Z206" i="1054"/>
  <c r="Z94" i="1054"/>
  <c r="Z71" i="1056"/>
  <c r="O175" i="1053"/>
  <c r="P18" i="1053"/>
  <c r="AB18" i="1053"/>
  <c r="W144" i="1053"/>
  <c r="O131" i="1054"/>
  <c r="O55" i="1054" s="1"/>
  <c r="O142" i="1054" s="1"/>
  <c r="O139" i="1054"/>
  <c r="O179" i="1054"/>
  <c r="O217" i="1054"/>
  <c r="O133" i="1054"/>
  <c r="O168" i="1054"/>
  <c r="O132" i="1054"/>
  <c r="P4" i="1054"/>
  <c r="P65" i="1054" s="1"/>
  <c r="O167" i="1054"/>
  <c r="O134" i="1054"/>
  <c r="AB4" i="1054"/>
  <c r="W144" i="1056"/>
  <c r="X117" i="1056"/>
  <c r="AA204" i="1055"/>
  <c r="AA92" i="1055"/>
  <c r="X141" i="1054"/>
  <c r="Q51" i="1056"/>
  <c r="AC51" i="1056"/>
  <c r="Z209" i="1054"/>
  <c r="Z97" i="1054"/>
  <c r="O131" i="1053"/>
  <c r="D232" i="1055"/>
  <c r="B121" i="1055"/>
  <c r="P88" i="1056" a="1"/>
  <c r="P88" i="1056" s="1"/>
  <c r="Q9" i="1056"/>
  <c r="AC9" i="1056"/>
  <c r="AC88" i="1056" s="1"/>
  <c r="AC109" i="1056" s="1"/>
  <c r="Z208" i="1056"/>
  <c r="Z96" i="1056"/>
  <c r="M147" i="1054"/>
  <c r="X219" i="1055"/>
  <c r="X106" i="1055"/>
  <c r="X110" i="1055" s="1"/>
  <c r="AA130" i="1056"/>
  <c r="AA164" i="1056" s="1"/>
  <c r="AA129" i="1056"/>
  <c r="AA163" i="1056" s="1"/>
  <c r="AA125" i="1056"/>
  <c r="AA123" i="1056"/>
  <c r="AA54" i="1056"/>
  <c r="AA53" i="1056"/>
  <c r="AA69" i="1056"/>
  <c r="AA216" i="1056"/>
  <c r="AA104" i="1056"/>
  <c r="AA236" i="1056"/>
  <c r="AA180" i="1056"/>
  <c r="AA181" i="1056"/>
  <c r="AA67" i="1056"/>
  <c r="AA66" i="1056"/>
  <c r="Y214" i="1054"/>
  <c r="Y102" i="1054"/>
  <c r="Y202" i="1054"/>
  <c r="Y89" i="1054"/>
  <c r="Y90" i="1054"/>
  <c r="Y142" i="1054"/>
  <c r="Y143" i="1054" s="1"/>
  <c r="Y117" i="1054"/>
  <c r="L225" i="1054"/>
  <c r="L113" i="1054"/>
  <c r="L114" i="1054" s="1"/>
  <c r="L115" i="1054" s="1"/>
  <c r="L116" i="1054" s="1"/>
  <c r="L126" i="1054" s="1"/>
  <c r="AA205" i="1053"/>
  <c r="AA93" i="1053"/>
  <c r="N207" i="1055"/>
  <c r="N95" i="1055"/>
  <c r="P182" i="1055"/>
  <c r="AC23" i="1055"/>
  <c r="Q23" i="1055"/>
  <c r="N204" i="1056"/>
  <c r="N92" i="1056"/>
  <c r="N206" i="1056"/>
  <c r="N94" i="1056"/>
  <c r="N211" i="1056"/>
  <c r="N99" i="1056"/>
  <c r="N140" i="1056"/>
  <c r="N71" i="1053"/>
  <c r="N70" i="1053"/>
  <c r="O171" i="1055"/>
  <c r="AB14" i="1055"/>
  <c r="P14" i="1055"/>
  <c r="O178" i="1055"/>
  <c r="AB21" i="1055"/>
  <c r="P21" i="1055"/>
  <c r="M117" i="1056"/>
  <c r="Y202" i="1053"/>
  <c r="Y142" i="1053"/>
  <c r="Y143" i="1053" s="1"/>
  <c r="Y90" i="1053"/>
  <c r="O215" i="1055"/>
  <c r="O103" i="1055"/>
  <c r="O184" i="1055"/>
  <c r="O185" i="1055"/>
  <c r="AA177" i="1056"/>
  <c r="AA63" i="1056"/>
  <c r="D231" i="1054"/>
  <c r="B120" i="1054"/>
  <c r="N70" i="1055"/>
  <c r="Z212" i="1056"/>
  <c r="Z100" i="1056"/>
  <c r="Y71" i="1055"/>
  <c r="Y70" i="1055"/>
  <c r="O172" i="1056"/>
  <c r="AB15" i="1056"/>
  <c r="P15" i="1056"/>
  <c r="O178" i="1056"/>
  <c r="AB21" i="1056"/>
  <c r="P21" i="1056"/>
  <c r="P22" i="1055"/>
  <c r="AB22" i="1055"/>
  <c r="AD9" i="1053"/>
  <c r="AD88" i="1053" s="1"/>
  <c r="AD109" i="1053" s="1"/>
  <c r="Q88" i="1053" a="1"/>
  <c r="Q88" i="1053" s="1"/>
  <c r="R9" i="1053"/>
  <c r="O212" i="1054"/>
  <c r="O100" i="1054"/>
  <c r="O214" i="1054"/>
  <c r="O102" i="1054"/>
  <c r="O208" i="1054"/>
  <c r="O96" i="1054"/>
  <c r="O176" i="1055"/>
  <c r="AB19" i="1055"/>
  <c r="P19" i="1055"/>
  <c r="M203" i="1055"/>
  <c r="M91" i="1055"/>
  <c r="M117" i="1055"/>
  <c r="M142" i="1055"/>
  <c r="M143" i="1055" s="1"/>
  <c r="M70" i="1055"/>
  <c r="M89" i="1055"/>
  <c r="M112" i="1055"/>
  <c r="Z215" i="1053"/>
  <c r="Z103" i="1053"/>
  <c r="Z185" i="1053"/>
  <c r="Z184" i="1053"/>
  <c r="Z125" i="1055"/>
  <c r="Z129" i="1055"/>
  <c r="Z163" i="1055" s="1"/>
  <c r="Z123" i="1055"/>
  <c r="Z130" i="1055"/>
  <c r="Z164" i="1055" s="1"/>
  <c r="Z69" i="1055"/>
  <c r="Z54" i="1055"/>
  <c r="Z53" i="1055"/>
  <c r="Z216" i="1055"/>
  <c r="Z104" i="1055"/>
  <c r="Z67" i="1055"/>
  <c r="Z181" i="1055"/>
  <c r="Z236" i="1055"/>
  <c r="Z180" i="1055"/>
  <c r="Z66" i="1055"/>
  <c r="X112" i="1055"/>
  <c r="AB13" i="1055"/>
  <c r="AB56" i="1055" s="1"/>
  <c r="P13" i="1055"/>
  <c r="X219" i="1054"/>
  <c r="X106" i="1054"/>
  <c r="X110" i="1054" s="1"/>
  <c r="O221" i="1056"/>
  <c r="O109" i="1056"/>
  <c r="M117" i="1051"/>
  <c r="W114" i="1052"/>
  <c r="W115" i="1052" s="1"/>
  <c r="W116" i="1052" s="1"/>
  <c r="W126" i="1052" s="1"/>
  <c r="M219" i="1054"/>
  <c r="M106" i="1054"/>
  <c r="M110" i="1054" s="1"/>
  <c r="AA166" i="1055"/>
  <c r="AA165" i="1055"/>
  <c r="G126" i="1053"/>
  <c r="Y111" i="1054"/>
  <c r="Y112" i="1054" s="1"/>
  <c r="Y121" i="1054"/>
  <c r="L219" i="1054"/>
  <c r="L106" i="1054"/>
  <c r="X219" i="1056"/>
  <c r="X106" i="1056"/>
  <c r="X112" i="1056"/>
  <c r="L144" i="1053"/>
  <c r="AB182" i="1055"/>
  <c r="AB68" i="1055"/>
  <c r="N208" i="1056"/>
  <c r="N96" i="1056"/>
  <c r="N210" i="1056"/>
  <c r="N98" i="1056"/>
  <c r="Z215" i="1054"/>
  <c r="Z103" i="1054"/>
  <c r="Z185" i="1054"/>
  <c r="Z184" i="1054"/>
  <c r="L119" i="1056"/>
  <c r="L128" i="1056"/>
  <c r="L120" i="1056"/>
  <c r="N207" i="1053"/>
  <c r="N95" i="1053"/>
  <c r="AA166" i="1053"/>
  <c r="AA165" i="1053"/>
  <c r="AA169" i="1053" s="1"/>
  <c r="V122" i="1056"/>
  <c r="X89" i="1055"/>
  <c r="Y208" i="1055"/>
  <c r="Y96" i="1055"/>
  <c r="M225" i="1053"/>
  <c r="M113" i="1053"/>
  <c r="M114" i="1053" s="1"/>
  <c r="M115" i="1053" s="1"/>
  <c r="M116" i="1053" s="1"/>
  <c r="M126" i="1053" s="1"/>
  <c r="I122" i="1055"/>
  <c r="O57" i="1055"/>
  <c r="O71" i="1055"/>
  <c r="O117" i="1055" s="1"/>
  <c r="J122" i="1054"/>
  <c r="AA134" i="1053"/>
  <c r="P13" i="1054"/>
  <c r="AB13" i="1054"/>
  <c r="AB56" i="1054" s="1"/>
  <c r="M112" i="1054"/>
  <c r="W147" i="1054"/>
  <c r="AA177" i="1054"/>
  <c r="AA63" i="1054"/>
  <c r="Y213" i="1055"/>
  <c r="Y101" i="1055"/>
  <c r="M141" i="1053"/>
  <c r="M148" i="1053" s="1"/>
  <c r="AC50" i="1055"/>
  <c r="Q50" i="1055"/>
  <c r="AA172" i="1056"/>
  <c r="AA58" i="1056"/>
  <c r="G115" i="1054"/>
  <c r="G116" i="1054" s="1"/>
  <c r="AA178" i="1056"/>
  <c r="AA64" i="1056"/>
  <c r="W119" i="1054"/>
  <c r="W120" i="1054"/>
  <c r="O172" i="1054"/>
  <c r="P15" i="1054"/>
  <c r="AB15" i="1054"/>
  <c r="Z210" i="1056"/>
  <c r="Z98" i="1056"/>
  <c r="AA182" i="1053"/>
  <c r="AA68" i="1053"/>
  <c r="W146" i="1053"/>
  <c r="O205" i="1054"/>
  <c r="O93" i="1054"/>
  <c r="O213" i="1054"/>
  <c r="O101" i="1054"/>
  <c r="K126" i="1054"/>
  <c r="Z65" i="1055"/>
  <c r="Z179" i="1055"/>
  <c r="Y219" i="1056"/>
  <c r="Y106" i="1056"/>
  <c r="Y110" i="1056" s="1"/>
  <c r="G115" i="1056"/>
  <c r="G116" i="1056" s="1"/>
  <c r="O176" i="1056"/>
  <c r="AB19" i="1056"/>
  <c r="P19" i="1056"/>
  <c r="Z213" i="1056"/>
  <c r="Z101" i="1056"/>
  <c r="Z197" i="1056"/>
  <c r="Z198" i="1056"/>
  <c r="Z196" i="1056"/>
  <c r="P22" i="1053"/>
  <c r="AB22" i="1053"/>
  <c r="AA217" i="1054"/>
  <c r="AA132" i="1054"/>
  <c r="AA179" i="1054"/>
  <c r="AA65" i="1054"/>
  <c r="AA133" i="1054"/>
  <c r="AA139" i="1054"/>
  <c r="AA168" i="1054"/>
  <c r="AA134" i="1054"/>
  <c r="AA167" i="1054"/>
  <c r="AA131" i="1054"/>
  <c r="W147" i="1056"/>
  <c r="X145" i="1056"/>
  <c r="X146" i="1056" s="1"/>
  <c r="P121" i="1055"/>
  <c r="P111" i="1055"/>
  <c r="O217" i="1055"/>
  <c r="O179" i="1055"/>
  <c r="O168" i="1055"/>
  <c r="O167" i="1055"/>
  <c r="O134" i="1055"/>
  <c r="O139" i="1055"/>
  <c r="O131" i="1055"/>
  <c r="O55" i="1055" s="1"/>
  <c r="O89" i="1055" s="1"/>
  <c r="O133" i="1055"/>
  <c r="O132" i="1055"/>
  <c r="AB4" i="1055"/>
  <c r="P4" i="1055"/>
  <c r="Y89" i="1056"/>
  <c r="P217" i="1053"/>
  <c r="AC4" i="1053"/>
  <c r="Q4" i="1053"/>
  <c r="O177" i="1055"/>
  <c r="AB20" i="1055"/>
  <c r="P20" i="1055"/>
  <c r="M112" i="1056"/>
  <c r="P171" i="1053"/>
  <c r="AC14" i="1053"/>
  <c r="Q14" i="1053"/>
  <c r="Z205" i="1054"/>
  <c r="Z93" i="1054"/>
  <c r="K122" i="1052"/>
  <c r="N204" i="1055"/>
  <c r="N92" i="1055"/>
  <c r="AA215" i="1055"/>
  <c r="AA103" i="1055"/>
  <c r="AA184" i="1055"/>
  <c r="AA185" i="1055"/>
  <c r="O165" i="1055"/>
  <c r="O169" i="1055" s="1"/>
  <c r="O166" i="1055"/>
  <c r="AB12" i="1055"/>
  <c r="P12" i="1055"/>
  <c r="O181" i="1053"/>
  <c r="O180" i="1053"/>
  <c r="O125" i="1053"/>
  <c r="P10" i="1053"/>
  <c r="P139" i="1053" s="1"/>
  <c r="O123" i="1053"/>
  <c r="O129" i="1053"/>
  <c r="O163" i="1053" s="1"/>
  <c r="O130" i="1053" a="1"/>
  <c r="O130" i="1053" s="1"/>
  <c r="O164" i="1053" s="1"/>
  <c r="O216" i="1053" a="1"/>
  <c r="O216" i="1053" s="1"/>
  <c r="O174" i="1053"/>
  <c r="Q49" i="1056"/>
  <c r="AC49" i="1056"/>
  <c r="Y213" i="1054"/>
  <c r="Y101" i="1054"/>
  <c r="L110" i="1054"/>
  <c r="L225" i="1056"/>
  <c r="L113" i="1056"/>
  <c r="L114" i="1056"/>
  <c r="L115" i="1056" s="1"/>
  <c r="L116" i="1056" s="1"/>
  <c r="L126" i="1056" s="1"/>
  <c r="O108" i="1056"/>
  <c r="O61" i="1056"/>
  <c r="O57" i="1056"/>
  <c r="O65" i="1056"/>
  <c r="O69" i="1056"/>
  <c r="O62" i="1056"/>
  <c r="O58" i="1056"/>
  <c r="O67" i="1056"/>
  <c r="O64" i="1056"/>
  <c r="O59" i="1056"/>
  <c r="O54" i="1056"/>
  <c r="O68" i="1056"/>
  <c r="O66" i="1056"/>
  <c r="P8" i="1056"/>
  <c r="O60" i="1056"/>
  <c r="O56" i="1056"/>
  <c r="O63" i="1056"/>
  <c r="O53" i="1056"/>
  <c r="AB8" i="1056"/>
  <c r="K120" i="1054"/>
  <c r="K119" i="1054"/>
  <c r="O176" i="1054"/>
  <c r="P19" i="1054"/>
  <c r="AB19" i="1054"/>
  <c r="N208" i="1053"/>
  <c r="N96" i="1053"/>
  <c r="N212" i="1053"/>
  <c r="N100" i="1053"/>
  <c r="O165" i="1053"/>
  <c r="O169" i="1053" s="1"/>
  <c r="O166" i="1053"/>
  <c r="P12" i="1053"/>
  <c r="AB12" i="1053"/>
  <c r="AB49" i="1053"/>
  <c r="P49" i="1053"/>
  <c r="X147" i="1055"/>
  <c r="X144" i="1055"/>
  <c r="X145" i="1055"/>
  <c r="Z211" i="1056"/>
  <c r="Z99" i="1056"/>
  <c r="Z140" i="1056"/>
  <c r="K127" i="1054"/>
  <c r="Q157" i="1054"/>
  <c r="R157" i="1054"/>
  <c r="P157" i="1054"/>
  <c r="AD157" i="1054"/>
  <c r="AC157" i="1054"/>
  <c r="AE157" i="1054"/>
  <c r="Z211" i="1054"/>
  <c r="Z99" i="1054"/>
  <c r="Z140" i="1054"/>
  <c r="Y113" i="1056"/>
  <c r="Y225" i="1056" s="1"/>
  <c r="Z207" i="1055"/>
  <c r="Z95" i="1055"/>
  <c r="O181" i="1056"/>
  <c r="O130" i="1056" a="1"/>
  <c r="O130" i="1056" s="1"/>
  <c r="O164" i="1056" s="1"/>
  <c r="O180" i="1056"/>
  <c r="O125" i="1056"/>
  <c r="O123" i="1056"/>
  <c r="O129" i="1056"/>
  <c r="O163" i="1056" s="1"/>
  <c r="P10" i="1056"/>
  <c r="O216" i="1056" a="1"/>
  <c r="O216" i="1056" s="1"/>
  <c r="Y212" i="1053"/>
  <c r="Y100" i="1053"/>
  <c r="P68" i="1055"/>
  <c r="P108" i="1055"/>
  <c r="P63" i="1055"/>
  <c r="P53" i="1055"/>
  <c r="P61" i="1055"/>
  <c r="P57" i="1055"/>
  <c r="P65" i="1055"/>
  <c r="P69" i="1055"/>
  <c r="P62" i="1055"/>
  <c r="P58" i="1055"/>
  <c r="P67" i="1055"/>
  <c r="AC8" i="1055"/>
  <c r="P64" i="1055"/>
  <c r="P59" i="1055"/>
  <c r="P66" i="1055"/>
  <c r="P56" i="1055"/>
  <c r="P60" i="1055"/>
  <c r="Q8" i="1055"/>
  <c r="P54" i="1055"/>
  <c r="O209" i="1055"/>
  <c r="O97" i="1055"/>
  <c r="O59" i="1055"/>
  <c r="AA204" i="1054"/>
  <c r="AA92" i="1054"/>
  <c r="Z207" i="1054"/>
  <c r="Z95" i="1054"/>
  <c r="Z212" i="1054"/>
  <c r="Z100" i="1054"/>
  <c r="O177" i="1054"/>
  <c r="AB20" i="1054"/>
  <c r="P20" i="1054"/>
  <c r="Y202" i="1055"/>
  <c r="Y89" i="1055"/>
  <c r="Y142" i="1055"/>
  <c r="Y143" i="1055" s="1"/>
  <c r="Y90" i="1055"/>
  <c r="Y117" i="1055"/>
  <c r="O182" i="1053"/>
  <c r="P23" i="1053"/>
  <c r="AB23" i="1053"/>
  <c r="L146" i="1053"/>
  <c r="P221" i="1053"/>
  <c r="P109" i="1053"/>
  <c r="O206" i="1054"/>
  <c r="O94" i="1054"/>
  <c r="O174" i="1054"/>
  <c r="AB17" i="1054"/>
  <c r="P17" i="1054"/>
  <c r="Z217" i="1055"/>
  <c r="AA176" i="1056"/>
  <c r="AA62" i="1056"/>
  <c r="Y209" i="1053"/>
  <c r="Y97" i="1053"/>
  <c r="D175" i="1053"/>
  <c r="B62" i="1053"/>
  <c r="Z214" i="1056"/>
  <c r="Z102" i="1056"/>
  <c r="Z121" i="1056"/>
  <c r="Z111" i="1056"/>
  <c r="Y140" i="1055"/>
  <c r="X110" i="1056"/>
  <c r="Z62" i="1055"/>
  <c r="P197" i="1055"/>
  <c r="P196" i="1055"/>
  <c r="P198" i="1055"/>
  <c r="AA172" i="1053"/>
  <c r="AA58" i="1053"/>
  <c r="AA169" i="1055"/>
  <c r="AA134" i="1055"/>
  <c r="AA131" i="1055"/>
  <c r="AA55" i="1055" s="1"/>
  <c r="AA133" i="1055"/>
  <c r="AA132" i="1055"/>
  <c r="Y144" i="1056"/>
  <c r="Y145" i="1056"/>
  <c r="Y146" i="1056" s="1"/>
  <c r="O133" i="1053"/>
  <c r="O179" i="1053"/>
  <c r="P198" i="1054"/>
  <c r="P197" i="1054"/>
  <c r="P196" i="1054"/>
  <c r="Z61" i="1053"/>
  <c r="AB171" i="1053"/>
  <c r="AB57" i="1053"/>
  <c r="Z206" i="1053"/>
  <c r="Z94" i="1053"/>
  <c r="Y196" i="1054"/>
  <c r="Y198" i="1054"/>
  <c r="Y197" i="1054"/>
  <c r="N208" i="1054"/>
  <c r="N96" i="1054"/>
  <c r="M219" i="1056"/>
  <c r="M106" i="1056"/>
  <c r="M110" i="1056" s="1"/>
  <c r="N215" i="1056"/>
  <c r="N103" i="1056"/>
  <c r="N185" i="1056"/>
  <c r="N184" i="1056"/>
  <c r="Q22" i="1056"/>
  <c r="AC22" i="1056"/>
  <c r="D175" i="1054"/>
  <c r="B62" i="1054"/>
  <c r="AA176" i="1054"/>
  <c r="AA62" i="1054"/>
  <c r="O67" i="1053"/>
  <c r="O64" i="1053"/>
  <c r="O59" i="1053"/>
  <c r="O54" i="1053"/>
  <c r="O68" i="1053"/>
  <c r="O66" i="1053"/>
  <c r="O60" i="1053"/>
  <c r="O56" i="1053"/>
  <c r="O63" i="1053"/>
  <c r="O108" i="1053"/>
  <c r="O61" i="1053"/>
  <c r="O57" i="1053"/>
  <c r="O53" i="1053"/>
  <c r="O65" i="1053"/>
  <c r="O55" i="1053"/>
  <c r="O58" i="1053"/>
  <c r="AB8" i="1053"/>
  <c r="P8" i="1053"/>
  <c r="O62" i="1053"/>
  <c r="O69" i="1053"/>
  <c r="N205" i="1053"/>
  <c r="N93" i="1053"/>
  <c r="N214" i="1053"/>
  <c r="N102" i="1053"/>
  <c r="D175" i="1055"/>
  <c r="B62" i="1055"/>
  <c r="N209" i="1055"/>
  <c r="N97" i="1055"/>
  <c r="N197" i="1056"/>
  <c r="N196" i="1056"/>
  <c r="N198" i="1056"/>
  <c r="Y70" i="1053"/>
  <c r="Y89" i="1053" s="1"/>
  <c r="Y71" i="1053"/>
  <c r="L89" i="1055"/>
  <c r="N93" i="1054"/>
  <c r="N205" i="1054"/>
  <c r="O202" i="1055"/>
  <c r="O142" i="1055"/>
  <c r="O143" i="1055" s="1"/>
  <c r="O90" i="1055"/>
  <c r="O64" i="1055"/>
  <c r="Z209" i="1056"/>
  <c r="Z97" i="1056"/>
  <c r="Q51" i="1055"/>
  <c r="AC51" i="1055"/>
  <c r="AA132" i="1053"/>
  <c r="AA55" i="1053" s="1"/>
  <c r="P178" i="1053"/>
  <c r="AC21" i="1053"/>
  <c r="Q21" i="1053"/>
  <c r="W144" i="1054"/>
  <c r="O178" i="1054"/>
  <c r="AB21" i="1054"/>
  <c r="P21" i="1054"/>
  <c r="P64" i="1054" s="1"/>
  <c r="Y141" i="1056"/>
  <c r="Y148" i="1056" s="1"/>
  <c r="AA172" i="1054"/>
  <c r="AA58" i="1054"/>
  <c r="Z61" i="1055"/>
  <c r="Z205" i="1056"/>
  <c r="Z93" i="1056"/>
  <c r="O61" i="1054"/>
  <c r="O140" i="1054" s="1"/>
  <c r="O62" i="1054"/>
  <c r="AA60" i="1054"/>
  <c r="AA174" i="1054"/>
  <c r="M144" i="1056"/>
  <c r="M148" i="1056"/>
  <c r="M147" i="1056"/>
  <c r="M145" i="1056"/>
  <c r="M146" i="1056" s="1"/>
  <c r="O70" i="1055"/>
  <c r="Z168" i="1055"/>
  <c r="Z167" i="1055"/>
  <c r="Q12" i="1056"/>
  <c r="AC12" i="1056"/>
  <c r="P166" i="1056"/>
  <c r="P165" i="1056"/>
  <c r="X113" i="1054"/>
  <c r="X225" i="1054" s="1"/>
  <c r="O171" i="1056"/>
  <c r="AB14" i="1056"/>
  <c r="P14" i="1056"/>
  <c r="O171" i="1054"/>
  <c r="P14" i="1054"/>
  <c r="AB14" i="1054"/>
  <c r="Z176" i="1055"/>
  <c r="D175" i="1056"/>
  <c r="B62" i="1056"/>
  <c r="O172" i="1053"/>
  <c r="P15" i="1053"/>
  <c r="AB15" i="1053"/>
  <c r="AB50" i="1053"/>
  <c r="P50" i="1053"/>
  <c r="O134" i="1053"/>
  <c r="O217" i="1053"/>
  <c r="Z175" i="1053"/>
  <c r="O165" i="1054"/>
  <c r="O169" i="1054" s="1"/>
  <c r="O166" i="1054"/>
  <c r="AB12" i="1054"/>
  <c r="P12" i="1054"/>
  <c r="N210" i="1055"/>
  <c r="N98" i="1055"/>
  <c r="AA217" i="1056"/>
  <c r="AA169" i="1056"/>
  <c r="AA179" i="1056"/>
  <c r="AA131" i="1056"/>
  <c r="AA167" i="1056"/>
  <c r="AA134" i="1056"/>
  <c r="AA168" i="1056"/>
  <c r="AA139" i="1056"/>
  <c r="AA133" i="1056"/>
  <c r="AA132" i="1056"/>
  <c r="AA65" i="1056"/>
  <c r="N215" i="1054"/>
  <c r="N103" i="1054"/>
  <c r="N184" i="1054"/>
  <c r="N185" i="1054"/>
  <c r="Q88" i="1055" a="1"/>
  <c r="Q88" i="1055" s="1"/>
  <c r="AD9" i="1055"/>
  <c r="AD88" i="1055" s="1"/>
  <c r="AD109" i="1055" s="1"/>
  <c r="R9" i="1055"/>
  <c r="N111" i="1053"/>
  <c r="N112" i="1053" s="1"/>
  <c r="N121" i="1053"/>
  <c r="O217" i="1056"/>
  <c r="O179" i="1056"/>
  <c r="O134" i="1056"/>
  <c r="O169" i="1056"/>
  <c r="O133" i="1056"/>
  <c r="O168" i="1056"/>
  <c r="O167" i="1056"/>
  <c r="O139" i="1056"/>
  <c r="O131" i="1056"/>
  <c r="O55" i="1056" s="1"/>
  <c r="O132" i="1056"/>
  <c r="AB4" i="1056"/>
  <c r="P4" i="1056"/>
  <c r="W120" i="1055"/>
  <c r="W119" i="1055"/>
  <c r="W122" i="1055" s="1"/>
  <c r="O174" i="1056"/>
  <c r="AB17" i="1056"/>
  <c r="P17" i="1056"/>
  <c r="N212" i="1054"/>
  <c r="N100" i="1054"/>
  <c r="N71" i="1056"/>
  <c r="N89" i="1056" s="1"/>
  <c r="N204" i="1053"/>
  <c r="N92" i="1053"/>
  <c r="N142" i="1053"/>
  <c r="N143" i="1053" s="1"/>
  <c r="N202" i="1053"/>
  <c r="N90" i="1053"/>
  <c r="N89" i="1053"/>
  <c r="N117" i="1053"/>
  <c r="N206" i="1053"/>
  <c r="N94" i="1053"/>
  <c r="Z55" i="1056"/>
  <c r="W119" i="1056"/>
  <c r="W120" i="1056"/>
  <c r="O182" i="1056"/>
  <c r="AB23" i="1056"/>
  <c r="P23" i="1056"/>
  <c r="K119" i="1055"/>
  <c r="K120" i="1055"/>
  <c r="Z207" i="1053"/>
  <c r="Z95" i="1053"/>
  <c r="Z207" i="1056"/>
  <c r="Z95" i="1056"/>
  <c r="X146" i="1055"/>
  <c r="X148" i="1055" s="1"/>
  <c r="X141" i="1055"/>
  <c r="Z203" i="1053"/>
  <c r="Z91" i="1053"/>
  <c r="O173" i="1054"/>
  <c r="P16" i="1054"/>
  <c r="P59" i="1054" s="1"/>
  <c r="AB16" i="1054"/>
  <c r="L148" i="1055"/>
  <c r="L145" i="1055"/>
  <c r="L146" i="1055" s="1"/>
  <c r="N204" i="1054"/>
  <c r="N92" i="1054"/>
  <c r="O210" i="1055"/>
  <c r="O98" i="1055"/>
  <c r="O211" i="1055"/>
  <c r="O99" i="1055"/>
  <c r="O140" i="1055"/>
  <c r="O173" i="1056"/>
  <c r="AB16" i="1056"/>
  <c r="P16" i="1056"/>
  <c r="AD51" i="1054"/>
  <c r="R51" i="1054"/>
  <c r="AE51" i="1054" s="1"/>
  <c r="O175" i="1056"/>
  <c r="AB18" i="1056"/>
  <c r="P18" i="1056"/>
  <c r="K225" i="1055"/>
  <c r="K114" i="1055"/>
  <c r="K113" i="1055"/>
  <c r="X219" i="1053"/>
  <c r="X106" i="1053"/>
  <c r="X110" i="1053" s="1"/>
  <c r="K144" i="1054"/>
  <c r="AA178" i="1054"/>
  <c r="AA64" i="1054"/>
  <c r="AA10" i="1055"/>
  <c r="AA176" i="1055" s="1"/>
  <c r="N149" i="1055"/>
  <c r="M89" i="1054"/>
  <c r="P176" i="1053"/>
  <c r="Q19" i="1053"/>
  <c r="AC19" i="1053"/>
  <c r="Z175" i="1055"/>
  <c r="O68" i="1054"/>
  <c r="O71" i="1054" s="1"/>
  <c r="N206" i="1055"/>
  <c r="N94" i="1055"/>
  <c r="K144" i="1055"/>
  <c r="Z55" i="1055"/>
  <c r="AA177" i="1053"/>
  <c r="AA63" i="1053"/>
  <c r="AB165" i="1056"/>
  <c r="AB166" i="1056"/>
  <c r="AA171" i="1056"/>
  <c r="AA57" i="1056"/>
  <c r="AA171" i="1054"/>
  <c r="AA57" i="1054"/>
  <c r="O167" i="1053"/>
  <c r="Q125" i="1054"/>
  <c r="Q129" i="1054"/>
  <c r="Q163" i="1054" s="1"/>
  <c r="Q123" i="1054"/>
  <c r="Q130" i="1054" a="1"/>
  <c r="Q130" i="1054" s="1"/>
  <c r="Q164" i="1054" s="1"/>
  <c r="R10" i="1054"/>
  <c r="Q216" i="1054" a="1"/>
  <c r="Q216" i="1054" s="1"/>
  <c r="Q181" i="1054"/>
  <c r="Q180" i="1054"/>
  <c r="M117" i="1054"/>
  <c r="AA165" i="1054"/>
  <c r="AA169" i="1054" s="1"/>
  <c r="AA166" i="1054"/>
  <c r="W114" i="1056"/>
  <c r="W115" i="1056" s="1"/>
  <c r="W116" i="1056" s="1"/>
  <c r="W126" i="1056" s="1"/>
  <c r="W113" i="1056"/>
  <c r="W225" i="1056" s="1"/>
  <c r="L119" i="1051"/>
  <c r="L128" i="1051"/>
  <c r="L120" i="1051"/>
  <c r="AA210" i="1051"/>
  <c r="AA98" i="1051"/>
  <c r="X120" i="1051"/>
  <c r="X119" i="1051"/>
  <c r="X122" i="1051" s="1"/>
  <c r="X127" i="1051"/>
  <c r="W120" i="1051"/>
  <c r="W119" i="1051"/>
  <c r="W127" i="1051"/>
  <c r="Z210" i="1052"/>
  <c r="Z98" i="1052"/>
  <c r="AF127" i="1052"/>
  <c r="S127" i="1052"/>
  <c r="AA204" i="1052"/>
  <c r="AA92" i="1052"/>
  <c r="O205" i="1052"/>
  <c r="O93" i="1052"/>
  <c r="O206" i="1052"/>
  <c r="O94" i="1052"/>
  <c r="W120" i="1052"/>
  <c r="W119" i="1052"/>
  <c r="W122" i="1052" s="1"/>
  <c r="N214" i="1051"/>
  <c r="N102" i="1051"/>
  <c r="O176" i="1052"/>
  <c r="AB19" i="1052"/>
  <c r="P19" i="1052"/>
  <c r="L126" i="1051"/>
  <c r="M203" i="1052"/>
  <c r="M91" i="1052"/>
  <c r="M112" i="1052"/>
  <c r="M70" i="1052"/>
  <c r="M117" i="1052" s="1"/>
  <c r="M142" i="1052"/>
  <c r="M143" i="1052" s="1"/>
  <c r="AA173" i="1052"/>
  <c r="AA59" i="1052"/>
  <c r="O171" i="1052"/>
  <c r="AB14" i="1052"/>
  <c r="P14" i="1052"/>
  <c r="Y213" i="1052"/>
  <c r="Y101" i="1052"/>
  <c r="Z202" i="1051"/>
  <c r="Z90" i="1051"/>
  <c r="AA182" i="1052"/>
  <c r="AA68" i="1052"/>
  <c r="Y145" i="1051"/>
  <c r="Y146" i="1051" s="1"/>
  <c r="X144" i="1051"/>
  <c r="AE4" i="1051"/>
  <c r="Z211" i="1052"/>
  <c r="Z99" i="1052"/>
  <c r="O175" i="1052"/>
  <c r="AB18" i="1052"/>
  <c r="P18" i="1052"/>
  <c r="R51" i="1052"/>
  <c r="AE51" i="1052" s="1"/>
  <c r="AD51" i="1052"/>
  <c r="Y113" i="1051"/>
  <c r="Y225" i="1051" s="1"/>
  <c r="AA61" i="1051"/>
  <c r="Z212" i="1052"/>
  <c r="Z100" i="1052"/>
  <c r="O207" i="1052"/>
  <c r="O95" i="1052"/>
  <c r="O209" i="1052"/>
  <c r="O97" i="1052"/>
  <c r="O181" i="1051"/>
  <c r="O125" i="1051"/>
  <c r="O180" i="1051"/>
  <c r="O129" i="1051"/>
  <c r="O163" i="1051" s="1"/>
  <c r="O123" i="1051"/>
  <c r="O130" i="1051" a="1"/>
  <c r="O130" i="1051" s="1"/>
  <c r="O164" i="1051" s="1"/>
  <c r="P10" i="1051"/>
  <c r="O216" i="1051" a="1"/>
  <c r="O216" i="1051" s="1"/>
  <c r="O179" i="1051"/>
  <c r="O217" i="1051"/>
  <c r="O168" i="1051"/>
  <c r="O167" i="1051"/>
  <c r="O139" i="1051"/>
  <c r="M145" i="1051"/>
  <c r="M147" i="1051" s="1"/>
  <c r="N205" i="1051"/>
  <c r="N93" i="1051"/>
  <c r="X113" i="1051"/>
  <c r="X225" i="1051" s="1"/>
  <c r="Z207" i="1052"/>
  <c r="Z95" i="1052"/>
  <c r="Z205" i="1052"/>
  <c r="Z93" i="1052"/>
  <c r="P175" i="1051"/>
  <c r="AC18" i="1051"/>
  <c r="Q18" i="1051"/>
  <c r="Z205" i="1051"/>
  <c r="Z93" i="1051"/>
  <c r="O174" i="1051"/>
  <c r="AA171" i="1052"/>
  <c r="AA57" i="1052"/>
  <c r="AA64" i="1051"/>
  <c r="Y214" i="1052"/>
  <c r="Y102" i="1052"/>
  <c r="AB22" i="1052"/>
  <c r="P22" i="1052"/>
  <c r="O178" i="1051"/>
  <c r="Q125" i="1052"/>
  <c r="Q130" i="1052" a="1"/>
  <c r="Q130" i="1052" s="1"/>
  <c r="Q164" i="1052" s="1"/>
  <c r="Q129" i="1052"/>
  <c r="Q163" i="1052" s="1"/>
  <c r="Q123" i="1052"/>
  <c r="R10" i="1052"/>
  <c r="Q180" i="1052"/>
  <c r="Q181" i="1052"/>
  <c r="Q216" i="1052" a="1"/>
  <c r="Q216" i="1052" s="1"/>
  <c r="P177" i="1051"/>
  <c r="AC20" i="1051"/>
  <c r="Q20" i="1051"/>
  <c r="AA207" i="1051"/>
  <c r="AA95" i="1051"/>
  <c r="O210" i="1052"/>
  <c r="O98" i="1052"/>
  <c r="O204" i="1052"/>
  <c r="O92" i="1052"/>
  <c r="N209" i="1051"/>
  <c r="N97" i="1051"/>
  <c r="G115" i="1051"/>
  <c r="G116" i="1051" s="1"/>
  <c r="N55" i="1052"/>
  <c r="O171" i="1051"/>
  <c r="AB14" i="1051"/>
  <c r="P14" i="1051"/>
  <c r="AA178" i="1051"/>
  <c r="O166" i="1051"/>
  <c r="O165" i="1051"/>
  <c r="O169" i="1051" s="1"/>
  <c r="AB12" i="1051"/>
  <c r="P12" i="1051"/>
  <c r="O133" i="1051"/>
  <c r="O131" i="1051"/>
  <c r="O134" i="1051"/>
  <c r="O132" i="1051"/>
  <c r="Z214" i="1051"/>
  <c r="Z102" i="1051"/>
  <c r="Y141" i="1051"/>
  <c r="Y148" i="1051" s="1"/>
  <c r="AC22" i="1051"/>
  <c r="Q22" i="1051"/>
  <c r="Y208" i="1052"/>
  <c r="Y96" i="1052"/>
  <c r="Z55" i="1051"/>
  <c r="P196" i="1052"/>
  <c r="P197" i="1052"/>
  <c r="P198" i="1052"/>
  <c r="Y219" i="1051"/>
  <c r="Y106" i="1051"/>
  <c r="X147" i="1051"/>
  <c r="X148" i="1051" s="1"/>
  <c r="Z209" i="1052"/>
  <c r="Z97" i="1052"/>
  <c r="AB9" i="1051"/>
  <c r="AB88" i="1051" s="1"/>
  <c r="AB109" i="1051" s="1"/>
  <c r="O88" i="1051" a="1"/>
  <c r="O88" i="1051" s="1"/>
  <c r="P9" i="1051"/>
  <c r="D175" i="1051"/>
  <c r="B62" i="1051"/>
  <c r="AA175" i="1051"/>
  <c r="X146" i="1050"/>
  <c r="X148" i="1050" s="1"/>
  <c r="X144" i="1050"/>
  <c r="M141" i="1051"/>
  <c r="M148" i="1051" s="1"/>
  <c r="K114" i="1051"/>
  <c r="K115" i="1051" s="1"/>
  <c r="K116" i="1051" s="1"/>
  <c r="K126" i="1051" s="1"/>
  <c r="Z211" i="1051"/>
  <c r="Z99" i="1051"/>
  <c r="Z140" i="1051"/>
  <c r="I122" i="1052"/>
  <c r="O214" i="1052"/>
  <c r="O102" i="1052"/>
  <c r="O212" i="1052"/>
  <c r="O100" i="1052"/>
  <c r="N198" i="1051"/>
  <c r="N197" i="1051"/>
  <c r="N196" i="1051"/>
  <c r="O66" i="1051"/>
  <c r="O108" i="1051"/>
  <c r="AB8" i="1051"/>
  <c r="O69" i="1051"/>
  <c r="O68" i="1051"/>
  <c r="O60" i="1051"/>
  <c r="O56" i="1051"/>
  <c r="O63" i="1051"/>
  <c r="O53" i="1051"/>
  <c r="O61" i="1051"/>
  <c r="O57" i="1051"/>
  <c r="P8" i="1051"/>
  <c r="O67" i="1051"/>
  <c r="O65" i="1051"/>
  <c r="O55" i="1051"/>
  <c r="O62" i="1051"/>
  <c r="O58" i="1051"/>
  <c r="O54" i="1051"/>
  <c r="O64" i="1051"/>
  <c r="O59" i="1051"/>
  <c r="N101" i="1051"/>
  <c r="N213" i="1051"/>
  <c r="N71" i="1051"/>
  <c r="AA215" i="1051"/>
  <c r="AA103" i="1051"/>
  <c r="AA184" i="1051"/>
  <c r="AA185" i="1051"/>
  <c r="O175" i="1051"/>
  <c r="AA171" i="1051"/>
  <c r="AA57" i="1051"/>
  <c r="O178" i="1052"/>
  <c r="AB21" i="1052"/>
  <c r="P21" i="1052"/>
  <c r="Z215" i="1052"/>
  <c r="Z103" i="1052"/>
  <c r="Z184" i="1052"/>
  <c r="Z185" i="1052"/>
  <c r="P182" i="1051"/>
  <c r="AC23" i="1051"/>
  <c r="Q23" i="1051"/>
  <c r="R49" i="1052"/>
  <c r="AE49" i="1052" s="1"/>
  <c r="AD49" i="1052"/>
  <c r="Y111" i="1052"/>
  <c r="Y121" i="1052"/>
  <c r="AA166" i="1051"/>
  <c r="AA165" i="1051"/>
  <c r="AA169" i="1051" s="1"/>
  <c r="AA134" i="1051"/>
  <c r="AA132" i="1051"/>
  <c r="AA133" i="1051"/>
  <c r="AA131" i="1051"/>
  <c r="L146" i="1052"/>
  <c r="D175" i="1052"/>
  <c r="B62" i="1052"/>
  <c r="Y203" i="1052"/>
  <c r="Y91" i="1052"/>
  <c r="O166" i="1052"/>
  <c r="O165" i="1052"/>
  <c r="AB12" i="1052"/>
  <c r="P12" i="1052"/>
  <c r="O177" i="1051"/>
  <c r="R50" i="1052"/>
  <c r="AE50" i="1052" s="1"/>
  <c r="AD50" i="1052"/>
  <c r="N221" i="1051"/>
  <c r="N109" i="1051"/>
  <c r="N70" i="1051"/>
  <c r="N117" i="1051" s="1"/>
  <c r="AA130" i="1051"/>
  <c r="AA164" i="1051" s="1"/>
  <c r="AA123" i="1051"/>
  <c r="AA129" i="1051"/>
  <c r="AA163" i="1051" s="1"/>
  <c r="AA125" i="1051"/>
  <c r="AA54" i="1051"/>
  <c r="AA53" i="1051"/>
  <c r="AA69" i="1051"/>
  <c r="AA216" i="1051"/>
  <c r="AA104" i="1051"/>
  <c r="AA181" i="1051"/>
  <c r="AA236" i="1051"/>
  <c r="AA67" i="1051"/>
  <c r="AA66" i="1051"/>
  <c r="AA180" i="1051"/>
  <c r="AA167" i="1051"/>
  <c r="AA217" i="1051"/>
  <c r="AA65" i="1051"/>
  <c r="AA168" i="1051"/>
  <c r="AA139" i="1051"/>
  <c r="AA179" i="1051"/>
  <c r="P173" i="1051"/>
  <c r="AC16" i="1051"/>
  <c r="Q16" i="1051"/>
  <c r="M112" i="1051"/>
  <c r="O213" i="1052"/>
  <c r="O101" i="1052"/>
  <c r="O211" i="1052"/>
  <c r="O99" i="1052"/>
  <c r="O140" i="1052"/>
  <c r="N206" i="1051"/>
  <c r="N94" i="1051"/>
  <c r="N202" i="1051"/>
  <c r="N142" i="1051"/>
  <c r="N143" i="1051" s="1"/>
  <c r="N90" i="1051"/>
  <c r="N207" i="1051"/>
  <c r="N95" i="1051"/>
  <c r="AA176" i="1051"/>
  <c r="AA131" i="1052"/>
  <c r="AA169" i="1052"/>
  <c r="AA134" i="1052"/>
  <c r="AA132" i="1052"/>
  <c r="AA133" i="1052"/>
  <c r="AB182" i="1051"/>
  <c r="AB68" i="1051"/>
  <c r="Y198" i="1052"/>
  <c r="Y196" i="1052"/>
  <c r="Y197" i="1052"/>
  <c r="Z213" i="1051"/>
  <c r="Z101" i="1051"/>
  <c r="Z111" i="1051"/>
  <c r="Z121" i="1051"/>
  <c r="S127" i="1051"/>
  <c r="X145" i="1052"/>
  <c r="X147" i="1052" s="1"/>
  <c r="AB13" i="1051"/>
  <c r="AB56" i="1051" s="1"/>
  <c r="P13" i="1051"/>
  <c r="AA166" i="1052"/>
  <c r="AA165" i="1052"/>
  <c r="O172" i="1052"/>
  <c r="AB15" i="1052"/>
  <c r="P15" i="1052"/>
  <c r="N211" i="1052"/>
  <c r="N99" i="1052"/>
  <c r="N140" i="1052"/>
  <c r="L110" i="1052"/>
  <c r="Q88" i="1052" a="1"/>
  <c r="Q88" i="1052" s="1"/>
  <c r="R9" i="1052"/>
  <c r="AD9" i="1052"/>
  <c r="AD88" i="1052" s="1"/>
  <c r="AD109" i="1052" s="1"/>
  <c r="AB173" i="1051"/>
  <c r="AB59" i="1051"/>
  <c r="Z55" i="1052"/>
  <c r="O202" i="1052"/>
  <c r="O90" i="1052"/>
  <c r="N121" i="1051"/>
  <c r="N111" i="1051"/>
  <c r="N112" i="1051" s="1"/>
  <c r="N210" i="1051"/>
  <c r="N98" i="1051"/>
  <c r="N211" i="1051"/>
  <c r="N99" i="1051"/>
  <c r="N140" i="1051"/>
  <c r="N212" i="1051"/>
  <c r="N100" i="1051"/>
  <c r="AC11" i="1051"/>
  <c r="Q11" i="1051"/>
  <c r="P236" i="1051"/>
  <c r="P104" i="1051"/>
  <c r="AA60" i="1051"/>
  <c r="X141" i="1052"/>
  <c r="O217" i="1052"/>
  <c r="O133" i="1052"/>
  <c r="O179" i="1052"/>
  <c r="O139" i="1052"/>
  <c r="O168" i="1052"/>
  <c r="O169" i="1052"/>
  <c r="O131" i="1052"/>
  <c r="O55" i="1052" s="1"/>
  <c r="O132" i="1052"/>
  <c r="O167" i="1052"/>
  <c r="O134" i="1052"/>
  <c r="P4" i="1052"/>
  <c r="AB4" i="1052"/>
  <c r="P176" i="1051"/>
  <c r="AC19" i="1051"/>
  <c r="Q19" i="1051"/>
  <c r="Z198" i="1051"/>
  <c r="Z197" i="1051"/>
  <c r="Z196" i="1051"/>
  <c r="Y117" i="1051"/>
  <c r="AA63" i="1051"/>
  <c r="D231" i="1052"/>
  <c r="B120" i="1052"/>
  <c r="AA204" i="1051"/>
  <c r="AA92" i="1051"/>
  <c r="Z206" i="1051"/>
  <c r="Z94" i="1051"/>
  <c r="O172" i="1051"/>
  <c r="AB15" i="1051"/>
  <c r="P15" i="1051"/>
  <c r="Z123" i="1052"/>
  <c r="Z125" i="1052"/>
  <c r="Z129" i="1052"/>
  <c r="Z163" i="1052" s="1"/>
  <c r="Z130" i="1052"/>
  <c r="Z164" i="1052" s="1"/>
  <c r="Z54" i="1052"/>
  <c r="Z69" i="1052"/>
  <c r="Z53" i="1052"/>
  <c r="Z104" i="1052"/>
  <c r="Z216" i="1052"/>
  <c r="Z66" i="1052"/>
  <c r="Z180" i="1052"/>
  <c r="Z181" i="1052"/>
  <c r="Z236" i="1052"/>
  <c r="Z67" i="1052"/>
  <c r="P111" i="1052"/>
  <c r="P121" i="1052"/>
  <c r="D231" i="1051"/>
  <c r="B120" i="1051"/>
  <c r="AA172" i="1052"/>
  <c r="AA58" i="1052"/>
  <c r="AB11" i="1052"/>
  <c r="P11" i="1052"/>
  <c r="P108" i="1052" s="1"/>
  <c r="O236" i="1052"/>
  <c r="O104" i="1052"/>
  <c r="X112" i="1052"/>
  <c r="W147" i="1051"/>
  <c r="X110" i="1050"/>
  <c r="X127" i="1050" s="1"/>
  <c r="O71" i="1052"/>
  <c r="O215" i="1052"/>
  <c r="O103" i="1052"/>
  <c r="O185" i="1052"/>
  <c r="O184" i="1052"/>
  <c r="W127" i="1052"/>
  <c r="N203" i="1051"/>
  <c r="N91" i="1051"/>
  <c r="N204" i="1051"/>
  <c r="N92" i="1051"/>
  <c r="N215" i="1051"/>
  <c r="N103" i="1051"/>
  <c r="N184" i="1051"/>
  <c r="N185" i="1051"/>
  <c r="AB10" i="1051"/>
  <c r="O149" i="1051"/>
  <c r="AA174" i="1051"/>
  <c r="O174" i="1052"/>
  <c r="AB17" i="1052"/>
  <c r="P17" i="1052"/>
  <c r="AB176" i="1051"/>
  <c r="AB62" i="1051"/>
  <c r="Y202" i="1052"/>
  <c r="Y142" i="1052"/>
  <c r="Y143" i="1052" s="1"/>
  <c r="Y90" i="1052"/>
  <c r="X219" i="1052"/>
  <c r="X106" i="1052"/>
  <c r="X110" i="1052" s="1"/>
  <c r="Y110" i="1051"/>
  <c r="AA177" i="1051"/>
  <c r="AA172" i="1051"/>
  <c r="AA58" i="1051"/>
  <c r="K122" i="1051"/>
  <c r="W114" i="1051"/>
  <c r="W115" i="1051" s="1"/>
  <c r="W116" i="1051" s="1"/>
  <c r="W126" i="1051" s="1"/>
  <c r="AA10" i="1052"/>
  <c r="AA60" i="1052" s="1"/>
  <c r="N149" i="1052"/>
  <c r="AB50" i="1051"/>
  <c r="P50" i="1051"/>
  <c r="O177" i="1052"/>
  <c r="AB20" i="1052"/>
  <c r="P20" i="1052"/>
  <c r="L147" i="1050"/>
  <c r="P221" i="1052"/>
  <c r="P109" i="1052"/>
  <c r="Z208" i="1052"/>
  <c r="Z96" i="1052"/>
  <c r="AB13" i="1052"/>
  <c r="AB56" i="1052" s="1"/>
  <c r="P13" i="1052"/>
  <c r="Y209" i="1052"/>
  <c r="Y97" i="1052"/>
  <c r="P69" i="1052"/>
  <c r="P62" i="1052"/>
  <c r="P58" i="1052"/>
  <c r="P61" i="1052"/>
  <c r="P60" i="1052"/>
  <c r="P57" i="1052"/>
  <c r="P67" i="1052"/>
  <c r="P66" i="1052"/>
  <c r="P65" i="1052"/>
  <c r="P64" i="1052"/>
  <c r="P63" i="1052"/>
  <c r="P59" i="1052"/>
  <c r="Q8" i="1052"/>
  <c r="P54" i="1052"/>
  <c r="P53" i="1052"/>
  <c r="AC8" i="1052"/>
  <c r="O208" i="1052"/>
  <c r="O96" i="1052"/>
  <c r="N208" i="1051"/>
  <c r="N96" i="1051"/>
  <c r="AB51" i="1051"/>
  <c r="P51" i="1051"/>
  <c r="AB49" i="1051"/>
  <c r="P49" i="1051"/>
  <c r="Y210" i="1052"/>
  <c r="Y98" i="1052"/>
  <c r="AA174" i="1052"/>
  <c r="O173" i="1052"/>
  <c r="AB16" i="1052"/>
  <c r="P16" i="1052"/>
  <c r="P174" i="1051"/>
  <c r="AC17" i="1051"/>
  <c r="Q17" i="1051"/>
  <c r="O176" i="1051"/>
  <c r="Y71" i="1052"/>
  <c r="Y70" i="1052"/>
  <c r="Z70" i="1051"/>
  <c r="Z71" i="1051"/>
  <c r="O182" i="1052"/>
  <c r="AB23" i="1052"/>
  <c r="P23" i="1052"/>
  <c r="P68" i="1052" s="1"/>
  <c r="Y89" i="1051"/>
  <c r="P178" i="1051"/>
  <c r="AC21" i="1051"/>
  <c r="Q21" i="1051"/>
  <c r="G115" i="1052"/>
  <c r="G116" i="1052" s="1"/>
  <c r="Z206" i="1052"/>
  <c r="Z94" i="1052"/>
  <c r="M219" i="1051"/>
  <c r="M106" i="1051"/>
  <c r="M110" i="1051" s="1"/>
  <c r="Y212" i="1052"/>
  <c r="Y100" i="1052"/>
  <c r="Y140" i="1052"/>
  <c r="AA177" i="1052"/>
  <c r="AA63" i="1052"/>
  <c r="AA209" i="1050"/>
  <c r="AA97" i="1050"/>
  <c r="L128" i="1050"/>
  <c r="L120" i="1050"/>
  <c r="L119" i="1050"/>
  <c r="Y219" i="1050"/>
  <c r="Y106" i="1050"/>
  <c r="X120" i="1050"/>
  <c r="O173" i="1050"/>
  <c r="P16" i="1050"/>
  <c r="AB16" i="1050"/>
  <c r="N215" i="1050"/>
  <c r="N103" i="1050"/>
  <c r="N185" i="1050"/>
  <c r="N184" i="1050"/>
  <c r="N203" i="1050"/>
  <c r="N91" i="1050"/>
  <c r="AA165" i="1050"/>
  <c r="AA169" i="1050" s="1"/>
  <c r="AA166" i="1050"/>
  <c r="O131" i="1050"/>
  <c r="O217" i="1050"/>
  <c r="O134" i="1050"/>
  <c r="O167" i="1050"/>
  <c r="O179" i="1050"/>
  <c r="O168" i="1050"/>
  <c r="O133" i="1050"/>
  <c r="O132" i="1050"/>
  <c r="O139" i="1050"/>
  <c r="AB4" i="1050"/>
  <c r="P4" i="1050"/>
  <c r="AA60" i="1050"/>
  <c r="Z211" i="1050"/>
  <c r="Z99" i="1050"/>
  <c r="Z140" i="1050"/>
  <c r="N204" i="1050"/>
  <c r="N92" i="1050"/>
  <c r="O165" i="1050"/>
  <c r="O169" i="1050" s="1"/>
  <c r="O166" i="1050"/>
  <c r="P12" i="1050"/>
  <c r="AB12" i="1050"/>
  <c r="Z203" i="1050"/>
  <c r="Z91" i="1050"/>
  <c r="AA179" i="1050"/>
  <c r="AA139" i="1050"/>
  <c r="AA131" i="1050"/>
  <c r="AA55" i="1050" s="1"/>
  <c r="AA167" i="1050"/>
  <c r="AA217" i="1050"/>
  <c r="AA168" i="1050"/>
  <c r="AA133" i="1050"/>
  <c r="AA134" i="1050"/>
  <c r="AA132" i="1050"/>
  <c r="AA65" i="1050"/>
  <c r="AB215" i="1050"/>
  <c r="AB103" i="1050"/>
  <c r="AB185" i="1050"/>
  <c r="AB184" i="1050"/>
  <c r="S127" i="1050"/>
  <c r="AF127" i="1050"/>
  <c r="D175" i="1050"/>
  <c r="B62" i="1050"/>
  <c r="AA174" i="1050"/>
  <c r="W120" i="1050"/>
  <c r="W119" i="1050"/>
  <c r="AA173" i="1050"/>
  <c r="AA59" i="1050"/>
  <c r="AD51" i="1050"/>
  <c r="R51" i="1050"/>
  <c r="AE51" i="1050" s="1"/>
  <c r="D231" i="1050"/>
  <c r="B120" i="1050"/>
  <c r="N213" i="1050"/>
  <c r="N101" i="1050"/>
  <c r="N207" i="1050"/>
  <c r="N95" i="1050"/>
  <c r="N205" i="1050"/>
  <c r="N93" i="1050"/>
  <c r="Y141" i="1050"/>
  <c r="Z205" i="1050"/>
  <c r="Z93" i="1050"/>
  <c r="W113" i="1050"/>
  <c r="W225" i="1050" s="1"/>
  <c r="M141" i="1050"/>
  <c r="M148" i="1050" s="1"/>
  <c r="Y112" i="1050"/>
  <c r="G114" i="1050"/>
  <c r="AB174" i="1050"/>
  <c r="AB60" i="1050"/>
  <c r="Z202" i="1050"/>
  <c r="Z142" i="1050"/>
  <c r="Z143" i="1050" s="1"/>
  <c r="Z90" i="1050"/>
  <c r="N212" i="1050"/>
  <c r="N100" i="1050"/>
  <c r="N209" i="1050"/>
  <c r="N97" i="1050"/>
  <c r="J122" i="1050"/>
  <c r="N221" i="1050"/>
  <c r="N109" i="1050"/>
  <c r="N70" i="1050"/>
  <c r="N89" i="1050" s="1"/>
  <c r="P174" i="1050"/>
  <c r="Q17" i="1050"/>
  <c r="AC17" i="1050"/>
  <c r="Z213" i="1050"/>
  <c r="Z101" i="1050"/>
  <c r="Z70" i="1050"/>
  <c r="Z71" i="1050"/>
  <c r="R21" i="1050"/>
  <c r="AD21" i="1050"/>
  <c r="AB175" i="1050"/>
  <c r="AB61" i="1050"/>
  <c r="AB10" i="1050"/>
  <c r="O149" i="1050"/>
  <c r="N208" i="1050"/>
  <c r="N96" i="1050"/>
  <c r="N214" i="1050"/>
  <c r="N102" i="1050"/>
  <c r="Y117" i="1050"/>
  <c r="Z210" i="1050"/>
  <c r="Z98" i="1050"/>
  <c r="M117" i="1050"/>
  <c r="X113" i="1050"/>
  <c r="X225" i="1050" s="1"/>
  <c r="AC182" i="1050"/>
  <c r="AC68" i="1050"/>
  <c r="O180" i="1050"/>
  <c r="O125" i="1050"/>
  <c r="O181" i="1050"/>
  <c r="O129" i="1050"/>
  <c r="O163" i="1050" s="1"/>
  <c r="O123" i="1050"/>
  <c r="P10" i="1050"/>
  <c r="O130" i="1050" a="1"/>
  <c r="O130" i="1050" s="1"/>
  <c r="O164" i="1050" s="1"/>
  <c r="O216" i="1050" a="1"/>
  <c r="O216" i="1050" s="1"/>
  <c r="O178" i="1050"/>
  <c r="O177" i="1050"/>
  <c r="O171" i="1050"/>
  <c r="P14" i="1050"/>
  <c r="AB14" i="1050"/>
  <c r="O174" i="1050"/>
  <c r="Z214" i="1050"/>
  <c r="Z102" i="1050"/>
  <c r="Z121" i="1050"/>
  <c r="Z111" i="1050"/>
  <c r="P175" i="1050"/>
  <c r="AC18" i="1050"/>
  <c r="Q18" i="1050"/>
  <c r="Q11" i="1050"/>
  <c r="AC11" i="1050"/>
  <c r="P104" i="1050"/>
  <c r="P236" i="1050"/>
  <c r="N202" i="1050"/>
  <c r="N142" i="1050"/>
  <c r="N143" i="1050" s="1"/>
  <c r="N90" i="1050"/>
  <c r="N206" i="1050"/>
  <c r="N94" i="1050"/>
  <c r="W127" i="1050"/>
  <c r="AC49" i="1050"/>
  <c r="Q49" i="1050"/>
  <c r="M219" i="1050"/>
  <c r="M106" i="1050"/>
  <c r="M110" i="1050" s="1"/>
  <c r="M145" i="1050"/>
  <c r="M146" i="1050" s="1"/>
  <c r="Q182" i="1050"/>
  <c r="AD23" i="1050"/>
  <c r="R23" i="1050"/>
  <c r="N121" i="1050"/>
  <c r="N111" i="1050"/>
  <c r="AA171" i="1050"/>
  <c r="AA57" i="1050"/>
  <c r="O88" i="1050" a="1"/>
  <c r="O88" i="1050" s="1"/>
  <c r="P9" i="1050"/>
  <c r="AB9" i="1050"/>
  <c r="AB88" i="1050" s="1"/>
  <c r="AB109" i="1050" s="1"/>
  <c r="Y203" i="1050"/>
  <c r="Y91" i="1050"/>
  <c r="Z197" i="1050"/>
  <c r="Z196" i="1050"/>
  <c r="Z198" i="1050"/>
  <c r="O172" i="1050"/>
  <c r="AB15" i="1050"/>
  <c r="P15" i="1050"/>
  <c r="O108" i="1050"/>
  <c r="O65" i="1050"/>
  <c r="O55" i="1050"/>
  <c r="O69" i="1050"/>
  <c r="O62" i="1050"/>
  <c r="O58" i="1050"/>
  <c r="O67" i="1050"/>
  <c r="O64" i="1050"/>
  <c r="O59" i="1050"/>
  <c r="O54" i="1050"/>
  <c r="O71" i="1050" s="1"/>
  <c r="O68" i="1050"/>
  <c r="O66" i="1050"/>
  <c r="O60" i="1050"/>
  <c r="O56" i="1050"/>
  <c r="O53" i="1050"/>
  <c r="AB8" i="1050"/>
  <c r="O61" i="1050"/>
  <c r="O57" i="1050"/>
  <c r="P8" i="1050"/>
  <c r="O63" i="1050"/>
  <c r="N210" i="1050"/>
  <c r="N98" i="1050"/>
  <c r="Z207" i="1050"/>
  <c r="Z95" i="1050"/>
  <c r="Y89" i="1050"/>
  <c r="AA62" i="1050"/>
  <c r="AB176" i="1050"/>
  <c r="AB62" i="1050"/>
  <c r="P13" i="1050"/>
  <c r="AB13" i="1050"/>
  <c r="AB56" i="1050" s="1"/>
  <c r="N198" i="1050"/>
  <c r="N196" i="1050"/>
  <c r="N197" i="1050"/>
  <c r="Q22" i="1050"/>
  <c r="AC22" i="1050"/>
  <c r="Z212" i="1050"/>
  <c r="Z100" i="1050"/>
  <c r="AA129" i="1050"/>
  <c r="AA163" i="1050" s="1"/>
  <c r="AA123" i="1050"/>
  <c r="AA125" i="1050"/>
  <c r="AA54" i="1050"/>
  <c r="AA53" i="1050"/>
  <c r="AA130" i="1050"/>
  <c r="AA164" i="1050" s="1"/>
  <c r="AA69" i="1050"/>
  <c r="AA104" i="1050"/>
  <c r="AA216" i="1050"/>
  <c r="AA180" i="1050"/>
  <c r="AA181" i="1050"/>
  <c r="AA67" i="1050"/>
  <c r="AA236" i="1050"/>
  <c r="AA66" i="1050"/>
  <c r="AA177" i="1050"/>
  <c r="AA178" i="1050"/>
  <c r="AA63" i="1050"/>
  <c r="AA64" i="1050"/>
  <c r="AC50" i="1050"/>
  <c r="Q50" i="1050"/>
  <c r="AA172" i="1050"/>
  <c r="AA58" i="1050"/>
  <c r="Z206" i="1050"/>
  <c r="Z94" i="1050"/>
  <c r="N211" i="1050"/>
  <c r="N99" i="1050"/>
  <c r="N140" i="1050"/>
  <c r="M112" i="1050"/>
  <c r="R20" i="1050"/>
  <c r="AD20" i="1050"/>
  <c r="Y142" i="1050"/>
  <c r="Y143" i="1050" s="1"/>
  <c r="L225" i="1050"/>
  <c r="L113" i="1050"/>
  <c r="L114" i="1050" s="1"/>
  <c r="L115" i="1050" s="1"/>
  <c r="L116" i="1050" s="1"/>
  <c r="L126" i="1050" s="1"/>
  <c r="AA176" i="1050"/>
  <c r="P176" i="1050"/>
  <c r="AC19" i="1050"/>
  <c r="Q19" i="1050"/>
  <c r="AA204" i="1050"/>
  <c r="AA92" i="1050"/>
  <c r="AA175" i="1050"/>
  <c r="O219" i="1064" l="1"/>
  <c r="O106" i="1064"/>
  <c r="X119" i="1062"/>
  <c r="X120" i="1062"/>
  <c r="X127" i="1062"/>
  <c r="L115" i="1063"/>
  <c r="L116" i="1063" s="1"/>
  <c r="AA203" i="1058"/>
  <c r="AA91" i="1058"/>
  <c r="N225" i="1062"/>
  <c r="N113" i="1062"/>
  <c r="N114" i="1062"/>
  <c r="N115" i="1062" s="1"/>
  <c r="N116" i="1062" s="1"/>
  <c r="N126" i="1062" s="1"/>
  <c r="AA128" i="1057"/>
  <c r="AA120" i="1057"/>
  <c r="AA119" i="1057"/>
  <c r="AA122" i="1057" s="1"/>
  <c r="P100" i="1058"/>
  <c r="P212" i="1058"/>
  <c r="M128" i="1062"/>
  <c r="M120" i="1062"/>
  <c r="M119" i="1062"/>
  <c r="AA211" i="1058"/>
  <c r="AA99" i="1058"/>
  <c r="AB141" i="1061"/>
  <c r="AA211" i="1063"/>
  <c r="AA99" i="1063"/>
  <c r="P205" i="1059"/>
  <c r="P93" i="1059"/>
  <c r="Y120" i="1059"/>
  <c r="Y119" i="1059"/>
  <c r="Y122" i="1059" s="1"/>
  <c r="Y128" i="1059"/>
  <c r="M128" i="1061"/>
  <c r="M120" i="1061"/>
  <c r="M119" i="1061"/>
  <c r="M122" i="1061" s="1"/>
  <c r="X120" i="1064"/>
  <c r="X119" i="1064"/>
  <c r="X122" i="1064" s="1"/>
  <c r="M119" i="1064"/>
  <c r="M120" i="1064"/>
  <c r="M128" i="1064"/>
  <c r="Z119" i="1057"/>
  <c r="Z122" i="1057" s="1"/>
  <c r="Z128" i="1057"/>
  <c r="Z120" i="1057"/>
  <c r="Z141" i="1063"/>
  <c r="M119" i="1060"/>
  <c r="M122" i="1060" s="1"/>
  <c r="M128" i="1060"/>
  <c r="M120" i="1060"/>
  <c r="M119" i="1057"/>
  <c r="M128" i="1057"/>
  <c r="M120" i="1057"/>
  <c r="AB10" i="1062"/>
  <c r="O149" i="1062"/>
  <c r="AE21" i="1057"/>
  <c r="Q221" i="1058"/>
  <c r="Q109" i="1058"/>
  <c r="Z208" i="1058"/>
  <c r="Z96" i="1058"/>
  <c r="X119" i="1058"/>
  <c r="X120" i="1058"/>
  <c r="P177" i="1064"/>
  <c r="AC20" i="1064"/>
  <c r="Q20" i="1064"/>
  <c r="AB55" i="1059"/>
  <c r="P171" i="1064"/>
  <c r="AC14" i="1064"/>
  <c r="Q14" i="1064"/>
  <c r="P130" i="1059" a="1"/>
  <c r="P130" i="1059" s="1"/>
  <c r="P164" i="1059" s="1"/>
  <c r="P123" i="1059"/>
  <c r="P129" i="1059"/>
  <c r="P163" i="1059" s="1"/>
  <c r="P125" i="1059"/>
  <c r="Q10" i="1059"/>
  <c r="P180" i="1059"/>
  <c r="P181" i="1059"/>
  <c r="P216" i="1059" a="1"/>
  <c r="P216" i="1059" s="1"/>
  <c r="M225" i="1061"/>
  <c r="M113" i="1061"/>
  <c r="P175" i="1064"/>
  <c r="AC18" i="1064"/>
  <c r="Q18" i="1064"/>
  <c r="AA96" i="1058"/>
  <c r="AA208" i="1058"/>
  <c r="P213" i="1060"/>
  <c r="P101" i="1060"/>
  <c r="P212" i="1060"/>
  <c r="P100" i="1060"/>
  <c r="AC12" i="1058"/>
  <c r="Q12" i="1058"/>
  <c r="P165" i="1058"/>
  <c r="P169" i="1058" s="1"/>
  <c r="P166" i="1058"/>
  <c r="AE21" i="1062"/>
  <c r="M219" i="1063"/>
  <c r="M106" i="1063"/>
  <c r="R50" i="1061"/>
  <c r="AE50" i="1061" s="1"/>
  <c r="AD50" i="1061"/>
  <c r="O205" i="1058"/>
  <c r="O93" i="1058"/>
  <c r="AA209" i="1064"/>
  <c r="AA97" i="1064"/>
  <c r="AD51" i="1058"/>
  <c r="R51" i="1058"/>
  <c r="AE51" i="1058" s="1"/>
  <c r="L128" i="1057"/>
  <c r="L120" i="1057"/>
  <c r="L119" i="1057"/>
  <c r="AC215" i="1057"/>
  <c r="AC103" i="1057"/>
  <c r="AC184" i="1057"/>
  <c r="AC185" i="1057"/>
  <c r="O208" i="1064"/>
  <c r="O96" i="1064"/>
  <c r="O211" i="1064"/>
  <c r="O99" i="1064"/>
  <c r="O140" i="1064"/>
  <c r="AB171" i="1058"/>
  <c r="AB57" i="1058"/>
  <c r="AC54" i="1061"/>
  <c r="AC130" i="1061"/>
  <c r="AC164" i="1061" s="1"/>
  <c r="AC125" i="1061"/>
  <c r="AC53" i="1061"/>
  <c r="AC123" i="1061"/>
  <c r="AC129" i="1061"/>
  <c r="AC163" i="1061" s="1"/>
  <c r="AC69" i="1061"/>
  <c r="AC104" i="1061"/>
  <c r="AC216" i="1061"/>
  <c r="AC181" i="1061"/>
  <c r="AC67" i="1061"/>
  <c r="AC66" i="1061"/>
  <c r="AC180" i="1061"/>
  <c r="AC236" i="1061"/>
  <c r="P63" i="1061"/>
  <c r="P53" i="1061"/>
  <c r="P108" i="1061"/>
  <c r="P61" i="1061"/>
  <c r="P57" i="1061"/>
  <c r="Q8" i="1061"/>
  <c r="P65" i="1061"/>
  <c r="P69" i="1061"/>
  <c r="P62" i="1061"/>
  <c r="P58" i="1061"/>
  <c r="P67" i="1061"/>
  <c r="P64" i="1061"/>
  <c r="P59" i="1061"/>
  <c r="P54" i="1061"/>
  <c r="P66" i="1061"/>
  <c r="P60" i="1061"/>
  <c r="P56" i="1061"/>
  <c r="P68" i="1061"/>
  <c r="P55" i="1061"/>
  <c r="AC8" i="1061"/>
  <c r="O208" i="1061"/>
  <c r="O96" i="1061"/>
  <c r="P198" i="1057"/>
  <c r="P197" i="1057"/>
  <c r="P196" i="1057"/>
  <c r="P207" i="1058"/>
  <c r="P95" i="1058"/>
  <c r="P215" i="1058"/>
  <c r="P103" i="1058"/>
  <c r="P185" i="1058"/>
  <c r="P184" i="1058"/>
  <c r="AC214" i="1057"/>
  <c r="AC102" i="1057"/>
  <c r="AC121" i="1057"/>
  <c r="AC111" i="1057"/>
  <c r="Z210" i="1062"/>
  <c r="Z98" i="1062"/>
  <c r="D176" i="1059"/>
  <c r="B63" i="1059"/>
  <c r="Z219" i="1059"/>
  <c r="Z106" i="1059"/>
  <c r="O204" i="1062"/>
  <c r="O92" i="1062"/>
  <c r="O99" i="1062"/>
  <c r="O211" i="1062"/>
  <c r="O140" i="1062"/>
  <c r="Z121" i="1064"/>
  <c r="Z111" i="1064"/>
  <c r="P53" i="1059"/>
  <c r="P63" i="1059"/>
  <c r="P206" i="1059"/>
  <c r="P94" i="1059"/>
  <c r="AC204" i="1059"/>
  <c r="AC92" i="1059"/>
  <c r="AC167" i="1061"/>
  <c r="Y144" i="1060"/>
  <c r="Y145" i="1060"/>
  <c r="Y146" i="1060" s="1"/>
  <c r="Y148" i="1060"/>
  <c r="AA207" i="1064"/>
  <c r="AA95" i="1064"/>
  <c r="M144" i="1064"/>
  <c r="N147" i="1062"/>
  <c r="N145" i="1062"/>
  <c r="Z212" i="1060"/>
  <c r="Z100" i="1060"/>
  <c r="AD21" i="1063"/>
  <c r="R21" i="1063"/>
  <c r="N147" i="1061"/>
  <c r="N145" i="1061"/>
  <c r="AB219" i="1057"/>
  <c r="AB106" i="1057"/>
  <c r="P176" i="1063"/>
  <c r="AC19" i="1063"/>
  <c r="Q19" i="1063"/>
  <c r="AA175" i="1058"/>
  <c r="O71" i="1057"/>
  <c r="O70" i="1057"/>
  <c r="P196" i="1062"/>
  <c r="P198" i="1062"/>
  <c r="P197" i="1062"/>
  <c r="N145" i="1064"/>
  <c r="N147" i="1064" s="1"/>
  <c r="Z141" i="1059"/>
  <c r="Q177" i="1062"/>
  <c r="R20" i="1062"/>
  <c r="AD20" i="1062"/>
  <c r="AD131" i="1061"/>
  <c r="AD134" i="1061"/>
  <c r="AD133" i="1061"/>
  <c r="AD132" i="1061"/>
  <c r="Y145" i="1058"/>
  <c r="Y147" i="1058" s="1"/>
  <c r="P139" i="1059"/>
  <c r="AA129" i="1062"/>
  <c r="AA163" i="1062" s="1"/>
  <c r="AA123" i="1062"/>
  <c r="AA130" i="1062"/>
  <c r="AA164" i="1062" s="1"/>
  <c r="AA125" i="1062"/>
  <c r="AA69" i="1062"/>
  <c r="AA54" i="1062"/>
  <c r="AA53" i="1062"/>
  <c r="AA216" i="1062"/>
  <c r="AA104" i="1062"/>
  <c r="AA67" i="1062"/>
  <c r="AA66" i="1062"/>
  <c r="AA180" i="1062"/>
  <c r="AA181" i="1062"/>
  <c r="AA236" i="1062"/>
  <c r="AA178" i="1062"/>
  <c r="AA64" i="1062"/>
  <c r="AA176" i="1062"/>
  <c r="AA177" i="1062"/>
  <c r="AA62" i="1062"/>
  <c r="AA217" i="1062"/>
  <c r="AA63" i="1062"/>
  <c r="AA168" i="1062"/>
  <c r="AA139" i="1062"/>
  <c r="AA65" i="1062"/>
  <c r="AA167" i="1062"/>
  <c r="AA179" i="1062"/>
  <c r="AB117" i="1057"/>
  <c r="AA114" i="1057"/>
  <c r="AA115" i="1057" s="1"/>
  <c r="AA116" i="1057" s="1"/>
  <c r="AA113" i="1057"/>
  <c r="AA225" i="1057" s="1"/>
  <c r="AC166" i="1062"/>
  <c r="AC165" i="1062"/>
  <c r="M89" i="1063"/>
  <c r="P173" i="1062"/>
  <c r="AC16" i="1062"/>
  <c r="Q16" i="1062"/>
  <c r="P175" i="1059"/>
  <c r="AC18" i="1059"/>
  <c r="Q18" i="1059"/>
  <c r="P177" i="1060"/>
  <c r="Q20" i="1060"/>
  <c r="AC20" i="1060"/>
  <c r="Y147" i="1051"/>
  <c r="M144" i="1053"/>
  <c r="M114" i="1058"/>
  <c r="M225" i="1058"/>
  <c r="M113" i="1058"/>
  <c r="AA215" i="1062"/>
  <c r="AA103" i="1062"/>
  <c r="AA185" i="1062"/>
  <c r="AA184" i="1062"/>
  <c r="M126" i="1057"/>
  <c r="D232" i="1061"/>
  <c r="B121" i="1061"/>
  <c r="Q16" i="1060"/>
  <c r="P173" i="1060"/>
  <c r="AC16" i="1060"/>
  <c r="AD176" i="1057"/>
  <c r="AD62" i="1057"/>
  <c r="N141" i="1064"/>
  <c r="N148" i="1064" s="1"/>
  <c r="N146" i="1064"/>
  <c r="L122" i="1058"/>
  <c r="Z113" i="1059"/>
  <c r="Z225" i="1059" s="1"/>
  <c r="Z114" i="1059"/>
  <c r="Z115" i="1059" s="1"/>
  <c r="Z116" i="1059" s="1"/>
  <c r="AC49" i="1059"/>
  <c r="Q49" i="1059"/>
  <c r="P182" i="1059"/>
  <c r="AC23" i="1059"/>
  <c r="Q23" i="1059"/>
  <c r="Z212" i="1063"/>
  <c r="Z100" i="1063"/>
  <c r="B63" i="1060"/>
  <c r="D176" i="1060"/>
  <c r="P71" i="1060"/>
  <c r="Y219" i="1064"/>
  <c r="Y106" i="1064"/>
  <c r="R14" i="1062"/>
  <c r="Q171" i="1062"/>
  <c r="AD14" i="1062"/>
  <c r="AB166" i="1058"/>
  <c r="AB165" i="1058"/>
  <c r="AB169" i="1058" s="1"/>
  <c r="AA111" i="1059"/>
  <c r="AA121" i="1059"/>
  <c r="AA97" i="1062"/>
  <c r="AA209" i="1062"/>
  <c r="P174" i="1058"/>
  <c r="AC17" i="1058"/>
  <c r="Q17" i="1058"/>
  <c r="AA54" i="1060"/>
  <c r="AA53" i="1060"/>
  <c r="AA125" i="1060"/>
  <c r="AA69" i="1060"/>
  <c r="AA130" i="1060"/>
  <c r="AA164" i="1060" s="1"/>
  <c r="AA129" i="1060"/>
  <c r="AA163" i="1060" s="1"/>
  <c r="AA123" i="1060"/>
  <c r="AA104" i="1060"/>
  <c r="AA216" i="1060"/>
  <c r="AA66" i="1060"/>
  <c r="AA67" i="1060"/>
  <c r="AA181" i="1060"/>
  <c r="AA180" i="1060"/>
  <c r="AA236" i="1060"/>
  <c r="AA64" i="1060"/>
  <c r="AA178" i="1060"/>
  <c r="Y117" i="1064"/>
  <c r="P165" i="1060"/>
  <c r="Q12" i="1060"/>
  <c r="P166" i="1060"/>
  <c r="AC12" i="1060"/>
  <c r="AB203" i="1062"/>
  <c r="AB91" i="1062"/>
  <c r="Y219" i="1058"/>
  <c r="Y106" i="1058"/>
  <c r="AB10" i="1058"/>
  <c r="O149" i="1058"/>
  <c r="P204" i="1063"/>
  <c r="P92" i="1063"/>
  <c r="P211" i="1063"/>
  <c r="P99" i="1063"/>
  <c r="AA113" i="1061"/>
  <c r="AA225" i="1061" s="1"/>
  <c r="O71" i="1064"/>
  <c r="O117" i="1064" s="1"/>
  <c r="AC51" i="1063"/>
  <c r="Q51" i="1063"/>
  <c r="Q174" i="1059"/>
  <c r="AD17" i="1059"/>
  <c r="R17" i="1059"/>
  <c r="O205" i="1061"/>
  <c r="O93" i="1061"/>
  <c r="O203" i="1061"/>
  <c r="O91" i="1061"/>
  <c r="O213" i="1061"/>
  <c r="O101" i="1061"/>
  <c r="P205" i="1058"/>
  <c r="P93" i="1058"/>
  <c r="AA205" i="1063"/>
  <c r="AA93" i="1063"/>
  <c r="AC196" i="1057"/>
  <c r="AC198" i="1057"/>
  <c r="AC197" i="1057"/>
  <c r="Z213" i="1062"/>
  <c r="Z101" i="1062"/>
  <c r="AD207" i="1057"/>
  <c r="AD95" i="1057"/>
  <c r="O211" i="1063"/>
  <c r="O99" i="1063"/>
  <c r="O140" i="1063"/>
  <c r="AD175" i="1057"/>
  <c r="AD61" i="1057"/>
  <c r="O206" i="1062"/>
  <c r="O94" i="1062"/>
  <c r="O71" i="1062"/>
  <c r="Z214" i="1064"/>
  <c r="Z102" i="1064"/>
  <c r="P207" i="1059"/>
  <c r="P95" i="1059"/>
  <c r="P64" i="1059"/>
  <c r="P131" i="1058"/>
  <c r="Q198" i="1058"/>
  <c r="Q197" i="1058"/>
  <c r="Q196" i="1058"/>
  <c r="AA55" i="1063"/>
  <c r="AC217" i="1061"/>
  <c r="AB10" i="1063"/>
  <c r="AB174" i="1063" s="1"/>
  <c r="O149" i="1063"/>
  <c r="AE10" i="1057"/>
  <c r="M144" i="1061"/>
  <c r="Y147" i="1063"/>
  <c r="Y145" i="1063"/>
  <c r="Y146" i="1059"/>
  <c r="X113" i="1060"/>
  <c r="X225" i="1060" s="1"/>
  <c r="Z209" i="1062"/>
  <c r="Z97" i="1062"/>
  <c r="AB70" i="1061"/>
  <c r="AB71" i="1061"/>
  <c r="AB217" i="1063"/>
  <c r="AB179" i="1063"/>
  <c r="AB139" i="1063"/>
  <c r="AB134" i="1063"/>
  <c r="AB168" i="1063"/>
  <c r="AB133" i="1063"/>
  <c r="AB167" i="1063"/>
  <c r="AB131" i="1063"/>
  <c r="AB132" i="1063"/>
  <c r="AB65" i="1063"/>
  <c r="AA206" i="1062"/>
  <c r="AA94" i="1062"/>
  <c r="AB176" i="1063"/>
  <c r="AB62" i="1063"/>
  <c r="O102" i="1057"/>
  <c r="O214" i="1057"/>
  <c r="P108" i="1057"/>
  <c r="P61" i="1057"/>
  <c r="P57" i="1057"/>
  <c r="Q8" i="1057"/>
  <c r="P65" i="1057"/>
  <c r="P55" i="1057"/>
  <c r="P69" i="1057"/>
  <c r="P62" i="1057"/>
  <c r="P58" i="1057"/>
  <c r="P68" i="1057"/>
  <c r="P67" i="1057"/>
  <c r="P64" i="1057"/>
  <c r="P59" i="1057"/>
  <c r="P54" i="1057"/>
  <c r="P66" i="1057"/>
  <c r="P60" i="1057"/>
  <c r="P56" i="1057"/>
  <c r="AC8" i="1057"/>
  <c r="P63" i="1057"/>
  <c r="P53" i="1057"/>
  <c r="AC61" i="1061"/>
  <c r="N145" i="1060"/>
  <c r="N147" i="1060" s="1"/>
  <c r="P125" i="1063"/>
  <c r="P130" i="1063" a="1"/>
  <c r="P130" i="1063" s="1"/>
  <c r="P164" i="1063" s="1"/>
  <c r="P123" i="1063"/>
  <c r="P129" i="1063"/>
  <c r="P163" i="1063" s="1"/>
  <c r="Q10" i="1063"/>
  <c r="Q178" i="1063" s="1"/>
  <c r="P216" i="1063" a="1"/>
  <c r="P216" i="1063" s="1"/>
  <c r="P181" i="1063"/>
  <c r="P180" i="1063"/>
  <c r="AA207" i="1062"/>
  <c r="AA95" i="1062"/>
  <c r="P121" i="1062"/>
  <c r="P111" i="1062"/>
  <c r="Z142" i="1058"/>
  <c r="Z143" i="1058" s="1"/>
  <c r="Z202" i="1058"/>
  <c r="Z90" i="1058"/>
  <c r="N219" i="1064"/>
  <c r="N106" i="1064"/>
  <c r="X147" i="1062"/>
  <c r="AA139" i="1060"/>
  <c r="R134" i="1061"/>
  <c r="R133" i="1061"/>
  <c r="R132" i="1061"/>
  <c r="R131" i="1061"/>
  <c r="AE4" i="1061"/>
  <c r="Q179" i="1061"/>
  <c r="AA210" i="1063"/>
  <c r="AA98" i="1063"/>
  <c r="X148" i="1060"/>
  <c r="AB166" i="1064"/>
  <c r="AB165" i="1064"/>
  <c r="Q134" i="1059"/>
  <c r="Q133" i="1059"/>
  <c r="Q168" i="1059"/>
  <c r="Q179" i="1059"/>
  <c r="Q217" i="1059"/>
  <c r="Q167" i="1059"/>
  <c r="R4" i="1059"/>
  <c r="Q132" i="1059"/>
  <c r="Q131" i="1059"/>
  <c r="AD4" i="1059"/>
  <c r="Q139" i="1059"/>
  <c r="Q15" i="1060"/>
  <c r="P172" i="1060"/>
  <c r="AC15" i="1060"/>
  <c r="AA61" i="1060"/>
  <c r="N146" i="1061"/>
  <c r="N141" i="1061"/>
  <c r="N144" i="1061" s="1"/>
  <c r="AB110" i="1057"/>
  <c r="Y219" i="1062"/>
  <c r="Y106" i="1062"/>
  <c r="Y110" i="1062" s="1"/>
  <c r="R12" i="1062"/>
  <c r="AD12" i="1062"/>
  <c r="Q165" i="1062"/>
  <c r="Q166" i="1062"/>
  <c r="M148" i="1063"/>
  <c r="M147" i="1063"/>
  <c r="M145" i="1063"/>
  <c r="M146" i="1063" s="1"/>
  <c r="M144" i="1063"/>
  <c r="O70" i="1060"/>
  <c r="O221" i="1060"/>
  <c r="O109" i="1060"/>
  <c r="AC208" i="1057"/>
  <c r="AC96" i="1057"/>
  <c r="AB175" i="1059"/>
  <c r="AB61" i="1059"/>
  <c r="O140" i="1058"/>
  <c r="N112" i="1050"/>
  <c r="P88" i="1059" a="1"/>
  <c r="P88" i="1059" s="1"/>
  <c r="AC9" i="1059"/>
  <c r="AC88" i="1059" s="1"/>
  <c r="AC109" i="1059" s="1"/>
  <c r="Q9" i="1059"/>
  <c r="N203" i="1063"/>
  <c r="N91" i="1063"/>
  <c r="N142" i="1063"/>
  <c r="N143" i="1063" s="1"/>
  <c r="AD50" i="1058"/>
  <c r="R50" i="1058"/>
  <c r="AE50" i="1058" s="1"/>
  <c r="P182" i="1062"/>
  <c r="AC23" i="1062"/>
  <c r="Q23" i="1062"/>
  <c r="O111" i="1059"/>
  <c r="O121" i="1059"/>
  <c r="AB182" i="1059"/>
  <c r="AB68" i="1059"/>
  <c r="Z121" i="1063"/>
  <c r="Z111" i="1063"/>
  <c r="N225" i="1061"/>
  <c r="N113" i="1061"/>
  <c r="N114" i="1061" s="1"/>
  <c r="N115" i="1061" s="1"/>
  <c r="N116" i="1061" s="1"/>
  <c r="P99" i="1060"/>
  <c r="P211" i="1060"/>
  <c r="AC57" i="1062"/>
  <c r="AC171" i="1062"/>
  <c r="AA197" i="1059"/>
  <c r="AA196" i="1059"/>
  <c r="AA198" i="1059"/>
  <c r="AA129" i="1058"/>
  <c r="AA163" i="1058" s="1"/>
  <c r="AA123" i="1058"/>
  <c r="AA130" i="1058"/>
  <c r="AA164" i="1058" s="1"/>
  <c r="AA125" i="1058"/>
  <c r="AA53" i="1058"/>
  <c r="AA69" i="1058"/>
  <c r="AA54" i="1058"/>
  <c r="AA104" i="1058"/>
  <c r="AA216" i="1058"/>
  <c r="AA181" i="1058"/>
  <c r="AA66" i="1058"/>
  <c r="AA140" i="1058" s="1"/>
  <c r="AA67" i="1058"/>
  <c r="AA180" i="1058"/>
  <c r="AA236" i="1058"/>
  <c r="AA167" i="1058"/>
  <c r="AA217" i="1058"/>
  <c r="AA65" i="1058"/>
  <c r="AA179" i="1058"/>
  <c r="AA139" i="1058"/>
  <c r="AA168" i="1058"/>
  <c r="S127" i="1060"/>
  <c r="AF127" i="1060"/>
  <c r="AA206" i="1064"/>
  <c r="AA94" i="1064"/>
  <c r="N112" i="1060"/>
  <c r="X144" i="1064"/>
  <c r="AC22" i="1058"/>
  <c r="Q22" i="1058"/>
  <c r="L128" i="1060"/>
  <c r="L119" i="1060"/>
  <c r="L120" i="1060"/>
  <c r="AC207" i="1061"/>
  <c r="AC95" i="1061"/>
  <c r="AB174" i="1058"/>
  <c r="AB60" i="1058"/>
  <c r="AE9" i="1057"/>
  <c r="AE88" i="1057" s="1"/>
  <c r="AE109" i="1057" s="1"/>
  <c r="R88" i="1057" a="1"/>
  <c r="R88" i="1057" s="1"/>
  <c r="Y110" i="1064"/>
  <c r="AC22" i="1059"/>
  <c r="Q22" i="1059"/>
  <c r="AB166" i="1060"/>
  <c r="AB165" i="1060"/>
  <c r="AA206" i="1058"/>
  <c r="AA94" i="1058"/>
  <c r="O212" i="1063"/>
  <c r="O100" i="1063"/>
  <c r="P214" i="1063"/>
  <c r="P102" i="1063"/>
  <c r="P208" i="1063"/>
  <c r="P96" i="1063"/>
  <c r="O205" i="1064"/>
  <c r="O93" i="1064"/>
  <c r="O213" i="1064"/>
  <c r="O101" i="1064"/>
  <c r="O207" i="1064"/>
  <c r="O95" i="1064"/>
  <c r="Z203" i="1064"/>
  <c r="Z91" i="1064"/>
  <c r="O55" i="1060"/>
  <c r="L144" i="1060"/>
  <c r="O212" i="1061"/>
  <c r="O100" i="1061"/>
  <c r="N219" i="1061"/>
  <c r="N106" i="1061"/>
  <c r="AD172" i="1057"/>
  <c r="AD58" i="1057"/>
  <c r="O95" i="1058"/>
  <c r="O207" i="1058"/>
  <c r="P209" i="1058"/>
  <c r="P97" i="1058"/>
  <c r="Z211" i="1062"/>
  <c r="Z99" i="1062"/>
  <c r="Z140" i="1062"/>
  <c r="X127" i="1058"/>
  <c r="Y219" i="1060"/>
  <c r="Y106" i="1060"/>
  <c r="Y110" i="1060" s="1"/>
  <c r="L114" i="1059"/>
  <c r="AA62" i="1058"/>
  <c r="Z203" i="1060"/>
  <c r="Z91" i="1060"/>
  <c r="AE18" i="1057"/>
  <c r="N141" i="1062"/>
  <c r="N148" i="1062" s="1"/>
  <c r="N146" i="1062"/>
  <c r="O213" i="1062"/>
  <c r="O101" i="1062"/>
  <c r="O207" i="1062"/>
  <c r="O95" i="1062"/>
  <c r="Z213" i="1064"/>
  <c r="Z101" i="1064"/>
  <c r="Z198" i="1064"/>
  <c r="Z197" i="1064"/>
  <c r="Z196" i="1064"/>
  <c r="P54" i="1059"/>
  <c r="P65" i="1059"/>
  <c r="P61" i="1059"/>
  <c r="P133" i="1058"/>
  <c r="AC139" i="1061"/>
  <c r="Z140" i="1060"/>
  <c r="P104" i="1063"/>
  <c r="AC11" i="1063"/>
  <c r="Q11" i="1063"/>
  <c r="P236" i="1063"/>
  <c r="X113" i="1063"/>
  <c r="X225" i="1063" s="1"/>
  <c r="P176" i="1058"/>
  <c r="AC19" i="1058"/>
  <c r="Q19" i="1058"/>
  <c r="AC209" i="1057"/>
  <c r="AC97" i="1057"/>
  <c r="Z90" i="1060"/>
  <c r="Z202" i="1060"/>
  <c r="Z142" i="1060"/>
  <c r="Z143" i="1060" s="1"/>
  <c r="AB90" i="1061"/>
  <c r="AB89" i="1061"/>
  <c r="AB202" i="1061"/>
  <c r="AB142" i="1061"/>
  <c r="AB143" i="1061" s="1"/>
  <c r="AB117" i="1061"/>
  <c r="AA174" i="1060"/>
  <c r="AC62" i="1061"/>
  <c r="Y112" i="1064"/>
  <c r="O207" i="1057"/>
  <c r="O95" i="1057"/>
  <c r="O205" i="1057"/>
  <c r="O93" i="1057"/>
  <c r="AC175" i="1061"/>
  <c r="P182" i="1060"/>
  <c r="Q23" i="1060"/>
  <c r="AC23" i="1060"/>
  <c r="Y146" i="1058"/>
  <c r="Y141" i="1058"/>
  <c r="Y148" i="1058" s="1"/>
  <c r="R10" i="1061"/>
  <c r="Q129" i="1061"/>
  <c r="Q163" i="1061" s="1"/>
  <c r="Q123" i="1061"/>
  <c r="Q130" i="1061" a="1"/>
  <c r="Q130" i="1061" s="1"/>
  <c r="Q164" i="1061" s="1"/>
  <c r="Q125" i="1061"/>
  <c r="Q216" i="1061" a="1"/>
  <c r="Q216" i="1061" s="1"/>
  <c r="Q180" i="1061"/>
  <c r="Q181" i="1061"/>
  <c r="Z213" i="1058"/>
  <c r="Z101" i="1058"/>
  <c r="Z70" i="1058"/>
  <c r="Z89" i="1058" s="1"/>
  <c r="Z71" i="1058"/>
  <c r="AA179" i="1060"/>
  <c r="Z117" i="1059"/>
  <c r="AB134" i="1058"/>
  <c r="Q168" i="1061"/>
  <c r="AA215" i="1058"/>
  <c r="AA103" i="1058"/>
  <c r="AA184" i="1058"/>
  <c r="AA185" i="1058"/>
  <c r="AC211" i="1057"/>
  <c r="AC99" i="1057"/>
  <c r="AC140" i="1057"/>
  <c r="AE18" i="1061"/>
  <c r="AC12" i="1064"/>
  <c r="Q12" i="1064"/>
  <c r="P166" i="1064"/>
  <c r="P165" i="1064"/>
  <c r="AB172" i="1060"/>
  <c r="AB58" i="1060"/>
  <c r="AA175" i="1060"/>
  <c r="AB89" i="1057"/>
  <c r="P88" i="1062" a="1"/>
  <c r="P88" i="1062" s="1"/>
  <c r="AC9" i="1062"/>
  <c r="AC88" i="1062" s="1"/>
  <c r="AC109" i="1062" s="1"/>
  <c r="Q9" i="1062"/>
  <c r="AA63" i="1064"/>
  <c r="AB173" i="1062"/>
  <c r="AB59" i="1062"/>
  <c r="AA177" i="1058"/>
  <c r="X119" i="1050"/>
  <c r="W122" i="1056"/>
  <c r="X147" i="1056"/>
  <c r="O221" i="1059"/>
  <c r="O109" i="1059"/>
  <c r="O70" i="1059"/>
  <c r="Q173" i="1059"/>
  <c r="AD16" i="1059"/>
  <c r="R16" i="1059"/>
  <c r="AB215" i="1063"/>
  <c r="AB103" i="1063"/>
  <c r="AB185" i="1063"/>
  <c r="AB184" i="1063"/>
  <c r="Z120" i="1061"/>
  <c r="Z119" i="1061"/>
  <c r="Z122" i="1061" s="1"/>
  <c r="Z128" i="1061"/>
  <c r="R131" i="1057"/>
  <c r="R133" i="1057"/>
  <c r="R132" i="1057"/>
  <c r="AE4" i="1057"/>
  <c r="R134" i="1057"/>
  <c r="O94" i="1060"/>
  <c r="O206" i="1060"/>
  <c r="AB173" i="1060"/>
  <c r="AB59" i="1060"/>
  <c r="AE19" i="1057"/>
  <c r="AB182" i="1062"/>
  <c r="AB68" i="1062"/>
  <c r="O196" i="1059"/>
  <c r="O197" i="1059"/>
  <c r="O198" i="1059"/>
  <c r="AD13" i="1063"/>
  <c r="AD56" i="1063" s="1"/>
  <c r="R13" i="1063"/>
  <c r="AE13" i="1063" s="1"/>
  <c r="AE56" i="1063" s="1"/>
  <c r="AA210" i="1060"/>
  <c r="AA98" i="1060"/>
  <c r="Z214" i="1063"/>
  <c r="Z102" i="1063"/>
  <c r="Z202" i="1063"/>
  <c r="Z90" i="1063"/>
  <c r="Z142" i="1063"/>
  <c r="Z143" i="1063" s="1"/>
  <c r="Q58" i="1060"/>
  <c r="Q56" i="1060"/>
  <c r="AD8" i="1060"/>
  <c r="Q68" i="1060"/>
  <c r="Q59" i="1060"/>
  <c r="Q57" i="1060"/>
  <c r="R8" i="1060"/>
  <c r="P103" i="1060"/>
  <c r="P215" i="1060"/>
  <c r="P184" i="1060"/>
  <c r="P185" i="1060"/>
  <c r="Z91" i="1063"/>
  <c r="Z203" i="1063"/>
  <c r="AB207" i="1063"/>
  <c r="AB95" i="1063"/>
  <c r="AC210" i="1057"/>
  <c r="AC98" i="1057"/>
  <c r="D176" i="1064"/>
  <c r="B63" i="1064"/>
  <c r="P176" i="1059"/>
  <c r="AC19" i="1059"/>
  <c r="Q19" i="1059"/>
  <c r="G126" i="1059"/>
  <c r="Q221" i="1057"/>
  <c r="Q109" i="1057"/>
  <c r="Y89" i="1064"/>
  <c r="O210" i="1063"/>
  <c r="O98" i="1063"/>
  <c r="P202" i="1063"/>
  <c r="P90" i="1063"/>
  <c r="P68" i="1064"/>
  <c r="P108" i="1064"/>
  <c r="P56" i="1064"/>
  <c r="P54" i="1064"/>
  <c r="P53" i="1064"/>
  <c r="P66" i="1064"/>
  <c r="P65" i="1064"/>
  <c r="P64" i="1064"/>
  <c r="P63" i="1064"/>
  <c r="P62" i="1064"/>
  <c r="P59" i="1064"/>
  <c r="P67" i="1064"/>
  <c r="P58" i="1064"/>
  <c r="P61" i="1064"/>
  <c r="Q8" i="1064"/>
  <c r="P57" i="1064"/>
  <c r="AC8" i="1064"/>
  <c r="P60" i="1064"/>
  <c r="P69" i="1064"/>
  <c r="O202" i="1064"/>
  <c r="O142" i="1064"/>
  <c r="O143" i="1064" s="1"/>
  <c r="O89" i="1064"/>
  <c r="O90" i="1064"/>
  <c r="O212" i="1064"/>
  <c r="O100" i="1064"/>
  <c r="AC215" i="1061"/>
  <c r="AC103" i="1061"/>
  <c r="AC184" i="1061"/>
  <c r="AC185" i="1061"/>
  <c r="AD166" i="1061"/>
  <c r="AD165" i="1061"/>
  <c r="AD169" i="1061" s="1"/>
  <c r="P172" i="1064"/>
  <c r="AC15" i="1064"/>
  <c r="Q15" i="1064"/>
  <c r="G126" i="1064"/>
  <c r="P174" i="1059"/>
  <c r="X148" i="1062"/>
  <c r="O140" i="1059"/>
  <c r="O71" i="1061"/>
  <c r="O70" i="1061"/>
  <c r="O209" i="1061"/>
  <c r="O97" i="1061"/>
  <c r="R172" i="1057"/>
  <c r="AE15" i="1057"/>
  <c r="P213" i="1058"/>
  <c r="P101" i="1058"/>
  <c r="P202" i="1058"/>
  <c r="P90" i="1058"/>
  <c r="K122" i="1063"/>
  <c r="Z212" i="1062"/>
  <c r="Z100" i="1062"/>
  <c r="P173" i="1058"/>
  <c r="AC16" i="1058"/>
  <c r="Q16" i="1058"/>
  <c r="AA176" i="1058"/>
  <c r="Q175" i="1057"/>
  <c r="O203" i="1062"/>
  <c r="O91" i="1062"/>
  <c r="P91" i="1059"/>
  <c r="P203" i="1059"/>
  <c r="Q65" i="1059"/>
  <c r="Q55" i="1059"/>
  <c r="Q69" i="1059"/>
  <c r="Q68" i="1059"/>
  <c r="Q60" i="1059"/>
  <c r="Q108" i="1059"/>
  <c r="R8" i="1059"/>
  <c r="Q64" i="1059"/>
  <c r="Q63" i="1059"/>
  <c r="Q67" i="1059"/>
  <c r="Q66" i="1059"/>
  <c r="Q59" i="1059"/>
  <c r="Q54" i="1059"/>
  <c r="Q71" i="1059" s="1"/>
  <c r="Q53" i="1059"/>
  <c r="Q56" i="1059"/>
  <c r="Q61" i="1059"/>
  <c r="AD8" i="1059"/>
  <c r="P108" i="1059"/>
  <c r="X144" i="1063"/>
  <c r="P132" i="1058"/>
  <c r="AB204" i="1064"/>
  <c r="AB92" i="1064"/>
  <c r="AC168" i="1061"/>
  <c r="B122" i="1057"/>
  <c r="D233" i="1057"/>
  <c r="Q88" i="1064" a="1"/>
  <c r="Q88" i="1064" s="1"/>
  <c r="R9" i="1064"/>
  <c r="AD9" i="1064"/>
  <c r="AD88" i="1064" s="1"/>
  <c r="AD109" i="1064" s="1"/>
  <c r="M147" i="1061"/>
  <c r="AB176" i="1058"/>
  <c r="AB62" i="1058"/>
  <c r="W114" i="1064"/>
  <c r="W115" i="1064" s="1"/>
  <c r="W116" i="1064" s="1"/>
  <c r="W126" i="1064" s="1"/>
  <c r="AC178" i="1061"/>
  <c r="Z70" i="1060"/>
  <c r="Z71" i="1060"/>
  <c r="AB213" i="1061"/>
  <c r="AB101" i="1061"/>
  <c r="Q221" i="1061"/>
  <c r="Q109" i="1061"/>
  <c r="AA60" i="1060"/>
  <c r="AC176" i="1061"/>
  <c r="O204" i="1057"/>
  <c r="O92" i="1057"/>
  <c r="O206" i="1057"/>
  <c r="O94" i="1057"/>
  <c r="O209" i="1057"/>
  <c r="O97" i="1057"/>
  <c r="N219" i="1060"/>
  <c r="N106" i="1060"/>
  <c r="N110" i="1060" s="1"/>
  <c r="AB68" i="1060"/>
  <c r="AB182" i="1060"/>
  <c r="P111" i="1061"/>
  <c r="P121" i="1061"/>
  <c r="Z214" i="1058"/>
  <c r="Z102" i="1058"/>
  <c r="R178" i="1061"/>
  <c r="AE21" i="1061"/>
  <c r="AA168" i="1060"/>
  <c r="AB207" i="1059"/>
  <c r="AB95" i="1059"/>
  <c r="AC171" i="1060"/>
  <c r="AC57" i="1060"/>
  <c r="AB131" i="1058"/>
  <c r="AB63" i="1059"/>
  <c r="Q176" i="1061"/>
  <c r="D233" i="1060"/>
  <c r="B122" i="1060"/>
  <c r="N91" i="1058"/>
  <c r="N203" i="1058"/>
  <c r="N142" i="1058"/>
  <c r="N143" i="1058" s="1"/>
  <c r="L122" i="1061"/>
  <c r="P167" i="1059"/>
  <c r="AC60" i="1061"/>
  <c r="M128" i="1058"/>
  <c r="M120" i="1058"/>
  <c r="M119" i="1058"/>
  <c r="M122" i="1058" s="1"/>
  <c r="AD171" i="1061"/>
  <c r="AD57" i="1061"/>
  <c r="AA96" i="1059"/>
  <c r="AA208" i="1059"/>
  <c r="AD166" i="1057"/>
  <c r="AD165" i="1057"/>
  <c r="O221" i="1062"/>
  <c r="O70" i="1062"/>
  <c r="O117" i="1062" s="1"/>
  <c r="O109" i="1062"/>
  <c r="M110" i="1063"/>
  <c r="L114" i="1062"/>
  <c r="AA117" i="1061"/>
  <c r="R174" i="1061"/>
  <c r="AE17" i="1061"/>
  <c r="AC173" i="1059"/>
  <c r="AC59" i="1059"/>
  <c r="AB114" i="1057"/>
  <c r="AB115" i="1057" s="1"/>
  <c r="AB116" i="1057" s="1"/>
  <c r="AB113" i="1057"/>
  <c r="AB225" i="1057" s="1"/>
  <c r="AA103" i="1059"/>
  <c r="AA215" i="1059"/>
  <c r="AA184" i="1059"/>
  <c r="AA185" i="1059"/>
  <c r="AC211" i="1061"/>
  <c r="AC99" i="1061"/>
  <c r="P177" i="1058"/>
  <c r="AC20" i="1058"/>
  <c r="Q20" i="1058"/>
  <c r="M128" i="1059"/>
  <c r="M120" i="1059"/>
  <c r="M119" i="1059"/>
  <c r="N225" i="1064"/>
  <c r="N113" i="1064"/>
  <c r="N114" i="1064"/>
  <c r="N115" i="1064" s="1"/>
  <c r="N116" i="1064" s="1"/>
  <c r="AC204" i="1063"/>
  <c r="AC92" i="1063"/>
  <c r="O215" i="1059"/>
  <c r="O103" i="1059"/>
  <c r="O185" i="1059"/>
  <c r="O184" i="1059"/>
  <c r="P178" i="1058"/>
  <c r="AC21" i="1058"/>
  <c r="Q21" i="1058"/>
  <c r="AD12" i="1059"/>
  <c r="R12" i="1059"/>
  <c r="Q165" i="1059"/>
  <c r="Q169" i="1059" s="1"/>
  <c r="Q166" i="1059"/>
  <c r="Z213" i="1063"/>
  <c r="Z101" i="1063"/>
  <c r="Z71" i="1063"/>
  <c r="Z70" i="1063"/>
  <c r="P90" i="1060"/>
  <c r="P202" i="1060"/>
  <c r="P206" i="1060"/>
  <c r="P94" i="1060"/>
  <c r="AD182" i="1057"/>
  <c r="AD68" i="1057"/>
  <c r="B63" i="1062"/>
  <c r="D176" i="1062"/>
  <c r="AA209" i="1063"/>
  <c r="AA97" i="1063"/>
  <c r="K122" i="1060"/>
  <c r="AB176" i="1059"/>
  <c r="AB62" i="1059"/>
  <c r="D176" i="1063"/>
  <c r="B63" i="1063"/>
  <c r="K115" i="1060"/>
  <c r="K116" i="1060" s="1"/>
  <c r="O112" i="1057"/>
  <c r="P171" i="1063"/>
  <c r="AC14" i="1063"/>
  <c r="Q14" i="1063"/>
  <c r="Z212" i="1058"/>
  <c r="Z100" i="1058"/>
  <c r="Y148" i="1064"/>
  <c r="Y145" i="1064"/>
  <c r="Y146" i="1064" s="1"/>
  <c r="Y114" i="1062"/>
  <c r="Y115" i="1062" s="1"/>
  <c r="Y116" i="1062" s="1"/>
  <c r="Y126" i="1062" s="1"/>
  <c r="Y113" i="1062"/>
  <c r="Y225" i="1062" s="1"/>
  <c r="R22" i="1062"/>
  <c r="AE22" i="1062" s="1"/>
  <c r="AD22" i="1062"/>
  <c r="P212" i="1063"/>
  <c r="P100" i="1063"/>
  <c r="O209" i="1064"/>
  <c r="O97" i="1064"/>
  <c r="O203" i="1064"/>
  <c r="O91" i="1064"/>
  <c r="AE12" i="1061"/>
  <c r="R166" i="1061"/>
  <c r="R165" i="1061"/>
  <c r="R169" i="1061" s="1"/>
  <c r="AB172" i="1064"/>
  <c r="AB58" i="1064"/>
  <c r="Z140" i="1058"/>
  <c r="P175" i="1062"/>
  <c r="AC18" i="1062"/>
  <c r="Q18" i="1062"/>
  <c r="O207" i="1061"/>
  <c r="O95" i="1061"/>
  <c r="AD59" i="1061"/>
  <c r="AD173" i="1061"/>
  <c r="Q125" i="1057"/>
  <c r="Q130" i="1057" a="1"/>
  <c r="Q130" i="1057" s="1"/>
  <c r="Q164" i="1057" s="1"/>
  <c r="Q129" i="1057"/>
  <c r="Q163" i="1057" s="1"/>
  <c r="Q123" i="1057"/>
  <c r="R10" i="1057"/>
  <c r="R217" i="1057" s="1"/>
  <c r="Q216" i="1057" a="1"/>
  <c r="Q216" i="1057" s="1"/>
  <c r="Q180" i="1057"/>
  <c r="Q181" i="1057"/>
  <c r="Q67" i="1058"/>
  <c r="Q60" i="1058"/>
  <c r="R8" i="1058"/>
  <c r="Q68" i="1058"/>
  <c r="Q69" i="1058"/>
  <c r="Q62" i="1058"/>
  <c r="Q66" i="1058"/>
  <c r="Q65" i="1058"/>
  <c r="Q64" i="1058"/>
  <c r="Q59" i="1058"/>
  <c r="Q54" i="1058"/>
  <c r="Q53" i="1058"/>
  <c r="AD8" i="1058"/>
  <c r="P214" i="1058"/>
  <c r="P102" i="1058"/>
  <c r="P63" i="1058"/>
  <c r="Z197" i="1062"/>
  <c r="Z196" i="1062"/>
  <c r="Z198" i="1062"/>
  <c r="AB173" i="1058"/>
  <c r="AB59" i="1058"/>
  <c r="N145" i="1059"/>
  <c r="N147" i="1059" s="1"/>
  <c r="P173" i="1064"/>
  <c r="AC16" i="1064"/>
  <c r="Q16" i="1064"/>
  <c r="AA215" i="1060"/>
  <c r="AA103" i="1060"/>
  <c r="AA184" i="1060"/>
  <c r="AA185" i="1060"/>
  <c r="O94" i="1063"/>
  <c r="O206" i="1063"/>
  <c r="Y219" i="1063"/>
  <c r="Y106" i="1063"/>
  <c r="O208" i="1062"/>
  <c r="O96" i="1062"/>
  <c r="AB208" i="1061"/>
  <c r="AB96" i="1061"/>
  <c r="AD10" i="1061"/>
  <c r="AD139" i="1061" s="1"/>
  <c r="Q149" i="1061"/>
  <c r="P204" i="1059"/>
  <c r="P92" i="1059"/>
  <c r="P60" i="1059"/>
  <c r="O71" i="1059"/>
  <c r="O117" i="1059" s="1"/>
  <c r="AC13" i="1064"/>
  <c r="AC56" i="1064" s="1"/>
  <c r="Q13" i="1064"/>
  <c r="AC131" i="1062"/>
  <c r="AC169" i="1062"/>
  <c r="AC134" i="1062"/>
  <c r="AC133" i="1062"/>
  <c r="AC132" i="1062"/>
  <c r="AA208" i="1062"/>
  <c r="AA96" i="1062"/>
  <c r="AC64" i="1061"/>
  <c r="Z214" i="1060"/>
  <c r="Z102" i="1060"/>
  <c r="AB102" i="1061"/>
  <c r="AB214" i="1061"/>
  <c r="N117" i="1062"/>
  <c r="Z148" i="1061"/>
  <c r="AD129" i="1057"/>
  <c r="AD163" i="1057" s="1"/>
  <c r="AD123" i="1057"/>
  <c r="AD130" i="1057"/>
  <c r="AD164" i="1057" s="1"/>
  <c r="AD125" i="1057"/>
  <c r="AD53" i="1057"/>
  <c r="AD69" i="1057"/>
  <c r="AD54" i="1057"/>
  <c r="AD216" i="1057"/>
  <c r="AD104" i="1057"/>
  <c r="AD236" i="1057"/>
  <c r="AD67" i="1057"/>
  <c r="AD180" i="1057"/>
  <c r="AD181" i="1057"/>
  <c r="AD66" i="1057"/>
  <c r="O208" i="1057"/>
  <c r="O96" i="1057"/>
  <c r="O98" i="1057"/>
  <c r="O210" i="1057"/>
  <c r="O89" i="1057"/>
  <c r="O202" i="1057"/>
  <c r="O142" i="1057"/>
  <c r="O143" i="1057" s="1"/>
  <c r="O90" i="1057"/>
  <c r="O117" i="1057"/>
  <c r="Q130" i="1064" a="1"/>
  <c r="Q130" i="1064" s="1"/>
  <c r="Q164" i="1064" s="1"/>
  <c r="Q129" i="1064"/>
  <c r="Q163" i="1064" s="1"/>
  <c r="Q123" i="1064"/>
  <c r="Q125" i="1064"/>
  <c r="R10" i="1064"/>
  <c r="Q216" i="1064" a="1"/>
  <c r="Q216" i="1064" s="1"/>
  <c r="Q181" i="1064"/>
  <c r="Q180" i="1064"/>
  <c r="D232" i="1063"/>
  <c r="B121" i="1063"/>
  <c r="P198" i="1061"/>
  <c r="P196" i="1061"/>
  <c r="P197" i="1061"/>
  <c r="Z121" i="1058"/>
  <c r="Z111" i="1058"/>
  <c r="Z112" i="1058" s="1"/>
  <c r="AA177" i="1060"/>
  <c r="Q178" i="1061"/>
  <c r="Z110" i="1059"/>
  <c r="AA148" i="1057"/>
  <c r="AA145" i="1057"/>
  <c r="AA146" i="1057" s="1"/>
  <c r="AD49" i="1058"/>
  <c r="R49" i="1058"/>
  <c r="AE49" i="1058" s="1"/>
  <c r="M113" i="1060"/>
  <c r="M114" i="1060" s="1"/>
  <c r="M115" i="1060" s="1"/>
  <c r="M116" i="1060" s="1"/>
  <c r="M126" i="1060" s="1"/>
  <c r="M225" i="1060"/>
  <c r="AB132" i="1058"/>
  <c r="AC55" i="1057"/>
  <c r="AD176" i="1061"/>
  <c r="AD62" i="1061"/>
  <c r="P175" i="1058"/>
  <c r="AC18" i="1058"/>
  <c r="Q18" i="1058"/>
  <c r="Q61" i="1058" s="1"/>
  <c r="P88" i="1063" a="1"/>
  <c r="P88" i="1063" s="1"/>
  <c r="P140" i="1063" s="1"/>
  <c r="AC9" i="1063"/>
  <c r="AC88" i="1063" s="1"/>
  <c r="AC109" i="1063" s="1"/>
  <c r="Q9" i="1063"/>
  <c r="Y117" i="1058"/>
  <c r="P217" i="1059"/>
  <c r="AC206" i="1061"/>
  <c r="AC94" i="1061"/>
  <c r="AC174" i="1061"/>
  <c r="R171" i="1061"/>
  <c r="AE14" i="1061"/>
  <c r="AA126" i="1057"/>
  <c r="R21" i="1060"/>
  <c r="AD21" i="1060"/>
  <c r="AB147" i="1057"/>
  <c r="AB145" i="1057"/>
  <c r="AB144" i="1057"/>
  <c r="AE12" i="1057"/>
  <c r="R166" i="1057"/>
  <c r="R165" i="1057"/>
  <c r="R169" i="1057" s="1"/>
  <c r="Q177" i="1059"/>
  <c r="AD20" i="1059"/>
  <c r="R20" i="1059"/>
  <c r="AA215" i="1064"/>
  <c r="AA103" i="1064"/>
  <c r="AA185" i="1064"/>
  <c r="AA184" i="1064"/>
  <c r="P182" i="1058"/>
  <c r="AC23" i="1058"/>
  <c r="Q23" i="1058"/>
  <c r="AA205" i="1059"/>
  <c r="AA93" i="1059"/>
  <c r="Y112" i="1060"/>
  <c r="AA145" i="1061"/>
  <c r="AA147" i="1061"/>
  <c r="AA148" i="1061"/>
  <c r="Q174" i="1061"/>
  <c r="L122" i="1063"/>
  <c r="X114" i="1051"/>
  <c r="X115" i="1051" s="1"/>
  <c r="X116" i="1051" s="1"/>
  <c r="X126" i="1051" s="1"/>
  <c r="M146" i="1053"/>
  <c r="O143" i="1054"/>
  <c r="X114" i="1053"/>
  <c r="X115" i="1053" s="1"/>
  <c r="X116" i="1053" s="1"/>
  <c r="X126" i="1053" s="1"/>
  <c r="Q18" i="1060"/>
  <c r="P175" i="1060"/>
  <c r="AC18" i="1060"/>
  <c r="AD169" i="1057"/>
  <c r="AD217" i="1057"/>
  <c r="AD134" i="1057"/>
  <c r="AD179" i="1057"/>
  <c r="AD168" i="1057"/>
  <c r="AD133" i="1057"/>
  <c r="AD132" i="1057"/>
  <c r="AD167" i="1057"/>
  <c r="AD131" i="1057"/>
  <c r="AD139" i="1057"/>
  <c r="AD65" i="1057"/>
  <c r="AA141" i="1061"/>
  <c r="AA144" i="1061" s="1"/>
  <c r="AA146" i="1061"/>
  <c r="P176" i="1064"/>
  <c r="AC19" i="1064"/>
  <c r="Q19" i="1064"/>
  <c r="P171" i="1059"/>
  <c r="AC14" i="1059"/>
  <c r="Q14" i="1059"/>
  <c r="Y147" i="1062"/>
  <c r="Y145" i="1062"/>
  <c r="Y144" i="1062" s="1"/>
  <c r="P175" i="1063"/>
  <c r="AC18" i="1063"/>
  <c r="Q18" i="1063"/>
  <c r="AB177" i="1058"/>
  <c r="AB63" i="1058"/>
  <c r="AD171" i="1057"/>
  <c r="AD57" i="1057"/>
  <c r="Q182" i="1063"/>
  <c r="AD23" i="1063"/>
  <c r="R23" i="1063"/>
  <c r="AC212" i="1057"/>
  <c r="AC100" i="1057"/>
  <c r="AB178" i="1058"/>
  <c r="AB64" i="1058"/>
  <c r="AC13" i="1058"/>
  <c r="AC56" i="1058" s="1"/>
  <c r="Q13" i="1058"/>
  <c r="Q56" i="1058" s="1"/>
  <c r="AC166" i="1059"/>
  <c r="AC165" i="1059"/>
  <c r="R177" i="1061"/>
  <c r="AE20" i="1061"/>
  <c r="P204" i="1060"/>
  <c r="P92" i="1060"/>
  <c r="P205" i="1060"/>
  <c r="P93" i="1060"/>
  <c r="P210" i="1060"/>
  <c r="P98" i="1060"/>
  <c r="AB125" i="1059"/>
  <c r="AB69" i="1059"/>
  <c r="AB54" i="1059"/>
  <c r="AB53" i="1059"/>
  <c r="AB104" i="1059"/>
  <c r="AB130" i="1059"/>
  <c r="AB164" i="1059" s="1"/>
  <c r="AB129" i="1059"/>
  <c r="AB163" i="1059" s="1"/>
  <c r="AB123" i="1059"/>
  <c r="AB236" i="1059"/>
  <c r="AB66" i="1059"/>
  <c r="AB216" i="1059"/>
  <c r="AB181" i="1059"/>
  <c r="AB67" i="1059"/>
  <c r="AB180" i="1059"/>
  <c r="AA99" i="1059"/>
  <c r="AA211" i="1059"/>
  <c r="AA140" i="1059"/>
  <c r="R182" i="1057"/>
  <c r="AE23" i="1057"/>
  <c r="AA213" i="1059"/>
  <c r="AA101" i="1059"/>
  <c r="AA90" i="1059"/>
  <c r="AA202" i="1059"/>
  <c r="AA142" i="1059"/>
  <c r="AA143" i="1059" s="1"/>
  <c r="X120" i="1060"/>
  <c r="X119" i="1060"/>
  <c r="Y146" i="1063"/>
  <c r="Y141" i="1063"/>
  <c r="Y144" i="1063" s="1"/>
  <c r="AA205" i="1058"/>
  <c r="AA93" i="1058"/>
  <c r="N141" i="1063"/>
  <c r="Y114" i="1059"/>
  <c r="Y115" i="1059" s="1"/>
  <c r="Y116" i="1059" s="1"/>
  <c r="Y126" i="1059" s="1"/>
  <c r="X119" i="1063"/>
  <c r="X120" i="1063"/>
  <c r="AB171" i="1063"/>
  <c r="AB57" i="1063"/>
  <c r="AD11" i="1059"/>
  <c r="R11" i="1059"/>
  <c r="Q104" i="1059"/>
  <c r="Q236" i="1059"/>
  <c r="AE173" i="1057"/>
  <c r="AE59" i="1057"/>
  <c r="Q66" i="1063"/>
  <c r="Q108" i="1063"/>
  <c r="Q69" i="1063"/>
  <c r="Q62" i="1063"/>
  <c r="Q57" i="1063"/>
  <c r="AD8" i="1063"/>
  <c r="Q61" i="1063"/>
  <c r="Q59" i="1063"/>
  <c r="Q54" i="1063"/>
  <c r="Q53" i="1063"/>
  <c r="Q67" i="1063"/>
  <c r="Q56" i="1063"/>
  <c r="R8" i="1063"/>
  <c r="Q68" i="1063"/>
  <c r="Q64" i="1063"/>
  <c r="P57" i="1063"/>
  <c r="Y112" i="1063"/>
  <c r="O206" i="1064"/>
  <c r="O94" i="1064"/>
  <c r="O204" i="1064"/>
  <c r="O92" i="1064"/>
  <c r="P134" i="1060"/>
  <c r="P133" i="1060"/>
  <c r="P217" i="1060"/>
  <c r="P179" i="1060"/>
  <c r="P169" i="1060"/>
  <c r="P139" i="1060"/>
  <c r="P132" i="1060"/>
  <c r="P131" i="1060"/>
  <c r="P55" i="1060" s="1"/>
  <c r="P168" i="1060"/>
  <c r="P167" i="1060"/>
  <c r="AC4" i="1060"/>
  <c r="Q4" i="1060"/>
  <c r="Q65" i="1060" s="1"/>
  <c r="AB175" i="1062"/>
  <c r="AB61" i="1062"/>
  <c r="AC22" i="1064"/>
  <c r="Q22" i="1064"/>
  <c r="O214" i="1061"/>
  <c r="O102" i="1061"/>
  <c r="O202" i="1061"/>
  <c r="O142" i="1061"/>
  <c r="O143" i="1061" s="1"/>
  <c r="O90" i="1061"/>
  <c r="O89" i="1061"/>
  <c r="O117" i="1061"/>
  <c r="R173" i="1061"/>
  <c r="AE16" i="1061"/>
  <c r="P60" i="1058"/>
  <c r="P94" i="1058"/>
  <c r="P206" i="1058"/>
  <c r="AC142" i="1057"/>
  <c r="AC143" i="1057" s="1"/>
  <c r="AC202" i="1057"/>
  <c r="AC90" i="1057"/>
  <c r="Z111" i="1062"/>
  <c r="Z121" i="1062"/>
  <c r="AB173" i="1064"/>
  <c r="AB59" i="1064"/>
  <c r="M117" i="1063"/>
  <c r="AC49" i="1064"/>
  <c r="Q49" i="1064"/>
  <c r="AB10" i="1064"/>
  <c r="AB62" i="1064" s="1"/>
  <c r="O149" i="1064"/>
  <c r="P172" i="1063"/>
  <c r="AC15" i="1063"/>
  <c r="Q15" i="1063"/>
  <c r="O100" i="1062"/>
  <c r="O212" i="1062"/>
  <c r="O210" i="1062"/>
  <c r="O98" i="1062"/>
  <c r="O205" i="1062"/>
  <c r="O93" i="1062"/>
  <c r="R104" i="1061"/>
  <c r="AF104" i="1061" s="1"/>
  <c r="AE11" i="1061"/>
  <c r="R236" i="1061"/>
  <c r="O89" i="1059"/>
  <c r="P66" i="1059"/>
  <c r="P68" i="1059"/>
  <c r="X147" i="1063"/>
  <c r="X148" i="1063" s="1"/>
  <c r="AC179" i="1061"/>
  <c r="AC50" i="1063"/>
  <c r="Q50" i="1063"/>
  <c r="Q217" i="1062"/>
  <c r="Q134" i="1062"/>
  <c r="Q131" i="1062"/>
  <c r="Q179" i="1062"/>
  <c r="Q167" i="1062"/>
  <c r="Q133" i="1062"/>
  <c r="Q168" i="1062"/>
  <c r="Q139" i="1062"/>
  <c r="Q132" i="1062"/>
  <c r="Q169" i="1062"/>
  <c r="AD4" i="1062"/>
  <c r="R4" i="1062"/>
  <c r="P221" i="1064"/>
  <c r="P109" i="1064"/>
  <c r="Y117" i="1063"/>
  <c r="AD50" i="1064"/>
  <c r="R50" i="1064"/>
  <c r="AE50" i="1064" s="1"/>
  <c r="Z140" i="1064"/>
  <c r="AC49" i="1063"/>
  <c r="Q49" i="1063"/>
  <c r="X127" i="1064"/>
  <c r="N117" i="1061"/>
  <c r="O103" i="1058"/>
  <c r="O215" i="1058"/>
  <c r="O184" i="1058"/>
  <c r="O185" i="1058"/>
  <c r="R88" i="1061" a="1"/>
  <c r="R88" i="1061" s="1"/>
  <c r="AE9" i="1061"/>
  <c r="AE88" i="1061" s="1"/>
  <c r="AE109" i="1061" s="1"/>
  <c r="O55" i="1063"/>
  <c r="AD63" i="1057"/>
  <c r="AD177" i="1057"/>
  <c r="O213" i="1057"/>
  <c r="O101" i="1057"/>
  <c r="O211" i="1057"/>
  <c r="O99" i="1057"/>
  <c r="O140" i="1057"/>
  <c r="Z97" i="1058"/>
  <c r="Z209" i="1058"/>
  <c r="P121" i="1064"/>
  <c r="P111" i="1064"/>
  <c r="AB146" i="1057"/>
  <c r="AB148" i="1057" s="1"/>
  <c r="AB141" i="1057"/>
  <c r="X148" i="1058"/>
  <c r="AA63" i="1060"/>
  <c r="AA167" i="1060"/>
  <c r="AA203" i="1060"/>
  <c r="AA91" i="1060"/>
  <c r="Z89" i="1059"/>
  <c r="Z126" i="1059" s="1"/>
  <c r="N146" i="1060"/>
  <c r="N141" i="1060"/>
  <c r="N148" i="1060" s="1"/>
  <c r="AC205" i="1061"/>
  <c r="AC93" i="1061"/>
  <c r="P172" i="1059"/>
  <c r="AC15" i="1059"/>
  <c r="Q15" i="1059"/>
  <c r="R14" i="1060"/>
  <c r="Q171" i="1060"/>
  <c r="AD14" i="1060"/>
  <c r="AB133" i="1058"/>
  <c r="P172" i="1062"/>
  <c r="AC15" i="1062"/>
  <c r="Q15" i="1062"/>
  <c r="R176" i="1061"/>
  <c r="AE19" i="1061"/>
  <c r="AB175" i="1058"/>
  <c r="AB61" i="1058"/>
  <c r="Y89" i="1058"/>
  <c r="AA60" i="1063"/>
  <c r="AD174" i="1057"/>
  <c r="AD60" i="1057"/>
  <c r="AA209" i="1059"/>
  <c r="AA97" i="1059"/>
  <c r="N70" i="1058"/>
  <c r="N112" i="1058" s="1"/>
  <c r="Q10" i="1060"/>
  <c r="Q63" i="1060" s="1"/>
  <c r="P129" i="1060"/>
  <c r="P163" i="1060" s="1"/>
  <c r="P123" i="1060"/>
  <c r="P125" i="1060"/>
  <c r="P180" i="1060"/>
  <c r="P130" i="1060" a="1"/>
  <c r="P130" i="1060" s="1"/>
  <c r="P164" i="1060" s="1"/>
  <c r="P216" i="1060" a="1"/>
  <c r="P216" i="1060" s="1"/>
  <c r="P181" i="1060"/>
  <c r="AB178" i="1059"/>
  <c r="AB174" i="1060"/>
  <c r="AC63" i="1059"/>
  <c r="AB182" i="1058"/>
  <c r="AB68" i="1058"/>
  <c r="O112" i="1064"/>
  <c r="AB217" i="1064"/>
  <c r="AB134" i="1064"/>
  <c r="AB131" i="1064"/>
  <c r="AB132" i="1064"/>
  <c r="AB169" i="1064"/>
  <c r="AB133" i="1064"/>
  <c r="AB179" i="1064"/>
  <c r="AB65" i="1064"/>
  <c r="AD172" i="1061"/>
  <c r="AD58" i="1061"/>
  <c r="X146" i="1054"/>
  <c r="N112" i="1059"/>
  <c r="Q178" i="1059"/>
  <c r="AD21" i="1059"/>
  <c r="R21" i="1059"/>
  <c r="AA212" i="1059"/>
  <c r="AA100" i="1059"/>
  <c r="AA212" i="1058"/>
  <c r="AA100" i="1058"/>
  <c r="O206" i="1058"/>
  <c r="O94" i="1058"/>
  <c r="P182" i="1064"/>
  <c r="AC23" i="1064"/>
  <c r="Q23" i="1064"/>
  <c r="AB171" i="1059"/>
  <c r="AB57" i="1059"/>
  <c r="AB205" i="1062"/>
  <c r="AB93" i="1062"/>
  <c r="AA55" i="1064"/>
  <c r="AB175" i="1063"/>
  <c r="AB61" i="1063"/>
  <c r="AA210" i="1059"/>
  <c r="AA98" i="1059"/>
  <c r="N117" i="1059"/>
  <c r="R171" i="1057"/>
  <c r="AE14" i="1057"/>
  <c r="AC68" i="1063"/>
  <c r="AC182" i="1063"/>
  <c r="AB92" i="1058"/>
  <c r="AB204" i="1058"/>
  <c r="Z198" i="1063"/>
  <c r="Z197" i="1063"/>
  <c r="Z196" i="1063"/>
  <c r="P174" i="1064"/>
  <c r="AC17" i="1064"/>
  <c r="Q17" i="1064"/>
  <c r="P214" i="1060"/>
  <c r="P102" i="1060"/>
  <c r="P59" i="1060"/>
  <c r="AA210" i="1064"/>
  <c r="AA98" i="1064"/>
  <c r="AD92" i="1060"/>
  <c r="AD204" i="1060"/>
  <c r="AA214" i="1059"/>
  <c r="AA102" i="1059"/>
  <c r="AA70" i="1059"/>
  <c r="AA117" i="1059" s="1"/>
  <c r="AA71" i="1059"/>
  <c r="AB60" i="1059"/>
  <c r="Q19" i="1060"/>
  <c r="Q62" i="1060" s="1"/>
  <c r="P176" i="1060"/>
  <c r="AC19" i="1060"/>
  <c r="AC10" i="1059"/>
  <c r="P149" i="1059"/>
  <c r="N114" i="1057"/>
  <c r="N115" i="1057" s="1"/>
  <c r="N116" i="1057" s="1"/>
  <c r="N126" i="1057" s="1"/>
  <c r="N113" i="1057"/>
  <c r="N225" i="1057"/>
  <c r="AA212" i="1064"/>
  <c r="AA100" i="1064"/>
  <c r="N145" i="1057"/>
  <c r="N146" i="1057" s="1"/>
  <c r="Q173" i="1063"/>
  <c r="AD16" i="1063"/>
  <c r="R16" i="1063"/>
  <c r="X127" i="1060"/>
  <c r="P206" i="1063"/>
  <c r="P94" i="1063"/>
  <c r="P207" i="1063"/>
  <c r="P95" i="1063"/>
  <c r="P61" i="1063"/>
  <c r="O214" i="1064"/>
  <c r="O102" i="1064"/>
  <c r="B121" i="1058"/>
  <c r="D232" i="1058"/>
  <c r="AB131" i="1060"/>
  <c r="AB167" i="1060"/>
  <c r="AB169" i="1060"/>
  <c r="AB179" i="1060"/>
  <c r="AB134" i="1060"/>
  <c r="AB133" i="1060"/>
  <c r="AB132" i="1060"/>
  <c r="AB168" i="1060"/>
  <c r="O206" i="1061"/>
  <c r="O94" i="1061"/>
  <c r="O211" i="1061"/>
  <c r="O99" i="1061"/>
  <c r="O140" i="1061"/>
  <c r="AB166" i="1063"/>
  <c r="AB165" i="1063"/>
  <c r="AB169" i="1063" s="1"/>
  <c r="P56" i="1058"/>
  <c r="P62" i="1058"/>
  <c r="AC213" i="1057"/>
  <c r="AC101" i="1057"/>
  <c r="AC70" i="1057"/>
  <c r="AC71" i="1057"/>
  <c r="Z102" i="1062"/>
  <c r="Z214" i="1062"/>
  <c r="Z202" i="1062"/>
  <c r="Z142" i="1062"/>
  <c r="Z143" i="1062" s="1"/>
  <c r="Z90" i="1062"/>
  <c r="AB10" i="1060"/>
  <c r="AB60" i="1060" s="1"/>
  <c r="O149" i="1060"/>
  <c r="P178" i="1064"/>
  <c r="AC21" i="1064"/>
  <c r="Q21" i="1064"/>
  <c r="AD182" i="1061"/>
  <c r="AD68" i="1061"/>
  <c r="W122" i="1064"/>
  <c r="P104" i="1064"/>
  <c r="AC11" i="1064"/>
  <c r="Q11" i="1064"/>
  <c r="P236" i="1064"/>
  <c r="AB172" i="1063"/>
  <c r="AB58" i="1063"/>
  <c r="O215" i="1062"/>
  <c r="O103" i="1062"/>
  <c r="O184" i="1062"/>
  <c r="O185" i="1062"/>
  <c r="O214" i="1062"/>
  <c r="O102" i="1062"/>
  <c r="O97" i="1062"/>
  <c r="O209" i="1062"/>
  <c r="D176" i="1061"/>
  <c r="B63" i="1061"/>
  <c r="Z202" i="1064"/>
  <c r="Z142" i="1064"/>
  <c r="Z143" i="1064" s="1"/>
  <c r="Z90" i="1064"/>
  <c r="P67" i="1059"/>
  <c r="P69" i="1059"/>
  <c r="AC206" i="1057"/>
  <c r="AC94" i="1057"/>
  <c r="Q139" i="1058"/>
  <c r="Q134" i="1058"/>
  <c r="Q217" i="1058"/>
  <c r="Q133" i="1058"/>
  <c r="Q131" i="1058"/>
  <c r="Q55" i="1058" s="1"/>
  <c r="Q179" i="1058"/>
  <c r="Q167" i="1058"/>
  <c r="Q168" i="1058"/>
  <c r="AD4" i="1058"/>
  <c r="Q132" i="1058"/>
  <c r="R4" i="1058"/>
  <c r="Q111" i="1058"/>
  <c r="Q121" i="1058"/>
  <c r="D233" i="1059"/>
  <c r="B122" i="1059"/>
  <c r="AC55" i="1061"/>
  <c r="Y117" i="1060"/>
  <c r="P172" i="1058"/>
  <c r="AC15" i="1058"/>
  <c r="Q15" i="1058"/>
  <c r="D232" i="1064"/>
  <c r="B121" i="1064"/>
  <c r="Y112" i="1058"/>
  <c r="Y110" i="1063"/>
  <c r="AA130" i="1064"/>
  <c r="AA164" i="1064" s="1"/>
  <c r="AA129" i="1064"/>
  <c r="AA163" i="1064" s="1"/>
  <c r="AA125" i="1064"/>
  <c r="AA53" i="1064"/>
  <c r="AA123" i="1064"/>
  <c r="AA69" i="1064"/>
  <c r="AA54" i="1064"/>
  <c r="AA104" i="1064"/>
  <c r="AA216" i="1064"/>
  <c r="AA67" i="1064"/>
  <c r="AA66" i="1064"/>
  <c r="AA181" i="1064"/>
  <c r="AA180" i="1064"/>
  <c r="AA236" i="1064"/>
  <c r="Z213" i="1060"/>
  <c r="Z101" i="1060"/>
  <c r="Z111" i="1060"/>
  <c r="Z112" i="1060" s="1"/>
  <c r="Z121" i="1060"/>
  <c r="O97" i="1059"/>
  <c r="O209" i="1059"/>
  <c r="N89" i="1061"/>
  <c r="AB111" i="1061"/>
  <c r="AB112" i="1061" s="1"/>
  <c r="AB121" i="1061"/>
  <c r="O55" i="1058"/>
  <c r="N219" i="1062"/>
  <c r="N106" i="1062"/>
  <c r="N110" i="1062" s="1"/>
  <c r="AA130" i="1063"/>
  <c r="AA164" i="1063" s="1"/>
  <c r="AA125" i="1063"/>
  <c r="AA69" i="1063"/>
  <c r="AA54" i="1063"/>
  <c r="AA53" i="1063"/>
  <c r="AA123" i="1063"/>
  <c r="AA129" i="1063"/>
  <c r="AA163" i="1063" s="1"/>
  <c r="AA104" i="1063"/>
  <c r="AA216" i="1063"/>
  <c r="AA236" i="1063"/>
  <c r="AA181" i="1063"/>
  <c r="AA67" i="1063"/>
  <c r="AA66" i="1063"/>
  <c r="AA180" i="1063"/>
  <c r="AA178" i="1063"/>
  <c r="AA64" i="1063"/>
  <c r="M144" i="1060"/>
  <c r="R177" i="1057"/>
  <c r="AE20" i="1057"/>
  <c r="O212" i="1057"/>
  <c r="O100" i="1057"/>
  <c r="P174" i="1062"/>
  <c r="Q17" i="1062"/>
  <c r="AC17" i="1062"/>
  <c r="O111" i="1063"/>
  <c r="O121" i="1063"/>
  <c r="Q123" i="1062"/>
  <c r="R10" i="1062"/>
  <c r="Q129" i="1062"/>
  <c r="Q163" i="1062" s="1"/>
  <c r="Q130" i="1062" a="1"/>
  <c r="Q130" i="1062" s="1"/>
  <c r="Q164" i="1062" s="1"/>
  <c r="Q125" i="1062"/>
  <c r="Q216" i="1062" a="1"/>
  <c r="Q216" i="1062" s="1"/>
  <c r="Q181" i="1062"/>
  <c r="Q180" i="1062"/>
  <c r="N110" i="1064"/>
  <c r="Z145" i="1059"/>
  <c r="Z144" i="1059" s="1"/>
  <c r="Z147" i="1059"/>
  <c r="AB172" i="1059"/>
  <c r="AB58" i="1059"/>
  <c r="AB172" i="1062"/>
  <c r="AB58" i="1062"/>
  <c r="N219" i="1057"/>
  <c r="N106" i="1057"/>
  <c r="N110" i="1057" s="1"/>
  <c r="O221" i="1063"/>
  <c r="O109" i="1063"/>
  <c r="O70" i="1063"/>
  <c r="O117" i="1063"/>
  <c r="D234" i="1062"/>
  <c r="B123" i="1062"/>
  <c r="Y110" i="1058"/>
  <c r="AA174" i="1063"/>
  <c r="AC131" i="1059"/>
  <c r="AC167" i="1059"/>
  <c r="AC217" i="1059"/>
  <c r="AC179" i="1059"/>
  <c r="AC169" i="1059"/>
  <c r="AC132" i="1059"/>
  <c r="AC168" i="1059"/>
  <c r="AC65" i="1059"/>
  <c r="AC133" i="1059"/>
  <c r="AC134" i="1059"/>
  <c r="AC139" i="1059"/>
  <c r="P168" i="1059"/>
  <c r="R174" i="1057"/>
  <c r="AE17" i="1057"/>
  <c r="O111" i="1060"/>
  <c r="O112" i="1060" s="1"/>
  <c r="O121" i="1060"/>
  <c r="AB64" i="1059"/>
  <c r="P174" i="1060"/>
  <c r="Q17" i="1060"/>
  <c r="AC17" i="1060"/>
  <c r="P177" i="1059"/>
  <c r="AA177" i="1063"/>
  <c r="P179" i="1064"/>
  <c r="P217" i="1064"/>
  <c r="P167" i="1064"/>
  <c r="P169" i="1064"/>
  <c r="P134" i="1064"/>
  <c r="P139" i="1064"/>
  <c r="P131" i="1064"/>
  <c r="P55" i="1064" s="1"/>
  <c r="P168" i="1064"/>
  <c r="P133" i="1064"/>
  <c r="P132" i="1064"/>
  <c r="Q4" i="1064"/>
  <c r="AC4" i="1064"/>
  <c r="R172" i="1061"/>
  <c r="AE15" i="1061"/>
  <c r="M114" i="1064"/>
  <c r="M144" i="1050"/>
  <c r="AC11" i="1062"/>
  <c r="Q11" i="1062"/>
  <c r="P236" i="1062"/>
  <c r="P104" i="1062"/>
  <c r="R50" i="1059"/>
  <c r="AE50" i="1059" s="1"/>
  <c r="AD50" i="1059"/>
  <c r="AC178" i="1059"/>
  <c r="AC64" i="1059"/>
  <c r="AD178" i="1057"/>
  <c r="AD64" i="1057"/>
  <c r="R88" i="1058" a="1"/>
  <c r="R88" i="1058" s="1"/>
  <c r="AE9" i="1058"/>
  <c r="AE88" i="1058" s="1"/>
  <c r="AE109" i="1058" s="1"/>
  <c r="AB182" i="1064"/>
  <c r="AB68" i="1064"/>
  <c r="L225" i="1060"/>
  <c r="L113" i="1060"/>
  <c r="L114" i="1060" s="1"/>
  <c r="AB177" i="1064"/>
  <c r="AB63" i="1064"/>
  <c r="AC22" i="1063"/>
  <c r="Q22" i="1063"/>
  <c r="Z91" i="1058"/>
  <c r="Z203" i="1058"/>
  <c r="AB171" i="1064"/>
  <c r="AB57" i="1064"/>
  <c r="N219" i="1059"/>
  <c r="N106" i="1059"/>
  <c r="N110" i="1059" s="1"/>
  <c r="O209" i="1058"/>
  <c r="O97" i="1058"/>
  <c r="AB175" i="1064"/>
  <c r="AB61" i="1064"/>
  <c r="P208" i="1060"/>
  <c r="P96" i="1060"/>
  <c r="P61" i="1060"/>
  <c r="AE204" i="1060"/>
  <c r="AE92" i="1060"/>
  <c r="N141" i="1057"/>
  <c r="N148" i="1057" s="1"/>
  <c r="O213" i="1063"/>
  <c r="O101" i="1063"/>
  <c r="AB174" i="1059"/>
  <c r="AA205" i="1064"/>
  <c r="AA93" i="1064"/>
  <c r="AA203" i="1062"/>
  <c r="AA91" i="1062"/>
  <c r="AB212" i="1061"/>
  <c r="AB100" i="1061"/>
  <c r="AA208" i="1064"/>
  <c r="AA96" i="1064"/>
  <c r="O215" i="1060"/>
  <c r="O103" i="1060"/>
  <c r="O184" i="1060"/>
  <c r="O185" i="1060"/>
  <c r="AA207" i="1058"/>
  <c r="AA95" i="1058"/>
  <c r="Y146" i="1062"/>
  <c r="Y141" i="1062"/>
  <c r="Y148" i="1062" s="1"/>
  <c r="AC173" i="1063"/>
  <c r="AC59" i="1063"/>
  <c r="AC11" i="1058"/>
  <c r="Q11" i="1058"/>
  <c r="Q108" i="1058" s="1"/>
  <c r="P236" i="1058"/>
  <c r="P104" i="1058"/>
  <c r="P213" i="1063"/>
  <c r="P101" i="1063"/>
  <c r="P210" i="1063"/>
  <c r="P98" i="1063"/>
  <c r="P215" i="1063"/>
  <c r="P103" i="1063"/>
  <c r="P184" i="1063"/>
  <c r="P185" i="1063"/>
  <c r="O210" i="1064"/>
  <c r="O98" i="1064"/>
  <c r="O215" i="1064"/>
  <c r="O103" i="1064"/>
  <c r="O185" i="1064"/>
  <c r="O184" i="1064"/>
  <c r="P171" i="1058"/>
  <c r="AC14" i="1058"/>
  <c r="Q14" i="1058"/>
  <c r="AC205" i="1057"/>
  <c r="AC93" i="1057"/>
  <c r="O215" i="1061"/>
  <c r="O103" i="1061"/>
  <c r="O185" i="1061"/>
  <c r="O184" i="1061"/>
  <c r="O210" i="1061"/>
  <c r="O98" i="1061"/>
  <c r="O204" i="1061"/>
  <c r="O92" i="1061"/>
  <c r="P111" i="1057"/>
  <c r="P121" i="1057"/>
  <c r="AC12" i="1063"/>
  <c r="Q12" i="1063"/>
  <c r="P166" i="1063"/>
  <c r="P165" i="1063"/>
  <c r="P169" i="1063" s="1"/>
  <c r="P71" i="1058"/>
  <c r="Q176" i="1062"/>
  <c r="R19" i="1062"/>
  <c r="AD19" i="1062"/>
  <c r="Z71" i="1062"/>
  <c r="Z70" i="1062"/>
  <c r="P104" i="1060"/>
  <c r="AC11" i="1060"/>
  <c r="Q11" i="1060"/>
  <c r="Q108" i="1060" s="1"/>
  <c r="P236" i="1060"/>
  <c r="AB178" i="1064"/>
  <c r="AB64" i="1064"/>
  <c r="M126" i="1059"/>
  <c r="N141" i="1059"/>
  <c r="N148" i="1059" s="1"/>
  <c r="N146" i="1059"/>
  <c r="AE23" i="1061"/>
  <c r="R182" i="1061"/>
  <c r="G115" i="1057"/>
  <c r="G116" i="1057" s="1"/>
  <c r="P108" i="1062"/>
  <c r="P61" i="1062"/>
  <c r="P57" i="1062"/>
  <c r="Q8" i="1062"/>
  <c r="P65" i="1062"/>
  <c r="P55" i="1062"/>
  <c r="P69" i="1062"/>
  <c r="P62" i="1062"/>
  <c r="P58" i="1062"/>
  <c r="P63" i="1062"/>
  <c r="P67" i="1062"/>
  <c r="P53" i="1062"/>
  <c r="P60" i="1062"/>
  <c r="P66" i="1062"/>
  <c r="P56" i="1062"/>
  <c r="P68" i="1062"/>
  <c r="P59" i="1062"/>
  <c r="AC8" i="1062"/>
  <c r="P64" i="1062"/>
  <c r="P54" i="1062"/>
  <c r="P71" i="1062" s="1"/>
  <c r="O202" i="1062"/>
  <c r="O142" i="1062"/>
  <c r="O143" i="1062" s="1"/>
  <c r="O89" i="1062"/>
  <c r="O90" i="1062"/>
  <c r="Z71" i="1064"/>
  <c r="Z70" i="1064"/>
  <c r="O147" i="1059"/>
  <c r="O145" i="1059"/>
  <c r="P62" i="1059"/>
  <c r="AC132" i="1058"/>
  <c r="AC131" i="1058"/>
  <c r="AC134" i="1058"/>
  <c r="AC133" i="1058"/>
  <c r="P134" i="1058"/>
  <c r="R129" i="1058"/>
  <c r="R163" i="1058" s="1"/>
  <c r="R123" i="1058"/>
  <c r="R130" i="1058" a="1"/>
  <c r="R130" i="1058" s="1"/>
  <c r="R164" i="1058" s="1"/>
  <c r="R216" i="1058" a="1"/>
  <c r="R216" i="1058" s="1"/>
  <c r="R125" i="1058"/>
  <c r="AF125" i="1058" s="1"/>
  <c r="R180" i="1058"/>
  <c r="R181" i="1058"/>
  <c r="AD13" i="1059"/>
  <c r="AD56" i="1059" s="1"/>
  <c r="R13" i="1059"/>
  <c r="AE13" i="1059" s="1"/>
  <c r="AE56" i="1059" s="1"/>
  <c r="AC65" i="1061"/>
  <c r="Y89" i="1060"/>
  <c r="N70" i="1063"/>
  <c r="N112" i="1063" s="1"/>
  <c r="AB172" i="1058"/>
  <c r="AB58" i="1058"/>
  <c r="Y89" i="1063"/>
  <c r="AA219" i="1061"/>
  <c r="AA106" i="1061"/>
  <c r="AA110" i="1061" s="1"/>
  <c r="AA206" i="1060"/>
  <c r="AA94" i="1060"/>
  <c r="Z196" i="1060"/>
  <c r="Z197" i="1060"/>
  <c r="Z198" i="1060"/>
  <c r="AA206" i="1059"/>
  <c r="AA94" i="1059"/>
  <c r="N110" i="1061"/>
  <c r="AB198" i="1061"/>
  <c r="AB196" i="1061"/>
  <c r="AB197" i="1061"/>
  <c r="P217" i="1063"/>
  <c r="P179" i="1063"/>
  <c r="P168" i="1063"/>
  <c r="P132" i="1063"/>
  <c r="P131" i="1063"/>
  <c r="P167" i="1063"/>
  <c r="P139" i="1063"/>
  <c r="P133" i="1063"/>
  <c r="P134" i="1063"/>
  <c r="Q4" i="1063"/>
  <c r="AC4" i="1063"/>
  <c r="O211" i="1060"/>
  <c r="O99" i="1060"/>
  <c r="O140" i="1060"/>
  <c r="AA61" i="1058"/>
  <c r="Q177" i="1057"/>
  <c r="O215" i="1057"/>
  <c r="O103" i="1057"/>
  <c r="O185" i="1057"/>
  <c r="O184" i="1057"/>
  <c r="O203" i="1057"/>
  <c r="O91" i="1057"/>
  <c r="AB174" i="1062"/>
  <c r="AB60" i="1062"/>
  <c r="P196" i="1064"/>
  <c r="P197" i="1064"/>
  <c r="P198" i="1064"/>
  <c r="P174" i="1063"/>
  <c r="AC17" i="1063"/>
  <c r="Q17" i="1063"/>
  <c r="Q60" i="1063" s="1"/>
  <c r="N89" i="1060"/>
  <c r="O198" i="1063"/>
  <c r="O197" i="1063"/>
  <c r="O196" i="1063"/>
  <c r="N89" i="1064"/>
  <c r="Z197" i="1058"/>
  <c r="Z196" i="1058"/>
  <c r="Z198" i="1058"/>
  <c r="AA217" i="1060"/>
  <c r="AA206" i="1063"/>
  <c r="AA94" i="1063"/>
  <c r="W114" i="1058"/>
  <c r="W115" i="1058" s="1"/>
  <c r="W116" i="1058" s="1"/>
  <c r="W126" i="1058" s="1"/>
  <c r="D176" i="1058"/>
  <c r="B63" i="1058"/>
  <c r="Q167" i="1061"/>
  <c r="Q139" i="1061"/>
  <c r="P177" i="1063"/>
  <c r="AC20" i="1063"/>
  <c r="Q20" i="1063"/>
  <c r="P179" i="1059"/>
  <c r="Q174" i="1057"/>
  <c r="O198" i="1060"/>
  <c r="O197" i="1060"/>
  <c r="O196" i="1060"/>
  <c r="M112" i="1063"/>
  <c r="AB205" i="1060"/>
  <c r="AB93" i="1060"/>
  <c r="AA95" i="1060"/>
  <c r="AA207" i="1060"/>
  <c r="Q9" i="1060"/>
  <c r="AC9" i="1060"/>
  <c r="AC88" i="1060" s="1"/>
  <c r="AC109" i="1060" s="1"/>
  <c r="P88" i="1060" a="1"/>
  <c r="P88" i="1060" s="1"/>
  <c r="D176" i="1057"/>
  <c r="B63" i="1057"/>
  <c r="AB177" i="1060"/>
  <c r="AB63" i="1060"/>
  <c r="L122" i="1064"/>
  <c r="X120" i="1053"/>
  <c r="X119" i="1053"/>
  <c r="X122" i="1053" s="1"/>
  <c r="X127" i="1053"/>
  <c r="P212" i="1054"/>
  <c r="P100" i="1054"/>
  <c r="X120" i="1054"/>
  <c r="X119" i="1054"/>
  <c r="X127" i="1054"/>
  <c r="AA97" i="1054"/>
  <c r="AA209" i="1054"/>
  <c r="P95" i="1054"/>
  <c r="P207" i="1054"/>
  <c r="O141" i="1054"/>
  <c r="O148" i="1054" s="1"/>
  <c r="O145" i="1054"/>
  <c r="M119" i="1054"/>
  <c r="M122" i="1054" s="1"/>
  <c r="M120" i="1054"/>
  <c r="M128" i="1054"/>
  <c r="X119" i="1055"/>
  <c r="X120" i="1055"/>
  <c r="X127" i="1055"/>
  <c r="O203" i="1056"/>
  <c r="O91" i="1056"/>
  <c r="Y120" i="1056"/>
  <c r="Y128" i="1056"/>
  <c r="Y119" i="1056"/>
  <c r="AA203" i="1053"/>
  <c r="AA91" i="1053"/>
  <c r="O70" i="1056"/>
  <c r="N117" i="1050"/>
  <c r="M146" i="1051"/>
  <c r="Y144" i="1051"/>
  <c r="M89" i="1052"/>
  <c r="R130" i="1054" a="1"/>
  <c r="R130" i="1054" s="1"/>
  <c r="R164" i="1054" s="1"/>
  <c r="R129" i="1054"/>
  <c r="R163" i="1054" s="1"/>
  <c r="R125" i="1054"/>
  <c r="AF125" i="1054" s="1"/>
  <c r="R123" i="1054"/>
  <c r="R216" i="1054" a="1"/>
  <c r="R216" i="1054" s="1"/>
  <c r="R181" i="1054"/>
  <c r="R180" i="1054"/>
  <c r="AB175" i="1056"/>
  <c r="AB61" i="1056"/>
  <c r="Z203" i="1056"/>
  <c r="Z91" i="1056"/>
  <c r="P174" i="1056"/>
  <c r="Q17" i="1056"/>
  <c r="AC17" i="1056"/>
  <c r="AC12" i="1054"/>
  <c r="Q12" i="1054"/>
  <c r="P166" i="1054"/>
  <c r="P165" i="1054"/>
  <c r="AC14" i="1054"/>
  <c r="P171" i="1054"/>
  <c r="Q14" i="1054"/>
  <c r="Z209" i="1055"/>
  <c r="Z97" i="1055"/>
  <c r="O206" i="1053"/>
  <c r="O94" i="1053"/>
  <c r="O204" i="1053"/>
  <c r="O92" i="1053"/>
  <c r="AA210" i="1054"/>
  <c r="AA98" i="1054"/>
  <c r="AA139" i="1055"/>
  <c r="P212" i="1055"/>
  <c r="P100" i="1055"/>
  <c r="P205" i="1055"/>
  <c r="P93" i="1055"/>
  <c r="Z141" i="1056"/>
  <c r="AB165" i="1053"/>
  <c r="AB169" i="1053" s="1"/>
  <c r="AB166" i="1053"/>
  <c r="O211" i="1056"/>
  <c r="O99" i="1056"/>
  <c r="O140" i="1056"/>
  <c r="O212" i="1056"/>
  <c r="O100" i="1056"/>
  <c r="O209" i="1056"/>
  <c r="O97" i="1056"/>
  <c r="Q171" i="1053"/>
  <c r="AD14" i="1053"/>
  <c r="R14" i="1053"/>
  <c r="P179" i="1053"/>
  <c r="AA55" i="1054"/>
  <c r="AC15" i="1054"/>
  <c r="P172" i="1054"/>
  <c r="Q15" i="1054"/>
  <c r="AA206" i="1056"/>
  <c r="AA94" i="1056"/>
  <c r="AA211" i="1054"/>
  <c r="AA99" i="1054"/>
  <c r="M119" i="1053"/>
  <c r="M120" i="1053"/>
  <c r="M128" i="1053"/>
  <c r="L122" i="1056"/>
  <c r="Z111" i="1055"/>
  <c r="Z121" i="1055"/>
  <c r="M225" i="1055"/>
  <c r="M113" i="1055"/>
  <c r="M114" i="1055" s="1"/>
  <c r="M115" i="1055" s="1"/>
  <c r="M116" i="1055" s="1"/>
  <c r="M126" i="1055" s="1"/>
  <c r="P176" i="1055"/>
  <c r="AC19" i="1055"/>
  <c r="Q19" i="1055"/>
  <c r="AA214" i="1056"/>
  <c r="AA102" i="1056"/>
  <c r="AA71" i="1056"/>
  <c r="X127" i="1056"/>
  <c r="P175" i="1053"/>
  <c r="Q18" i="1053"/>
  <c r="AC18" i="1053"/>
  <c r="P173" i="1055"/>
  <c r="AC16" i="1055"/>
  <c r="Q16" i="1055"/>
  <c r="N147" i="1056"/>
  <c r="N145" i="1056"/>
  <c r="X144" i="1053"/>
  <c r="Z142" i="1056"/>
  <c r="Z143" i="1056" s="1"/>
  <c r="AA215" i="1054"/>
  <c r="AA103" i="1054"/>
  <c r="AA185" i="1054"/>
  <c r="AA184" i="1054"/>
  <c r="N117" i="1054"/>
  <c r="Z214" i="1054"/>
  <c r="Z102" i="1054"/>
  <c r="Z71" i="1054"/>
  <c r="Z70" i="1054"/>
  <c r="AA206" i="1055"/>
  <c r="AA94" i="1055"/>
  <c r="AA209" i="1053"/>
  <c r="AA97" i="1053"/>
  <c r="P214" i="1054"/>
  <c r="P102" i="1054"/>
  <c r="N112" i="1056"/>
  <c r="AA215" i="1056"/>
  <c r="AA103" i="1056"/>
  <c r="AA185" i="1056"/>
  <c r="AA184" i="1056"/>
  <c r="AC10" i="1056"/>
  <c r="P149" i="1056"/>
  <c r="N146" i="1054"/>
  <c r="AA205" i="1056"/>
  <c r="AA93" i="1056"/>
  <c r="AB174" i="1056"/>
  <c r="AB60" i="1056"/>
  <c r="AB165" i="1054"/>
  <c r="AB166" i="1054"/>
  <c r="AB172" i="1053"/>
  <c r="AB58" i="1053"/>
  <c r="AC166" i="1056"/>
  <c r="AC165" i="1056"/>
  <c r="O203" i="1053"/>
  <c r="O91" i="1053"/>
  <c r="O208" i="1053"/>
  <c r="O96" i="1053"/>
  <c r="AA203" i="1055"/>
  <c r="AA91" i="1055"/>
  <c r="M119" i="1056"/>
  <c r="M128" i="1056"/>
  <c r="M120" i="1056"/>
  <c r="Y145" i="1055"/>
  <c r="P209" i="1055"/>
  <c r="P97" i="1055"/>
  <c r="P125" i="1056"/>
  <c r="P129" i="1056"/>
  <c r="P163" i="1056" s="1"/>
  <c r="P130" i="1056" a="1"/>
  <c r="P130" i="1056" s="1"/>
  <c r="P164" i="1056" s="1"/>
  <c r="P123" i="1056"/>
  <c r="Q10" i="1056"/>
  <c r="P180" i="1056"/>
  <c r="P216" i="1056" a="1"/>
  <c r="P216" i="1056" s="1"/>
  <c r="P181" i="1056"/>
  <c r="AC12" i="1053"/>
  <c r="AC134" i="1053" s="1"/>
  <c r="Q12" i="1053"/>
  <c r="P165" i="1053"/>
  <c r="P169" i="1053" s="1"/>
  <c r="P166" i="1053"/>
  <c r="P176" i="1054"/>
  <c r="Q19" i="1054"/>
  <c r="AC19" i="1054"/>
  <c r="O204" i="1056"/>
  <c r="O92" i="1056"/>
  <c r="O214" i="1056"/>
  <c r="O102" i="1056"/>
  <c r="AD49" i="1056"/>
  <c r="R49" i="1056"/>
  <c r="AE49" i="1056" s="1"/>
  <c r="AC171" i="1053"/>
  <c r="AC57" i="1053"/>
  <c r="P133" i="1053"/>
  <c r="O203" i="1055"/>
  <c r="O91" i="1055"/>
  <c r="AB215" i="1055"/>
  <c r="AB103" i="1055"/>
  <c r="AB185" i="1055"/>
  <c r="AB184" i="1055"/>
  <c r="Z214" i="1055"/>
  <c r="Z102" i="1055"/>
  <c r="Z197" i="1055"/>
  <c r="Z196" i="1055"/>
  <c r="Z198" i="1055"/>
  <c r="R88" i="1053" a="1"/>
  <c r="R88" i="1053" s="1"/>
  <c r="AE9" i="1053"/>
  <c r="AE88" i="1053" s="1"/>
  <c r="AE109" i="1053" s="1"/>
  <c r="P172" i="1056"/>
  <c r="Q15" i="1056"/>
  <c r="AC15" i="1056"/>
  <c r="Y145" i="1054"/>
  <c r="Y147" i="1054" s="1"/>
  <c r="AA121" i="1056"/>
  <c r="AA111" i="1056"/>
  <c r="AD49" i="1055"/>
  <c r="R49" i="1055"/>
  <c r="AE49" i="1055" s="1"/>
  <c r="AB173" i="1055"/>
  <c r="AB59" i="1055"/>
  <c r="N141" i="1055"/>
  <c r="R125" i="1055"/>
  <c r="AF125" i="1055" s="1"/>
  <c r="R130" i="1055" a="1"/>
  <c r="R130" i="1055" s="1"/>
  <c r="R164" i="1055" s="1"/>
  <c r="R129" i="1055"/>
  <c r="R163" i="1055" s="1"/>
  <c r="R123" i="1055"/>
  <c r="R216" i="1055" a="1"/>
  <c r="R216" i="1055" s="1"/>
  <c r="R180" i="1055"/>
  <c r="R181" i="1055"/>
  <c r="D233" i="1053"/>
  <c r="B122" i="1053"/>
  <c r="O70" i="1054"/>
  <c r="O112" i="1054" s="1"/>
  <c r="AA207" i="1055"/>
  <c r="AA95" i="1055"/>
  <c r="P209" i="1054"/>
  <c r="P97" i="1054"/>
  <c r="P58" i="1054"/>
  <c r="Y112" i="1055"/>
  <c r="R11" i="1056"/>
  <c r="AD11" i="1056"/>
  <c r="Q104" i="1056"/>
  <c r="Q236" i="1056"/>
  <c r="D232" i="1056"/>
  <c r="B121" i="1056"/>
  <c r="N117" i="1056"/>
  <c r="Z89" i="1050"/>
  <c r="Q121" i="1054"/>
  <c r="Q111" i="1054"/>
  <c r="AA129" i="1055"/>
  <c r="AA163" i="1055" s="1"/>
  <c r="AA123" i="1055"/>
  <c r="AA130" i="1055"/>
  <c r="AA164" i="1055" s="1"/>
  <c r="AA53" i="1055"/>
  <c r="AA125" i="1055"/>
  <c r="AA69" i="1055"/>
  <c r="AA54" i="1055"/>
  <c r="AA216" i="1055"/>
  <c r="AA104" i="1055"/>
  <c r="AA180" i="1055"/>
  <c r="AA236" i="1055"/>
  <c r="AA181" i="1055"/>
  <c r="AA67" i="1055"/>
  <c r="AA66" i="1055"/>
  <c r="O141" i="1055"/>
  <c r="L147" i="1055"/>
  <c r="K122" i="1055"/>
  <c r="N225" i="1053"/>
  <c r="N113" i="1053"/>
  <c r="N114" i="1053" s="1"/>
  <c r="N115" i="1053" s="1"/>
  <c r="N116" i="1053" s="1"/>
  <c r="N126" i="1053" s="1"/>
  <c r="AA55" i="1056"/>
  <c r="P172" i="1053"/>
  <c r="Q15" i="1053"/>
  <c r="AC15" i="1053"/>
  <c r="P171" i="1056"/>
  <c r="Q14" i="1056"/>
  <c r="AC14" i="1056"/>
  <c r="R12" i="1056"/>
  <c r="AD12" i="1056"/>
  <c r="Q165" i="1056"/>
  <c r="Q166" i="1056"/>
  <c r="AD51" i="1055"/>
  <c r="R51" i="1055"/>
  <c r="AE51" i="1055" s="1"/>
  <c r="O213" i="1053"/>
  <c r="O101" i="1053"/>
  <c r="D176" i="1054"/>
  <c r="B63" i="1054"/>
  <c r="Y147" i="1056"/>
  <c r="AA167" i="1055"/>
  <c r="D176" i="1053"/>
  <c r="B63" i="1053"/>
  <c r="Q17" i="1054"/>
  <c r="P174" i="1054"/>
  <c r="AC17" i="1054"/>
  <c r="P71" i="1055"/>
  <c r="P214" i="1055"/>
  <c r="P102" i="1055"/>
  <c r="P202" i="1055"/>
  <c r="P90" i="1055"/>
  <c r="O197" i="1056"/>
  <c r="O196" i="1056"/>
  <c r="O198" i="1056"/>
  <c r="O208" i="1056"/>
  <c r="O96" i="1056"/>
  <c r="O206" i="1056"/>
  <c r="O94" i="1056"/>
  <c r="P167" i="1053"/>
  <c r="P176" i="1056"/>
  <c r="Q19" i="1056"/>
  <c r="AC19" i="1056"/>
  <c r="AD50" i="1055"/>
  <c r="R50" i="1055"/>
  <c r="AE50" i="1055" s="1"/>
  <c r="Y113" i="1054"/>
  <c r="Y225" i="1054" s="1"/>
  <c r="AC13" i="1055"/>
  <c r="AC56" i="1055" s="1"/>
  <c r="Q13" i="1055"/>
  <c r="Q56" i="1055" s="1"/>
  <c r="M219" i="1055"/>
  <c r="M106" i="1055"/>
  <c r="Q221" i="1053"/>
  <c r="Q109" i="1053"/>
  <c r="AB172" i="1056"/>
  <c r="AB58" i="1056"/>
  <c r="N219" i="1055"/>
  <c r="N106" i="1055"/>
  <c r="Y144" i="1053"/>
  <c r="Y145" i="1053"/>
  <c r="Y146" i="1053" s="1"/>
  <c r="Y148" i="1053"/>
  <c r="P171" i="1055"/>
  <c r="AC14" i="1055"/>
  <c r="Q14" i="1055"/>
  <c r="AB131" i="1054"/>
  <c r="AB169" i="1054"/>
  <c r="AB132" i="1054"/>
  <c r="AB134" i="1054"/>
  <c r="AB133" i="1054"/>
  <c r="Z70" i="1056"/>
  <c r="N219" i="1054"/>
  <c r="N106" i="1054"/>
  <c r="N110" i="1054" s="1"/>
  <c r="AB133" i="1053"/>
  <c r="AA60" i="1055"/>
  <c r="Z121" i="1054"/>
  <c r="Z111" i="1054"/>
  <c r="Z211" i="1055"/>
  <c r="Z99" i="1055"/>
  <c r="Z140" i="1055"/>
  <c r="P62" i="1054"/>
  <c r="AC11" i="1055"/>
  <c r="Q11" i="1055"/>
  <c r="P104" i="1055"/>
  <c r="P236" i="1055"/>
  <c r="Z212" i="1053"/>
  <c r="Z100" i="1053"/>
  <c r="Z71" i="1053"/>
  <c r="Z70" i="1053"/>
  <c r="AA207" i="1054"/>
  <c r="AA95" i="1054"/>
  <c r="Q196" i="1054"/>
  <c r="Q198" i="1054"/>
  <c r="Q197" i="1054"/>
  <c r="O215" i="1054"/>
  <c r="O103" i="1054"/>
  <c r="O185" i="1054"/>
  <c r="O184" i="1054"/>
  <c r="L144" i="1055"/>
  <c r="P182" i="1056"/>
  <c r="Q23" i="1056"/>
  <c r="AC23" i="1056"/>
  <c r="R88" i="1055" a="1"/>
  <c r="R88" i="1055" s="1"/>
  <c r="AE9" i="1055"/>
  <c r="AE88" i="1055" s="1"/>
  <c r="AE109" i="1055" s="1"/>
  <c r="AB171" i="1056"/>
  <c r="AB57" i="1056"/>
  <c r="AA208" i="1054"/>
  <c r="AA96" i="1054"/>
  <c r="AA206" i="1054"/>
  <c r="AA94" i="1054"/>
  <c r="O202" i="1053"/>
  <c r="O90" i="1053"/>
  <c r="O142" i="1053"/>
  <c r="O143" i="1053" s="1"/>
  <c r="O215" i="1053"/>
  <c r="O103" i="1053"/>
  <c r="O184" i="1053"/>
  <c r="O185" i="1053"/>
  <c r="AA63" i="1055"/>
  <c r="Z210" i="1055"/>
  <c r="Z98" i="1055"/>
  <c r="Q108" i="1055"/>
  <c r="Q66" i="1055"/>
  <c r="Q57" i="1055"/>
  <c r="Q69" i="1055"/>
  <c r="Q62" i="1055"/>
  <c r="Q67" i="1055"/>
  <c r="AD8" i="1055"/>
  <c r="Q59" i="1055"/>
  <c r="R8" i="1055"/>
  <c r="Q68" i="1055"/>
  <c r="Q54" i="1055"/>
  <c r="Q53" i="1055"/>
  <c r="P211" i="1055"/>
  <c r="P99" i="1055"/>
  <c r="P140" i="1055"/>
  <c r="O121" i="1056"/>
  <c r="O111" i="1056"/>
  <c r="Y114" i="1056"/>
  <c r="Y115" i="1056" s="1"/>
  <c r="Y116" i="1056" s="1"/>
  <c r="Y126" i="1056" s="1"/>
  <c r="P65" i="1056"/>
  <c r="P108" i="1056"/>
  <c r="P69" i="1056"/>
  <c r="P62" i="1056"/>
  <c r="P58" i="1056"/>
  <c r="P67" i="1056"/>
  <c r="P64" i="1056"/>
  <c r="P59" i="1056"/>
  <c r="P54" i="1056"/>
  <c r="P68" i="1056"/>
  <c r="P66" i="1056"/>
  <c r="P60" i="1056"/>
  <c r="P56" i="1056"/>
  <c r="Q8" i="1056"/>
  <c r="P57" i="1056"/>
  <c r="P63" i="1056"/>
  <c r="P53" i="1056"/>
  <c r="AC8" i="1056"/>
  <c r="P61" i="1056"/>
  <c r="O210" i="1056"/>
  <c r="O98" i="1056"/>
  <c r="AC12" i="1055"/>
  <c r="Q12" i="1055"/>
  <c r="P166" i="1055"/>
  <c r="P165" i="1055"/>
  <c r="M225" i="1056"/>
  <c r="M113" i="1056"/>
  <c r="P134" i="1053"/>
  <c r="AB176" i="1056"/>
  <c r="AB62" i="1056"/>
  <c r="AA215" i="1053"/>
  <c r="AA103" i="1053"/>
  <c r="AA184" i="1053"/>
  <c r="AA185" i="1053"/>
  <c r="W122" i="1054"/>
  <c r="M225" i="1054"/>
  <c r="M113" i="1054"/>
  <c r="M114" i="1054"/>
  <c r="AB204" i="1055"/>
  <c r="AB92" i="1055"/>
  <c r="M145" i="1055"/>
  <c r="M146" i="1055" s="1"/>
  <c r="M148" i="1055"/>
  <c r="AB171" i="1055"/>
  <c r="AB57" i="1055"/>
  <c r="AA196" i="1056"/>
  <c r="AA197" i="1056"/>
  <c r="AA198" i="1056"/>
  <c r="Q88" i="1056" a="1"/>
  <c r="Q88" i="1056" s="1"/>
  <c r="R9" i="1056"/>
  <c r="AD9" i="1056"/>
  <c r="AD88" i="1056" s="1"/>
  <c r="AD109" i="1056" s="1"/>
  <c r="AD51" i="1056"/>
  <c r="R51" i="1056"/>
  <c r="AE51" i="1056" s="1"/>
  <c r="Z203" i="1054"/>
  <c r="Z91" i="1054"/>
  <c r="AA205" i="1055"/>
  <c r="AA93" i="1055"/>
  <c r="AB59" i="1053"/>
  <c r="AB173" i="1053"/>
  <c r="L144" i="1054"/>
  <c r="AD49" i="1054"/>
  <c r="R49" i="1054"/>
  <c r="AE49" i="1054" s="1"/>
  <c r="AB131" i="1053"/>
  <c r="Q197" i="1055"/>
  <c r="Q196" i="1055"/>
  <c r="Q198" i="1055"/>
  <c r="AA174" i="1055"/>
  <c r="AA207" i="1053"/>
  <c r="AA95" i="1053"/>
  <c r="Z101" i="1054"/>
  <c r="Z213" i="1054"/>
  <c r="Z198" i="1054"/>
  <c r="Z196" i="1054"/>
  <c r="Z197" i="1054"/>
  <c r="Q57" i="1054"/>
  <c r="Q67" i="1054"/>
  <c r="Q54" i="1054"/>
  <c r="Q60" i="1054"/>
  <c r="Q66" i="1054"/>
  <c r="Q62" i="1054"/>
  <c r="Q58" i="1054"/>
  <c r="Q69" i="1054"/>
  <c r="R8" i="1054"/>
  <c r="Q53" i="1054"/>
  <c r="Q63" i="1054"/>
  <c r="AD8" i="1054"/>
  <c r="P103" i="1054"/>
  <c r="P215" i="1054"/>
  <c r="P185" i="1054"/>
  <c r="P184" i="1054"/>
  <c r="AB10" i="1055"/>
  <c r="O149" i="1055"/>
  <c r="Z208" i="1053"/>
  <c r="Z96" i="1053"/>
  <c r="R221" i="1054"/>
  <c r="R109" i="1054"/>
  <c r="AB182" i="1054"/>
  <c r="AB68" i="1054"/>
  <c r="AA125" i="1053"/>
  <c r="AA130" i="1053"/>
  <c r="AA164" i="1053" s="1"/>
  <c r="AA53" i="1053"/>
  <c r="AA129" i="1053"/>
  <c r="AA163" i="1053" s="1"/>
  <c r="AA123" i="1053"/>
  <c r="AA69" i="1053"/>
  <c r="AA54" i="1053"/>
  <c r="AA104" i="1053"/>
  <c r="AA216" i="1053"/>
  <c r="AA180" i="1053"/>
  <c r="AA174" i="1053"/>
  <c r="AA66" i="1053"/>
  <c r="AA60" i="1053"/>
  <c r="AA67" i="1053"/>
  <c r="AA181" i="1053"/>
  <c r="AA236" i="1053"/>
  <c r="AA178" i="1053"/>
  <c r="AA64" i="1053"/>
  <c r="AA139" i="1053"/>
  <c r="AA217" i="1053"/>
  <c r="AA65" i="1053"/>
  <c r="AA179" i="1053"/>
  <c r="AA176" i="1053"/>
  <c r="AA168" i="1053"/>
  <c r="AA62" i="1053"/>
  <c r="AA140" i="1053" s="1"/>
  <c r="AA167" i="1053"/>
  <c r="AA212" i="1054"/>
  <c r="AA100" i="1054"/>
  <c r="AB182" i="1056"/>
  <c r="AB68" i="1056"/>
  <c r="D176" i="1056"/>
  <c r="B63" i="1056"/>
  <c r="O210" i="1054"/>
  <c r="O98" i="1054"/>
  <c r="O205" i="1053"/>
  <c r="O93" i="1053"/>
  <c r="O71" i="1053"/>
  <c r="O70" i="1053"/>
  <c r="AA177" i="1055"/>
  <c r="AA65" i="1055"/>
  <c r="X119" i="1056"/>
  <c r="X120" i="1056"/>
  <c r="AB68" i="1053"/>
  <c r="AB182" i="1053"/>
  <c r="P177" i="1054"/>
  <c r="Q20" i="1054"/>
  <c r="AC20" i="1054"/>
  <c r="P208" i="1055"/>
  <c r="P96" i="1055"/>
  <c r="P206" i="1055"/>
  <c r="P94" i="1055"/>
  <c r="K122" i="1054"/>
  <c r="O213" i="1056"/>
  <c r="O101" i="1056"/>
  <c r="AB165" i="1055"/>
  <c r="AB166" i="1055"/>
  <c r="P177" i="1055"/>
  <c r="AC20" i="1055"/>
  <c r="Q20" i="1055"/>
  <c r="Q63" i="1055" s="1"/>
  <c r="X148" i="1056"/>
  <c r="AC22" i="1053"/>
  <c r="Q22" i="1053"/>
  <c r="AA212" i="1056"/>
  <c r="AA100" i="1056"/>
  <c r="AB204" i="1054"/>
  <c r="AB92" i="1054"/>
  <c r="O205" i="1055"/>
  <c r="O93" i="1055"/>
  <c r="X113" i="1056"/>
  <c r="X225" i="1056" s="1"/>
  <c r="X113" i="1055"/>
  <c r="X225" i="1055" s="1"/>
  <c r="Z142" i="1055"/>
  <c r="Z143" i="1055" s="1"/>
  <c r="Z202" i="1055"/>
  <c r="Z90" i="1055"/>
  <c r="D232" i="1054"/>
  <c r="B121" i="1054"/>
  <c r="P221" i="1056"/>
  <c r="P109" i="1056"/>
  <c r="N144" i="1054"/>
  <c r="P173" i="1053"/>
  <c r="Q16" i="1053"/>
  <c r="AC16" i="1053"/>
  <c r="L147" i="1054"/>
  <c r="AA130" i="1054"/>
  <c r="AA164" i="1054" s="1"/>
  <c r="AA54" i="1054"/>
  <c r="AA129" i="1054"/>
  <c r="AA163" i="1054" s="1"/>
  <c r="AA125" i="1054"/>
  <c r="AA69" i="1054"/>
  <c r="AA123" i="1054"/>
  <c r="AA53" i="1054"/>
  <c r="AA216" i="1054"/>
  <c r="AA104" i="1054"/>
  <c r="AA66" i="1054"/>
  <c r="AA67" i="1054"/>
  <c r="AA180" i="1054"/>
  <c r="AA181" i="1054"/>
  <c r="AA236" i="1054"/>
  <c r="X144" i="1054"/>
  <c r="AB130" i="1056"/>
  <c r="AB164" i="1056" s="1"/>
  <c r="AB125" i="1056"/>
  <c r="AB129" i="1056"/>
  <c r="AB163" i="1056" s="1"/>
  <c r="AB123" i="1056"/>
  <c r="AB54" i="1056"/>
  <c r="AB53" i="1056"/>
  <c r="AB69" i="1056"/>
  <c r="AB66" i="1056"/>
  <c r="AB236" i="1056"/>
  <c r="AB180" i="1056"/>
  <c r="AB67" i="1056"/>
  <c r="AB181" i="1056"/>
  <c r="AB216" i="1056"/>
  <c r="AB104" i="1056"/>
  <c r="P213" i="1054"/>
  <c r="P101" i="1054"/>
  <c r="P202" i="1054"/>
  <c r="P90" i="1054"/>
  <c r="Z121" i="1053"/>
  <c r="Z111" i="1053"/>
  <c r="Z112" i="1053" s="1"/>
  <c r="AA207" i="1056"/>
  <c r="AA95" i="1056"/>
  <c r="P182" i="1054"/>
  <c r="Q23" i="1054"/>
  <c r="Q68" i="1054" s="1"/>
  <c r="AC23" i="1054"/>
  <c r="N141" i="1053"/>
  <c r="AA208" i="1056"/>
  <c r="AA96" i="1056"/>
  <c r="AA211" i="1053"/>
  <c r="AA99" i="1053"/>
  <c r="K115" i="1055"/>
  <c r="K116" i="1055" s="1"/>
  <c r="AB173" i="1054"/>
  <c r="AB59" i="1054"/>
  <c r="P217" i="1056"/>
  <c r="P167" i="1056"/>
  <c r="P168" i="1056"/>
  <c r="P133" i="1056"/>
  <c r="P179" i="1056"/>
  <c r="P169" i="1056"/>
  <c r="P134" i="1056"/>
  <c r="P139" i="1056"/>
  <c r="P132" i="1056"/>
  <c r="P131" i="1056"/>
  <c r="P55" i="1056" s="1"/>
  <c r="AC4" i="1056"/>
  <c r="Q4" i="1056"/>
  <c r="Q221" i="1055"/>
  <c r="Q109" i="1055"/>
  <c r="O219" i="1055"/>
  <c r="O106" i="1055"/>
  <c r="O110" i="1055" s="1"/>
  <c r="O209" i="1054"/>
  <c r="O97" i="1054"/>
  <c r="R21" i="1053"/>
  <c r="AD21" i="1053"/>
  <c r="O212" i="1055"/>
  <c r="O100" i="1055"/>
  <c r="O210" i="1053"/>
  <c r="O98" i="1053"/>
  <c r="O209" i="1053"/>
  <c r="O97" i="1053"/>
  <c r="O207" i="1053"/>
  <c r="O95" i="1053"/>
  <c r="R22" i="1056"/>
  <c r="AE22" i="1056" s="1"/>
  <c r="AD22" i="1056"/>
  <c r="AB205" i="1053"/>
  <c r="AB93" i="1053"/>
  <c r="AA217" i="1055"/>
  <c r="Y146" i="1055"/>
  <c r="Y141" i="1055"/>
  <c r="Y148" i="1055" s="1"/>
  <c r="P182" i="1053"/>
  <c r="Q23" i="1053"/>
  <c r="AC23" i="1053"/>
  <c r="P204" i="1055"/>
  <c r="P92" i="1055"/>
  <c r="P210" i="1055"/>
  <c r="P98" i="1055"/>
  <c r="P215" i="1055"/>
  <c r="P103" i="1055"/>
  <c r="P185" i="1055"/>
  <c r="P184" i="1055"/>
  <c r="Z141" i="1054"/>
  <c r="O215" i="1056"/>
  <c r="O103" i="1056"/>
  <c r="O185" i="1056"/>
  <c r="O184" i="1056"/>
  <c r="L128" i="1054"/>
  <c r="L120" i="1054"/>
  <c r="L119" i="1054"/>
  <c r="O197" i="1053"/>
  <c r="O198" i="1053"/>
  <c r="O196" i="1053"/>
  <c r="AB177" i="1055"/>
  <c r="AB63" i="1055"/>
  <c r="P132" i="1053"/>
  <c r="P217" i="1055"/>
  <c r="P179" i="1055"/>
  <c r="P169" i="1055"/>
  <c r="P133" i="1055"/>
  <c r="P132" i="1055"/>
  <c r="P167" i="1055"/>
  <c r="P131" i="1055"/>
  <c r="P168" i="1055"/>
  <c r="P139" i="1055"/>
  <c r="P134" i="1055"/>
  <c r="Q4" i="1055"/>
  <c r="AC4" i="1055"/>
  <c r="G126" i="1056"/>
  <c r="AC13" i="1054"/>
  <c r="AC56" i="1054" s="1"/>
  <c r="Q13" i="1054"/>
  <c r="Z213" i="1055"/>
  <c r="Z101" i="1055"/>
  <c r="Z71" i="1055"/>
  <c r="Z70" i="1055"/>
  <c r="Z117" i="1055" s="1"/>
  <c r="M110" i="1055"/>
  <c r="AC22" i="1055"/>
  <c r="Q22" i="1055"/>
  <c r="Y219" i="1055"/>
  <c r="Y106" i="1055"/>
  <c r="Y110" i="1055" s="1"/>
  <c r="L120" i="1055"/>
  <c r="L128" i="1055"/>
  <c r="L119" i="1055"/>
  <c r="P178" i="1055"/>
  <c r="AC21" i="1055"/>
  <c r="Q21" i="1055"/>
  <c r="Q64" i="1055" s="1"/>
  <c r="N219" i="1053"/>
  <c r="N106" i="1053"/>
  <c r="N110" i="1053" s="1"/>
  <c r="B122" i="1055"/>
  <c r="D233" i="1055"/>
  <c r="X148" i="1054"/>
  <c r="P217" i="1054"/>
  <c r="P167" i="1054"/>
  <c r="P134" i="1054"/>
  <c r="P169" i="1054"/>
  <c r="P168" i="1054"/>
  <c r="P139" i="1054"/>
  <c r="P132" i="1054"/>
  <c r="P179" i="1054"/>
  <c r="Q4" i="1054"/>
  <c r="P133" i="1054"/>
  <c r="AC4" i="1054"/>
  <c r="P131" i="1054"/>
  <c r="P55" i="1054" s="1"/>
  <c r="O203" i="1054"/>
  <c r="O91" i="1054"/>
  <c r="AC51" i="1053"/>
  <c r="Q51" i="1053"/>
  <c r="P174" i="1055"/>
  <c r="AC17" i="1055"/>
  <c r="Q17" i="1055"/>
  <c r="P172" i="1055"/>
  <c r="AC15" i="1055"/>
  <c r="Q15" i="1055"/>
  <c r="Q58" i="1055" s="1"/>
  <c r="AB134" i="1053"/>
  <c r="Q121" i="1055"/>
  <c r="Q111" i="1055"/>
  <c r="Z117" i="1056"/>
  <c r="P175" i="1055"/>
  <c r="AC18" i="1055"/>
  <c r="Q18" i="1055"/>
  <c r="Q61" i="1055" s="1"/>
  <c r="L225" i="1055"/>
  <c r="L113" i="1055"/>
  <c r="L114" i="1055" s="1"/>
  <c r="Y146" i="1054"/>
  <c r="Y141" i="1054"/>
  <c r="Y148" i="1054" s="1"/>
  <c r="Z211" i="1053"/>
  <c r="Z99" i="1053"/>
  <c r="Z140" i="1053"/>
  <c r="AC204" i="1056"/>
  <c r="AC92" i="1056"/>
  <c r="P71" i="1054"/>
  <c r="P56" i="1054"/>
  <c r="P63" i="1054"/>
  <c r="AA209" i="1056"/>
  <c r="AA97" i="1056"/>
  <c r="Z214" i="1053"/>
  <c r="Z102" i="1053"/>
  <c r="Z197" i="1053"/>
  <c r="Z198" i="1053"/>
  <c r="Z196" i="1053"/>
  <c r="Z112" i="1050"/>
  <c r="Y89" i="1052"/>
  <c r="R19" i="1053"/>
  <c r="AD19" i="1053"/>
  <c r="P173" i="1056"/>
  <c r="Q16" i="1056"/>
  <c r="AC16" i="1056"/>
  <c r="P173" i="1054"/>
  <c r="AC16" i="1054"/>
  <c r="Q16" i="1054"/>
  <c r="Q59" i="1054" s="1"/>
  <c r="AB217" i="1056"/>
  <c r="AB179" i="1056"/>
  <c r="AB168" i="1056"/>
  <c r="AB167" i="1056"/>
  <c r="AB169" i="1056"/>
  <c r="AB139" i="1056"/>
  <c r="AB134" i="1056"/>
  <c r="AB131" i="1056"/>
  <c r="AB133" i="1056"/>
  <c r="AB132" i="1056"/>
  <c r="AB65" i="1056"/>
  <c r="X114" i="1054"/>
  <c r="X115" i="1054" s="1"/>
  <c r="X116" i="1054" s="1"/>
  <c r="X126" i="1054" s="1"/>
  <c r="D176" i="1055"/>
  <c r="B63" i="1055"/>
  <c r="P64" i="1053"/>
  <c r="P59" i="1053"/>
  <c r="P54" i="1053"/>
  <c r="P68" i="1053"/>
  <c r="AC8" i="1053"/>
  <c r="P66" i="1053"/>
  <c r="P60" i="1053"/>
  <c r="P56" i="1053"/>
  <c r="P63" i="1053"/>
  <c r="P53" i="1053"/>
  <c r="P108" i="1053"/>
  <c r="P65" i="1053"/>
  <c r="P55" i="1053"/>
  <c r="P67" i="1053"/>
  <c r="P61" i="1053"/>
  <c r="P58" i="1053"/>
  <c r="P57" i="1053"/>
  <c r="Q8" i="1053"/>
  <c r="P62" i="1053"/>
  <c r="P69" i="1053"/>
  <c r="O212" i="1053"/>
  <c r="O100" i="1053"/>
  <c r="AA168" i="1055"/>
  <c r="AA206" i="1053"/>
  <c r="AA94" i="1053"/>
  <c r="Z112" i="1056"/>
  <c r="AA210" i="1056"/>
  <c r="AA98" i="1056"/>
  <c r="P213" i="1055"/>
  <c r="P101" i="1055"/>
  <c r="AC49" i="1053"/>
  <c r="Q49" i="1053"/>
  <c r="O71" i="1056"/>
  <c r="O117" i="1056" s="1"/>
  <c r="O121" i="1053"/>
  <c r="O111" i="1053"/>
  <c r="O112" i="1053" s="1"/>
  <c r="P131" i="1053"/>
  <c r="AB217" i="1055"/>
  <c r="AB169" i="1055"/>
  <c r="AB133" i="1055"/>
  <c r="AB168" i="1055"/>
  <c r="AB179" i="1055"/>
  <c r="AB132" i="1055"/>
  <c r="AB131" i="1055"/>
  <c r="AB167" i="1055"/>
  <c r="AB139" i="1055"/>
  <c r="AB134" i="1055"/>
  <c r="AB65" i="1055"/>
  <c r="X144" i="1056"/>
  <c r="G126" i="1054"/>
  <c r="AA64" i="1055"/>
  <c r="P178" i="1056"/>
  <c r="Q21" i="1056"/>
  <c r="AC21" i="1056"/>
  <c r="AA211" i="1056"/>
  <c r="AA99" i="1056"/>
  <c r="AA140" i="1056"/>
  <c r="AB178" i="1055"/>
  <c r="AB64" i="1055"/>
  <c r="Q182" i="1055"/>
  <c r="AD23" i="1055"/>
  <c r="R23" i="1055"/>
  <c r="P177" i="1056"/>
  <c r="Q20" i="1056"/>
  <c r="AC20" i="1056"/>
  <c r="AB174" i="1055"/>
  <c r="AB60" i="1055"/>
  <c r="X147" i="1053"/>
  <c r="X148" i="1053" s="1"/>
  <c r="AB172" i="1055"/>
  <c r="AB58" i="1055"/>
  <c r="AB132" i="1053"/>
  <c r="Z89" i="1056"/>
  <c r="O112" i="1055"/>
  <c r="AB175" i="1055"/>
  <c r="AB61" i="1055"/>
  <c r="AB10" i="1053"/>
  <c r="AB177" i="1053" s="1"/>
  <c r="O149" i="1053"/>
  <c r="N203" i="1055"/>
  <c r="N91" i="1055"/>
  <c r="N117" i="1055"/>
  <c r="N112" i="1055"/>
  <c r="N142" i="1055"/>
  <c r="N143" i="1055" s="1"/>
  <c r="N89" i="1055"/>
  <c r="P104" i="1054"/>
  <c r="AC11" i="1054"/>
  <c r="Q11" i="1054"/>
  <c r="P236" i="1054"/>
  <c r="R13" i="1056"/>
  <c r="AE13" i="1056" s="1"/>
  <c r="AE56" i="1056" s="1"/>
  <c r="AD13" i="1056"/>
  <c r="AD56" i="1056" s="1"/>
  <c r="P60" i="1054"/>
  <c r="P108" i="1054"/>
  <c r="AA61" i="1055"/>
  <c r="Z210" i="1053"/>
  <c r="Z98" i="1053"/>
  <c r="Z213" i="1053"/>
  <c r="Z101" i="1053"/>
  <c r="Z202" i="1053"/>
  <c r="Z90" i="1053"/>
  <c r="Z142" i="1053"/>
  <c r="Z143" i="1053" s="1"/>
  <c r="Z89" i="1053"/>
  <c r="Z117" i="1053"/>
  <c r="AD13" i="1053"/>
  <c r="AD56" i="1053" s="1"/>
  <c r="R13" i="1053"/>
  <c r="AE13" i="1053" s="1"/>
  <c r="AE56" i="1053" s="1"/>
  <c r="AA205" i="1054"/>
  <c r="AA93" i="1054"/>
  <c r="Z203" i="1055"/>
  <c r="Z91" i="1055"/>
  <c r="P175" i="1056"/>
  <c r="Q18" i="1056"/>
  <c r="AC18" i="1056"/>
  <c r="AB173" i="1056"/>
  <c r="AB59" i="1056"/>
  <c r="N148" i="1053"/>
  <c r="N145" i="1053"/>
  <c r="N147" i="1053" s="1"/>
  <c r="AC50" i="1053"/>
  <c r="Q50" i="1053"/>
  <c r="AB171" i="1054"/>
  <c r="AB57" i="1054"/>
  <c r="P178" i="1054"/>
  <c r="Q21" i="1054"/>
  <c r="AC21" i="1054"/>
  <c r="O147" i="1055"/>
  <c r="O145" i="1055"/>
  <c r="O146" i="1055" s="1"/>
  <c r="O148" i="1055"/>
  <c r="Y219" i="1053"/>
  <c r="Y106" i="1053"/>
  <c r="Y110" i="1053" s="1"/>
  <c r="O99" i="1053"/>
  <c r="O211" i="1053"/>
  <c r="O140" i="1053"/>
  <c r="O214" i="1053"/>
  <c r="O102" i="1053"/>
  <c r="Z209" i="1053"/>
  <c r="Z97" i="1053"/>
  <c r="AA179" i="1055"/>
  <c r="O207" i="1055"/>
  <c r="O95" i="1055"/>
  <c r="P207" i="1055"/>
  <c r="P95" i="1055"/>
  <c r="S127" i="1054"/>
  <c r="AF127" i="1054"/>
  <c r="O202" i="1056"/>
  <c r="O142" i="1056"/>
  <c r="O143" i="1056" s="1"/>
  <c r="O90" i="1056"/>
  <c r="O207" i="1056"/>
  <c r="O95" i="1056"/>
  <c r="O205" i="1056"/>
  <c r="O93" i="1056"/>
  <c r="P125" i="1053"/>
  <c r="P130" i="1053" a="1"/>
  <c r="P130" i="1053" s="1"/>
  <c r="P164" i="1053" s="1"/>
  <c r="P123" i="1053"/>
  <c r="Q10" i="1053"/>
  <c r="Q168" i="1053" s="1"/>
  <c r="P129" i="1053"/>
  <c r="P163" i="1053" s="1"/>
  <c r="P181" i="1053"/>
  <c r="P216" i="1053" a="1"/>
  <c r="P216" i="1053" s="1"/>
  <c r="P180" i="1053"/>
  <c r="P174" i="1053"/>
  <c r="Q179" i="1053"/>
  <c r="Q132" i="1053"/>
  <c r="Q139" i="1053"/>
  <c r="R4" i="1053"/>
  <c r="Q134" i="1053"/>
  <c r="Q131" i="1053"/>
  <c r="Q133" i="1053"/>
  <c r="AD4" i="1053"/>
  <c r="P168" i="1053"/>
  <c r="AB58" i="1054"/>
  <c r="AB172" i="1054"/>
  <c r="AA178" i="1055"/>
  <c r="AB178" i="1056"/>
  <c r="AB64" i="1056"/>
  <c r="Y117" i="1053"/>
  <c r="N146" i="1056"/>
  <c r="N141" i="1056"/>
  <c r="N148" i="1056" s="1"/>
  <c r="AC182" i="1055"/>
  <c r="AC68" i="1055"/>
  <c r="AA213" i="1056"/>
  <c r="AA101" i="1056"/>
  <c r="AA202" i="1056"/>
  <c r="AA142" i="1056"/>
  <c r="AA143" i="1056" s="1"/>
  <c r="AA90" i="1056"/>
  <c r="AB175" i="1053"/>
  <c r="AB61" i="1053"/>
  <c r="AA62" i="1055"/>
  <c r="AB177" i="1056"/>
  <c r="AB63" i="1056"/>
  <c r="Y112" i="1053"/>
  <c r="N110" i="1056"/>
  <c r="L115" i="1053"/>
  <c r="L116" i="1053" s="1"/>
  <c r="P104" i="1053"/>
  <c r="AC11" i="1053"/>
  <c r="Q11" i="1053"/>
  <c r="P236" i="1053"/>
  <c r="Y219" i="1054"/>
  <c r="Y106" i="1054"/>
  <c r="Y110" i="1054" s="1"/>
  <c r="Z202" i="1054"/>
  <c r="Z90" i="1054"/>
  <c r="Z142" i="1054"/>
  <c r="Z143" i="1054" s="1"/>
  <c r="Z89" i="1054"/>
  <c r="Z117" i="1054"/>
  <c r="N112" i="1054"/>
  <c r="AB10" i="1054"/>
  <c r="AB61" i="1054" s="1"/>
  <c r="O149" i="1054"/>
  <c r="P177" i="1053"/>
  <c r="Q20" i="1053"/>
  <c r="AC20" i="1053"/>
  <c r="P57" i="1054"/>
  <c r="AA175" i="1055"/>
  <c r="AD50" i="1056"/>
  <c r="R50" i="1056"/>
  <c r="AE50" i="1056" s="1"/>
  <c r="P175" i="1054"/>
  <c r="Q18" i="1054"/>
  <c r="Q61" i="1054" s="1"/>
  <c r="AC18" i="1054"/>
  <c r="AC204" i="1053"/>
  <c r="AC92" i="1053"/>
  <c r="P215" i="1052"/>
  <c r="P103" i="1052"/>
  <c r="P185" i="1052"/>
  <c r="P184" i="1052"/>
  <c r="AA208" i="1052"/>
  <c r="AA96" i="1052"/>
  <c r="M128" i="1051"/>
  <c r="M120" i="1051"/>
  <c r="M119" i="1051"/>
  <c r="M122" i="1051" s="1"/>
  <c r="X120" i="1052"/>
  <c r="X119" i="1052"/>
  <c r="X127" i="1052"/>
  <c r="Y219" i="1052"/>
  <c r="Y106" i="1052"/>
  <c r="P202" i="1052"/>
  <c r="P90" i="1052"/>
  <c r="P214" i="1052"/>
  <c r="P102" i="1052"/>
  <c r="AB129" i="1051"/>
  <c r="AB163" i="1051" s="1"/>
  <c r="AB123" i="1051"/>
  <c r="AB69" i="1051"/>
  <c r="AB130" i="1051"/>
  <c r="AB164" i="1051" s="1"/>
  <c r="AB125" i="1051"/>
  <c r="AB54" i="1051"/>
  <c r="AB53" i="1051"/>
  <c r="AB181" i="1051"/>
  <c r="AB67" i="1051"/>
  <c r="AB216" i="1051"/>
  <c r="AB104" i="1051"/>
  <c r="AB66" i="1051"/>
  <c r="AB236" i="1051"/>
  <c r="AB180" i="1051"/>
  <c r="AB217" i="1051"/>
  <c r="AB139" i="1051"/>
  <c r="AB179" i="1051"/>
  <c r="AB168" i="1051"/>
  <c r="AB65" i="1051"/>
  <c r="AB167" i="1051"/>
  <c r="Z197" i="1052"/>
  <c r="Z196" i="1052"/>
  <c r="Z198" i="1052"/>
  <c r="X146" i="1052"/>
  <c r="X148" i="1052" s="1"/>
  <c r="R88" i="1052" a="1"/>
  <c r="R88" i="1052" s="1"/>
  <c r="AE9" i="1052"/>
  <c r="AE88" i="1052" s="1"/>
  <c r="AE109" i="1052" s="1"/>
  <c r="AB172" i="1052"/>
  <c r="AB58" i="1052"/>
  <c r="X144" i="1052"/>
  <c r="AA217" i="1052"/>
  <c r="N145" i="1051"/>
  <c r="N146" i="1051" s="1"/>
  <c r="AA213" i="1051"/>
  <c r="AA101" i="1051"/>
  <c r="AA71" i="1051"/>
  <c r="P178" i="1052"/>
  <c r="AC21" i="1052"/>
  <c r="Q21" i="1052"/>
  <c r="O71" i="1051"/>
  <c r="O117" i="1051" s="1"/>
  <c r="O209" i="1051"/>
  <c r="O97" i="1051"/>
  <c r="P88" i="1051" a="1"/>
  <c r="P88" i="1051" s="1"/>
  <c r="AC9" i="1051"/>
  <c r="AC88" i="1051" s="1"/>
  <c r="AC109" i="1051" s="1"/>
  <c r="Q9" i="1051"/>
  <c r="Z203" i="1051"/>
  <c r="Z91" i="1051"/>
  <c r="AB61" i="1051"/>
  <c r="Q111" i="1052"/>
  <c r="Q121" i="1052"/>
  <c r="AD18" i="1051"/>
  <c r="R18" i="1051"/>
  <c r="W114" i="1050"/>
  <c r="W115" i="1050" s="1"/>
  <c r="W116" i="1050" s="1"/>
  <c r="W126" i="1050" s="1"/>
  <c r="W122" i="1050"/>
  <c r="P71" i="1052"/>
  <c r="Y120" i="1051"/>
  <c r="Y119" i="1051"/>
  <c r="Y128" i="1051"/>
  <c r="AB210" i="1051"/>
  <c r="AB98" i="1051"/>
  <c r="X113" i="1052"/>
  <c r="X225" i="1052" s="1"/>
  <c r="D232" i="1051"/>
  <c r="B121" i="1051"/>
  <c r="Z213" i="1052"/>
  <c r="Z101" i="1052"/>
  <c r="AD19" i="1051"/>
  <c r="R19" i="1051"/>
  <c r="O203" i="1052"/>
  <c r="O91" i="1052"/>
  <c r="N141" i="1051"/>
  <c r="N148" i="1051" s="1"/>
  <c r="Q221" i="1052"/>
  <c r="Q109" i="1052"/>
  <c r="AA214" i="1051"/>
  <c r="AA102" i="1051"/>
  <c r="Q182" i="1051"/>
  <c r="AD23" i="1051"/>
  <c r="R23" i="1051"/>
  <c r="O206" i="1051"/>
  <c r="O94" i="1051"/>
  <c r="O202" i="1051"/>
  <c r="O142" i="1051"/>
  <c r="O143" i="1051" s="1"/>
  <c r="O90" i="1051"/>
  <c r="O213" i="1051"/>
  <c r="O101" i="1051"/>
  <c r="O221" i="1051"/>
  <c r="O109" i="1051"/>
  <c r="O70" i="1051"/>
  <c r="AB175" i="1051"/>
  <c r="AD20" i="1051"/>
  <c r="R20" i="1051"/>
  <c r="Q197" i="1052"/>
  <c r="Q198" i="1052"/>
  <c r="Q196" i="1052"/>
  <c r="O121" i="1051"/>
  <c r="O111" i="1051"/>
  <c r="P175" i="1052"/>
  <c r="AC18" i="1052"/>
  <c r="Q18" i="1052"/>
  <c r="Q61" i="1052" s="1"/>
  <c r="AA215" i="1052"/>
  <c r="AA103" i="1052"/>
  <c r="AA185" i="1052"/>
  <c r="AA184" i="1052"/>
  <c r="AA211" i="1052"/>
  <c r="AA99" i="1052"/>
  <c r="Q67" i="1052"/>
  <c r="Q69" i="1052"/>
  <c r="Q54" i="1052"/>
  <c r="Q66" i="1052"/>
  <c r="Q64" i="1052"/>
  <c r="R8" i="1052"/>
  <c r="Q53" i="1052"/>
  <c r="AD8" i="1052"/>
  <c r="P205" i="1052"/>
  <c r="P93" i="1052"/>
  <c r="AA130" i="1052"/>
  <c r="AA164" i="1052" s="1"/>
  <c r="AA125" i="1052"/>
  <c r="AA129" i="1052"/>
  <c r="AA163" i="1052" s="1"/>
  <c r="AA123" i="1052"/>
  <c r="AA69" i="1052"/>
  <c r="AA53" i="1052"/>
  <c r="AA54" i="1052"/>
  <c r="AA216" i="1052"/>
  <c r="AA104" i="1052"/>
  <c r="AA181" i="1052"/>
  <c r="AA180" i="1052"/>
  <c r="AA66" i="1052"/>
  <c r="AA67" i="1052"/>
  <c r="AA236" i="1052"/>
  <c r="Z111" i="1052"/>
  <c r="Z121" i="1052"/>
  <c r="D232" i="1052"/>
  <c r="B121" i="1052"/>
  <c r="AA208" i="1051"/>
  <c r="AA96" i="1051"/>
  <c r="O142" i="1052"/>
  <c r="O143" i="1052" s="1"/>
  <c r="L128" i="1052"/>
  <c r="L120" i="1052"/>
  <c r="L119" i="1052"/>
  <c r="AB215" i="1051"/>
  <c r="AB103" i="1051"/>
  <c r="AB185" i="1051"/>
  <c r="AB184" i="1051"/>
  <c r="AA196" i="1051"/>
  <c r="AA198" i="1051"/>
  <c r="AA197" i="1051"/>
  <c r="D176" i="1052"/>
  <c r="B63" i="1052"/>
  <c r="AC182" i="1051"/>
  <c r="AC68" i="1051"/>
  <c r="O210" i="1051"/>
  <c r="O98" i="1051"/>
  <c r="O211" i="1051"/>
  <c r="O99" i="1051"/>
  <c r="O140" i="1051"/>
  <c r="AA212" i="1051"/>
  <c r="AA100" i="1051"/>
  <c r="O198" i="1051"/>
  <c r="O197" i="1051"/>
  <c r="O196" i="1051"/>
  <c r="P171" i="1052"/>
  <c r="AC14" i="1052"/>
  <c r="Q14" i="1052"/>
  <c r="Q57" i="1052" s="1"/>
  <c r="M148" i="1052"/>
  <c r="M145" i="1052"/>
  <c r="M146" i="1052" s="1"/>
  <c r="P182" i="1052"/>
  <c r="AC23" i="1052"/>
  <c r="Q23" i="1052"/>
  <c r="Q68" i="1052" s="1"/>
  <c r="AD17" i="1051"/>
  <c r="R17" i="1051"/>
  <c r="P207" i="1052"/>
  <c r="P95" i="1052"/>
  <c r="P208" i="1052"/>
  <c r="P96" i="1052"/>
  <c r="AC13" i="1052"/>
  <c r="AC56" i="1052" s="1"/>
  <c r="Q13" i="1052"/>
  <c r="P174" i="1052"/>
  <c r="AC17" i="1052"/>
  <c r="Q17" i="1052"/>
  <c r="Q60" i="1052" s="1"/>
  <c r="P172" i="1051"/>
  <c r="AC15" i="1051"/>
  <c r="Q15" i="1051"/>
  <c r="AA121" i="1051"/>
  <c r="AA111" i="1051"/>
  <c r="AA205" i="1051"/>
  <c r="AA93" i="1051"/>
  <c r="O203" i="1051"/>
  <c r="O91" i="1051"/>
  <c r="O204" i="1051"/>
  <c r="O92" i="1051"/>
  <c r="AB63" i="1051"/>
  <c r="G126" i="1051"/>
  <c r="AA205" i="1052"/>
  <c r="AA93" i="1052"/>
  <c r="AB64" i="1051"/>
  <c r="Z117" i="1051"/>
  <c r="AB171" i="1052"/>
  <c r="AB57" i="1052"/>
  <c r="W122" i="1051"/>
  <c r="Y110" i="1050"/>
  <c r="Y120" i="1050" s="1"/>
  <c r="Y141" i="1052"/>
  <c r="Y148" i="1052" s="1"/>
  <c r="G126" i="1052"/>
  <c r="AB182" i="1052"/>
  <c r="AB68" i="1052"/>
  <c r="P211" i="1052"/>
  <c r="P99" i="1052"/>
  <c r="P209" i="1052"/>
  <c r="P97" i="1052"/>
  <c r="AB204" i="1052"/>
  <c r="AB92" i="1052"/>
  <c r="P177" i="1052"/>
  <c r="AC20" i="1052"/>
  <c r="Q20" i="1052"/>
  <c r="Q63" i="1052" s="1"/>
  <c r="Y117" i="1052"/>
  <c r="AC11" i="1052"/>
  <c r="Q11" i="1052"/>
  <c r="P236" i="1052"/>
  <c r="P104" i="1052"/>
  <c r="Z202" i="1052"/>
  <c r="Z142" i="1052"/>
  <c r="Z143" i="1052" s="1"/>
  <c r="Z90" i="1052"/>
  <c r="AB172" i="1051"/>
  <c r="AB58" i="1051"/>
  <c r="AA211" i="1051"/>
  <c r="AA99" i="1051"/>
  <c r="AA140" i="1051"/>
  <c r="AB134" i="1052"/>
  <c r="AB132" i="1052"/>
  <c r="AB133" i="1052"/>
  <c r="AB131" i="1052"/>
  <c r="Z203" i="1052"/>
  <c r="Z91" i="1052"/>
  <c r="N141" i="1052"/>
  <c r="AC13" i="1051"/>
  <c r="AC56" i="1051" s="1"/>
  <c r="Q13" i="1051"/>
  <c r="Z112" i="1051"/>
  <c r="AA64" i="1052"/>
  <c r="AA139" i="1052"/>
  <c r="M225" i="1051"/>
  <c r="M113" i="1051"/>
  <c r="AC12" i="1052"/>
  <c r="Q12" i="1052"/>
  <c r="P166" i="1052"/>
  <c r="P165" i="1052"/>
  <c r="P169" i="1052" s="1"/>
  <c r="O208" i="1051"/>
  <c r="O96" i="1051"/>
  <c r="Z141" i="1051"/>
  <c r="AB177" i="1051"/>
  <c r="AD22" i="1051"/>
  <c r="R22" i="1051"/>
  <c r="AE22" i="1051" s="1"/>
  <c r="P171" i="1051"/>
  <c r="AC14" i="1051"/>
  <c r="Q14" i="1051"/>
  <c r="AA209" i="1051"/>
  <c r="AA97" i="1051"/>
  <c r="Z140" i="1052"/>
  <c r="AB178" i="1051"/>
  <c r="P176" i="1052"/>
  <c r="AC19" i="1052"/>
  <c r="Q19" i="1052"/>
  <c r="Q62" i="1052" s="1"/>
  <c r="L122" i="1050"/>
  <c r="AC49" i="1051"/>
  <c r="Q49" i="1051"/>
  <c r="P212" i="1052"/>
  <c r="P100" i="1052"/>
  <c r="P206" i="1052"/>
  <c r="P94" i="1052"/>
  <c r="AA206" i="1051"/>
  <c r="AA94" i="1051"/>
  <c r="AB10" i="1052"/>
  <c r="AB167" i="1052" s="1"/>
  <c r="O149" i="1052"/>
  <c r="Z214" i="1052"/>
  <c r="Z102" i="1052"/>
  <c r="P217" i="1052"/>
  <c r="P179" i="1052"/>
  <c r="P168" i="1052"/>
  <c r="P132" i="1052"/>
  <c r="P139" i="1052"/>
  <c r="P167" i="1052"/>
  <c r="P131" i="1052"/>
  <c r="P134" i="1052"/>
  <c r="P133" i="1052"/>
  <c r="Q4" i="1052"/>
  <c r="AC4" i="1052"/>
  <c r="AD11" i="1051"/>
  <c r="R11" i="1051"/>
  <c r="Q236" i="1051"/>
  <c r="Q104" i="1051"/>
  <c r="AB207" i="1051"/>
  <c r="AB95" i="1051"/>
  <c r="AB204" i="1051"/>
  <c r="AB92" i="1051"/>
  <c r="AA178" i="1052"/>
  <c r="AA55" i="1052"/>
  <c r="Q173" i="1051"/>
  <c r="AD16" i="1051"/>
  <c r="R16" i="1051"/>
  <c r="AB166" i="1052"/>
  <c r="AB165" i="1052"/>
  <c r="AB169" i="1052" s="1"/>
  <c r="O214" i="1051"/>
  <c r="O102" i="1051"/>
  <c r="O215" i="1051"/>
  <c r="O103" i="1051"/>
  <c r="O185" i="1051"/>
  <c r="O184" i="1051"/>
  <c r="AB171" i="1051"/>
  <c r="AB57" i="1051"/>
  <c r="AA62" i="1052"/>
  <c r="M144" i="1051"/>
  <c r="Y114" i="1051"/>
  <c r="Y115" i="1051" s="1"/>
  <c r="Y116" i="1051" s="1"/>
  <c r="Y126" i="1051" s="1"/>
  <c r="Z89" i="1051"/>
  <c r="AB60" i="1051"/>
  <c r="M219" i="1052"/>
  <c r="M106" i="1052"/>
  <c r="M110" i="1052" s="1"/>
  <c r="AB62" i="1052"/>
  <c r="L122" i="1051"/>
  <c r="AD21" i="1051"/>
  <c r="R21" i="1051"/>
  <c r="P173" i="1052"/>
  <c r="AC16" i="1052"/>
  <c r="Q16" i="1052"/>
  <c r="Q59" i="1052" s="1"/>
  <c r="P210" i="1052"/>
  <c r="P98" i="1052"/>
  <c r="Y110" i="1052"/>
  <c r="Z71" i="1052"/>
  <c r="Z70" i="1052"/>
  <c r="AC10" i="1051"/>
  <c r="AC174" i="1051" s="1"/>
  <c r="P149" i="1051"/>
  <c r="N225" i="1051"/>
  <c r="N113" i="1051"/>
  <c r="N114" i="1051" s="1"/>
  <c r="N115" i="1051" s="1"/>
  <c r="N116" i="1051" s="1"/>
  <c r="AA65" i="1052"/>
  <c r="AA179" i="1052"/>
  <c r="O141" i="1052"/>
  <c r="AC173" i="1051"/>
  <c r="AC59" i="1051"/>
  <c r="N219" i="1051"/>
  <c r="N106" i="1051"/>
  <c r="N110" i="1051" s="1"/>
  <c r="Y112" i="1052"/>
  <c r="O207" i="1051"/>
  <c r="O95" i="1051"/>
  <c r="P108" i="1051"/>
  <c r="P69" i="1051"/>
  <c r="P68" i="1051"/>
  <c r="P60" i="1051"/>
  <c r="P56" i="1051"/>
  <c r="P63" i="1051"/>
  <c r="P53" i="1051"/>
  <c r="P61" i="1051"/>
  <c r="P57" i="1051"/>
  <c r="Q8" i="1051"/>
  <c r="P67" i="1051"/>
  <c r="P66" i="1051"/>
  <c r="P65" i="1051"/>
  <c r="P62" i="1051"/>
  <c r="P58" i="1051"/>
  <c r="P64" i="1051"/>
  <c r="P59" i="1051"/>
  <c r="P54" i="1051"/>
  <c r="AC8" i="1051"/>
  <c r="D176" i="1051"/>
  <c r="B63" i="1051"/>
  <c r="AC12" i="1051"/>
  <c r="Q12" i="1051"/>
  <c r="P166" i="1051"/>
  <c r="P165" i="1051"/>
  <c r="P169" i="1051" s="1"/>
  <c r="P134" i="1051"/>
  <c r="P132" i="1051"/>
  <c r="P133" i="1051"/>
  <c r="P131" i="1051"/>
  <c r="P55" i="1051" s="1"/>
  <c r="AA61" i="1052"/>
  <c r="AC22" i="1052"/>
  <c r="Q22" i="1052"/>
  <c r="AA176" i="1052"/>
  <c r="Z142" i="1051"/>
  <c r="Z143" i="1051" s="1"/>
  <c r="AB174" i="1051"/>
  <c r="M225" i="1052"/>
  <c r="M113" i="1052"/>
  <c r="M114" i="1052" s="1"/>
  <c r="Z117" i="1050"/>
  <c r="AC178" i="1051"/>
  <c r="Z219" i="1051"/>
  <c r="Z106" i="1051"/>
  <c r="Z110" i="1051" s="1"/>
  <c r="AB173" i="1052"/>
  <c r="AB59" i="1052"/>
  <c r="AC51" i="1051"/>
  <c r="Q51" i="1051"/>
  <c r="P56" i="1052"/>
  <c r="P213" i="1052"/>
  <c r="P101" i="1052"/>
  <c r="AC50" i="1051"/>
  <c r="Q50" i="1051"/>
  <c r="Y145" i="1052"/>
  <c r="Y146" i="1052" s="1"/>
  <c r="AA206" i="1052"/>
  <c r="AA94" i="1052"/>
  <c r="P172" i="1052"/>
  <c r="AC15" i="1052"/>
  <c r="Q15" i="1052"/>
  <c r="AA168" i="1052"/>
  <c r="AA167" i="1052"/>
  <c r="N89" i="1051"/>
  <c r="AA202" i="1051"/>
  <c r="AA90" i="1051"/>
  <c r="AA55" i="1051"/>
  <c r="O212" i="1051"/>
  <c r="O100" i="1051"/>
  <c r="O205" i="1051"/>
  <c r="O93" i="1051"/>
  <c r="AB165" i="1051"/>
  <c r="AB169" i="1051" s="1"/>
  <c r="AB166" i="1051"/>
  <c r="AB134" i="1051"/>
  <c r="AB133" i="1051"/>
  <c r="AB131" i="1051"/>
  <c r="AB55" i="1051" s="1"/>
  <c r="AB132" i="1051"/>
  <c r="N203" i="1052"/>
  <c r="N91" i="1052"/>
  <c r="N70" i="1052"/>
  <c r="N112" i="1052" s="1"/>
  <c r="N142" i="1052"/>
  <c r="N143" i="1052" s="1"/>
  <c r="AA175" i="1052"/>
  <c r="R125" i="1052"/>
  <c r="AF125" i="1052" s="1"/>
  <c r="R130" i="1052" a="1"/>
  <c r="R130" i="1052" s="1"/>
  <c r="R164" i="1052" s="1"/>
  <c r="R129" i="1052"/>
  <c r="R163" i="1052" s="1"/>
  <c r="R123" i="1052"/>
  <c r="R216" i="1052" a="1"/>
  <c r="R216" i="1052" s="1"/>
  <c r="R180" i="1052"/>
  <c r="R181" i="1052"/>
  <c r="P125" i="1051"/>
  <c r="P130" i="1051" a="1"/>
  <c r="P130" i="1051" s="1"/>
  <c r="P164" i="1051" s="1"/>
  <c r="P129" i="1051"/>
  <c r="P163" i="1051" s="1"/>
  <c r="Q10" i="1051"/>
  <c r="Q176" i="1051" s="1"/>
  <c r="P123" i="1051"/>
  <c r="P181" i="1051"/>
  <c r="P216" i="1051" a="1"/>
  <c r="P216" i="1051" s="1"/>
  <c r="P180" i="1051"/>
  <c r="P179" i="1051"/>
  <c r="P217" i="1051"/>
  <c r="P167" i="1051"/>
  <c r="P139" i="1051"/>
  <c r="P168" i="1051"/>
  <c r="AA207" i="1052"/>
  <c r="AA95" i="1052"/>
  <c r="O70" i="1052"/>
  <c r="O112" i="1052" s="1"/>
  <c r="Y128" i="1050"/>
  <c r="AA213" i="1050"/>
  <c r="AA101" i="1050"/>
  <c r="AC215" i="1050"/>
  <c r="AC103" i="1050"/>
  <c r="AC184" i="1050"/>
  <c r="AC185" i="1050"/>
  <c r="AB209" i="1050"/>
  <c r="AB97" i="1050"/>
  <c r="Y113" i="1050"/>
  <c r="Y225" i="1050" s="1"/>
  <c r="D176" i="1050"/>
  <c r="B63" i="1050"/>
  <c r="AA203" i="1050"/>
  <c r="AA91" i="1050"/>
  <c r="AA208" i="1050"/>
  <c r="AA96" i="1050"/>
  <c r="AB173" i="1050"/>
  <c r="AB59" i="1050"/>
  <c r="AA205" i="1050"/>
  <c r="AA93" i="1050"/>
  <c r="M225" i="1050"/>
  <c r="M113" i="1050"/>
  <c r="AD50" i="1050"/>
  <c r="R50" i="1050"/>
  <c r="AE50" i="1050" s="1"/>
  <c r="AA202" i="1050"/>
  <c r="AA142" i="1050"/>
  <c r="AA143" i="1050" s="1"/>
  <c r="AA90" i="1050"/>
  <c r="AD22" i="1050"/>
  <c r="R22" i="1050"/>
  <c r="AE22" i="1050" s="1"/>
  <c r="O211" i="1050"/>
  <c r="O99" i="1050"/>
  <c r="O140" i="1050"/>
  <c r="O213" i="1050"/>
  <c r="O101" i="1050"/>
  <c r="AC10" i="1050"/>
  <c r="P149" i="1050"/>
  <c r="AC174" i="1050"/>
  <c r="AC60" i="1050"/>
  <c r="P173" i="1050"/>
  <c r="AC16" i="1050"/>
  <c r="Q16" i="1050"/>
  <c r="N141" i="1050"/>
  <c r="N148" i="1050" s="1"/>
  <c r="AA214" i="1050"/>
  <c r="AA102" i="1050"/>
  <c r="AA70" i="1050"/>
  <c r="AA71" i="1050"/>
  <c r="AA210" i="1050"/>
  <c r="AA98" i="1050"/>
  <c r="P108" i="1050"/>
  <c r="P69" i="1050"/>
  <c r="P62" i="1050"/>
  <c r="P58" i="1050"/>
  <c r="P67" i="1050"/>
  <c r="P64" i="1050"/>
  <c r="P59" i="1050"/>
  <c r="P54" i="1050"/>
  <c r="P68" i="1050"/>
  <c r="P66" i="1050"/>
  <c r="P60" i="1050"/>
  <c r="P56" i="1050"/>
  <c r="P63" i="1050"/>
  <c r="P53" i="1050"/>
  <c r="AC8" i="1050"/>
  <c r="P65" i="1050"/>
  <c r="P61" i="1050"/>
  <c r="P57" i="1050"/>
  <c r="Q8" i="1050"/>
  <c r="O215" i="1050"/>
  <c r="O103" i="1050"/>
  <c r="O185" i="1050"/>
  <c r="O184" i="1050"/>
  <c r="O203" i="1050"/>
  <c r="O91" i="1050"/>
  <c r="N225" i="1050"/>
  <c r="N113" i="1050"/>
  <c r="N114" i="1050" s="1"/>
  <c r="N115" i="1050" s="1"/>
  <c r="N116" i="1050" s="1"/>
  <c r="N126" i="1050" s="1"/>
  <c r="M147" i="1050"/>
  <c r="Q104" i="1050"/>
  <c r="AD11" i="1050"/>
  <c r="R11" i="1050"/>
  <c r="Q236" i="1050"/>
  <c r="P129" i="1050"/>
  <c r="P163" i="1050" s="1"/>
  <c r="P123" i="1050"/>
  <c r="P125" i="1050"/>
  <c r="P130" i="1050" a="1"/>
  <c r="P130" i="1050" s="1"/>
  <c r="P164" i="1050" s="1"/>
  <c r="Q10" i="1050"/>
  <c r="P181" i="1050"/>
  <c r="P216" i="1050" a="1"/>
  <c r="P216" i="1050" s="1"/>
  <c r="P180" i="1050"/>
  <c r="P178" i="1050"/>
  <c r="P177" i="1050"/>
  <c r="Q174" i="1050"/>
  <c r="AD17" i="1050"/>
  <c r="R17" i="1050"/>
  <c r="P217" i="1050"/>
  <c r="P167" i="1050"/>
  <c r="P179" i="1050"/>
  <c r="P168" i="1050"/>
  <c r="P131" i="1050"/>
  <c r="P133" i="1050"/>
  <c r="P139" i="1050"/>
  <c r="P134" i="1050"/>
  <c r="P132" i="1050"/>
  <c r="P55" i="1050" s="1"/>
  <c r="AC4" i="1050"/>
  <c r="Q4" i="1050"/>
  <c r="O208" i="1050"/>
  <c r="O96" i="1050"/>
  <c r="O205" i="1050"/>
  <c r="O93" i="1050"/>
  <c r="Q175" i="1050"/>
  <c r="AD18" i="1050"/>
  <c r="R18" i="1050"/>
  <c r="AB171" i="1050"/>
  <c r="AB57" i="1050"/>
  <c r="O121" i="1050"/>
  <c r="O111" i="1050"/>
  <c r="AE21" i="1050"/>
  <c r="Z145" i="1050"/>
  <c r="Z147" i="1050" s="1"/>
  <c r="AA207" i="1050"/>
  <c r="AA95" i="1050"/>
  <c r="AB217" i="1050"/>
  <c r="AB139" i="1050"/>
  <c r="AB179" i="1050"/>
  <c r="AB167" i="1050"/>
  <c r="AB131" i="1050"/>
  <c r="AB132" i="1050"/>
  <c r="AB168" i="1050"/>
  <c r="AB134" i="1050"/>
  <c r="AB133" i="1050"/>
  <c r="AB65" i="1050"/>
  <c r="X122" i="1050"/>
  <c r="O210" i="1050"/>
  <c r="O98" i="1050"/>
  <c r="AA212" i="1050"/>
  <c r="AA100" i="1050"/>
  <c r="AA111" i="1050"/>
  <c r="AA121" i="1050"/>
  <c r="O209" i="1050"/>
  <c r="O97" i="1050"/>
  <c r="O207" i="1050"/>
  <c r="O95" i="1050"/>
  <c r="R182" i="1050"/>
  <c r="AE23" i="1050"/>
  <c r="AC175" i="1050"/>
  <c r="AC61" i="1050"/>
  <c r="P171" i="1050"/>
  <c r="Q14" i="1050"/>
  <c r="AC14" i="1050"/>
  <c r="O197" i="1050"/>
  <c r="O196" i="1050"/>
  <c r="O198" i="1050"/>
  <c r="X114" i="1050"/>
  <c r="X115" i="1050" s="1"/>
  <c r="X116" i="1050" s="1"/>
  <c r="X126" i="1050" s="1"/>
  <c r="Q176" i="1050"/>
  <c r="AD19" i="1050"/>
  <c r="R19" i="1050"/>
  <c r="Y145" i="1050"/>
  <c r="Y146" i="1050" s="1"/>
  <c r="Y148" i="1050"/>
  <c r="Y147" i="1050"/>
  <c r="AA211" i="1050"/>
  <c r="AA99" i="1050"/>
  <c r="AA140" i="1050"/>
  <c r="AA197" i="1050"/>
  <c r="AA196" i="1050"/>
  <c r="AA198" i="1050"/>
  <c r="M119" i="1050"/>
  <c r="M128" i="1050"/>
  <c r="M120" i="1050"/>
  <c r="O212" i="1050"/>
  <c r="O100" i="1050"/>
  <c r="P172" i="1050"/>
  <c r="Q15" i="1050"/>
  <c r="AC15" i="1050"/>
  <c r="AD182" i="1050"/>
  <c r="AD68" i="1050"/>
  <c r="AD49" i="1050"/>
  <c r="R49" i="1050"/>
  <c r="AE49" i="1050" s="1"/>
  <c r="N145" i="1050"/>
  <c r="N146" i="1050" s="1"/>
  <c r="N219" i="1050"/>
  <c r="N106" i="1050"/>
  <c r="N110" i="1050" s="1"/>
  <c r="AB208" i="1050"/>
  <c r="AB96" i="1050"/>
  <c r="Z141" i="1050"/>
  <c r="AC176" i="1050"/>
  <c r="AC62" i="1050"/>
  <c r="AB204" i="1050"/>
  <c r="AB92" i="1050"/>
  <c r="O202" i="1050"/>
  <c r="O90" i="1050"/>
  <c r="O142" i="1050"/>
  <c r="O143" i="1050" s="1"/>
  <c r="O214" i="1050"/>
  <c r="O102" i="1050"/>
  <c r="AB172" i="1050"/>
  <c r="AB58" i="1050"/>
  <c r="P88" i="1050" a="1"/>
  <c r="P88" i="1050" s="1"/>
  <c r="Q9" i="1050"/>
  <c r="AC9" i="1050"/>
  <c r="AC88" i="1050" s="1"/>
  <c r="AC109" i="1050" s="1"/>
  <c r="Z113" i="1050"/>
  <c r="Z225" i="1050" s="1"/>
  <c r="Z219" i="1050"/>
  <c r="Z106" i="1050"/>
  <c r="Z110" i="1050" s="1"/>
  <c r="AB166" i="1050"/>
  <c r="AB165" i="1050"/>
  <c r="AB169" i="1050" s="1"/>
  <c r="AB210" i="1050"/>
  <c r="AB98" i="1050"/>
  <c r="AE20" i="1050"/>
  <c r="AA206" i="1050"/>
  <c r="AA94" i="1050"/>
  <c r="Q13" i="1050"/>
  <c r="AC13" i="1050"/>
  <c r="AC56" i="1050" s="1"/>
  <c r="O204" i="1050"/>
  <c r="O92" i="1050"/>
  <c r="O206" i="1050"/>
  <c r="O94" i="1050"/>
  <c r="O221" i="1050"/>
  <c r="O109" i="1050"/>
  <c r="O70" i="1050"/>
  <c r="O117" i="1050" s="1"/>
  <c r="AB129" i="1050"/>
  <c r="AB163" i="1050" s="1"/>
  <c r="AB123" i="1050"/>
  <c r="AB130" i="1050"/>
  <c r="AB164" i="1050" s="1"/>
  <c r="AB125" i="1050"/>
  <c r="AB53" i="1050"/>
  <c r="AB69" i="1050"/>
  <c r="AB54" i="1050"/>
  <c r="AB67" i="1050"/>
  <c r="AB104" i="1050"/>
  <c r="AB181" i="1050"/>
  <c r="AB216" i="1050"/>
  <c r="AB180" i="1050"/>
  <c r="AB66" i="1050"/>
  <c r="AB236" i="1050"/>
  <c r="AB177" i="1050"/>
  <c r="AB178" i="1050"/>
  <c r="AB63" i="1050"/>
  <c r="AB64" i="1050"/>
  <c r="G115" i="1050"/>
  <c r="G116" i="1050" s="1"/>
  <c r="D232" i="1050"/>
  <c r="B121" i="1050"/>
  <c r="Q12" i="1050"/>
  <c r="AC12" i="1050"/>
  <c r="P165" i="1050"/>
  <c r="P169" i="1050" s="1"/>
  <c r="P166" i="1050"/>
  <c r="Q209" i="1058" l="1"/>
  <c r="Q97" i="1058"/>
  <c r="Q210" i="1060"/>
  <c r="Q98" i="1060"/>
  <c r="Q99" i="1060"/>
  <c r="Q211" i="1060"/>
  <c r="N225" i="1063"/>
  <c r="N113" i="1063"/>
  <c r="N114" i="1063"/>
  <c r="N115" i="1063" s="1"/>
  <c r="N116" i="1063" s="1"/>
  <c r="Q208" i="1063"/>
  <c r="Q96" i="1063"/>
  <c r="N113" i="1058"/>
  <c r="N114" i="1058" s="1"/>
  <c r="N225" i="1058"/>
  <c r="AA119" i="1061"/>
  <c r="AA128" i="1061"/>
  <c r="AA120" i="1061"/>
  <c r="Y120" i="1062"/>
  <c r="Y128" i="1062"/>
  <c r="Y119" i="1062"/>
  <c r="Y119" i="1060"/>
  <c r="Y122" i="1060" s="1"/>
  <c r="Y120" i="1060"/>
  <c r="Y128" i="1060"/>
  <c r="N119" i="1059"/>
  <c r="N122" i="1059" s="1"/>
  <c r="N128" i="1059"/>
  <c r="N120" i="1059"/>
  <c r="N128" i="1057"/>
  <c r="N120" i="1057"/>
  <c r="N119" i="1057"/>
  <c r="N122" i="1057" s="1"/>
  <c r="Q91" i="1058"/>
  <c r="Q203" i="1058"/>
  <c r="N128" i="1060"/>
  <c r="N120" i="1060"/>
  <c r="N119" i="1060"/>
  <c r="AA141" i="1058"/>
  <c r="L115" i="1060"/>
  <c r="L116" i="1060" s="1"/>
  <c r="L126" i="1060" s="1"/>
  <c r="P203" i="1064"/>
  <c r="P91" i="1064"/>
  <c r="P70" i="1064"/>
  <c r="N119" i="1062"/>
  <c r="N122" i="1062" s="1"/>
  <c r="N128" i="1062"/>
  <c r="N120" i="1062"/>
  <c r="AB208" i="1060"/>
  <c r="AB96" i="1060"/>
  <c r="AB210" i="1064"/>
  <c r="AB98" i="1064"/>
  <c r="Q204" i="1058"/>
  <c r="Q92" i="1058"/>
  <c r="P141" i="1063"/>
  <c r="Y144" i="1055"/>
  <c r="AC134" i="1063"/>
  <c r="AC133" i="1063"/>
  <c r="AC132" i="1063"/>
  <c r="AC131" i="1063"/>
  <c r="AC55" i="1063" s="1"/>
  <c r="AE92" i="1059"/>
  <c r="AE204" i="1059"/>
  <c r="R198" i="1058"/>
  <c r="R197" i="1058"/>
  <c r="R196" i="1058"/>
  <c r="P208" i="1062"/>
  <c r="P96" i="1062"/>
  <c r="AE182" i="1061"/>
  <c r="AE68" i="1061"/>
  <c r="AC10" i="1060"/>
  <c r="P149" i="1060"/>
  <c r="P97" i="1060"/>
  <c r="P209" i="1060"/>
  <c r="R221" i="1058"/>
  <c r="R109" i="1058"/>
  <c r="AC133" i="1064"/>
  <c r="AC134" i="1064"/>
  <c r="AC131" i="1064"/>
  <c r="AC132" i="1064"/>
  <c r="AC60" i="1060"/>
  <c r="AC174" i="1060"/>
  <c r="AB206" i="1062"/>
  <c r="AB94" i="1062"/>
  <c r="N120" i="1064"/>
  <c r="N128" i="1064"/>
  <c r="N119" i="1064"/>
  <c r="N122" i="1064" s="1"/>
  <c r="Q121" i="1062"/>
  <c r="Q111" i="1062"/>
  <c r="AE177" i="1057"/>
  <c r="AE63" i="1057"/>
  <c r="N126" i="1061"/>
  <c r="AA121" i="1064"/>
  <c r="AA111" i="1064"/>
  <c r="D177" i="1061"/>
  <c r="B64" i="1061"/>
  <c r="N144" i="1057"/>
  <c r="AE171" i="1057"/>
  <c r="AE57" i="1057"/>
  <c r="AB55" i="1064"/>
  <c r="Q172" i="1059"/>
  <c r="AD15" i="1059"/>
  <c r="R15" i="1059"/>
  <c r="AC117" i="1057"/>
  <c r="AE173" i="1061"/>
  <c r="AE59" i="1061"/>
  <c r="AE11" i="1059"/>
  <c r="R104" i="1059"/>
  <c r="AF104" i="1059" s="1"/>
  <c r="R236" i="1059"/>
  <c r="AE182" i="1057"/>
  <c r="AE68" i="1057"/>
  <c r="AB71" i="1059"/>
  <c r="AB70" i="1059"/>
  <c r="AC204" i="1058"/>
  <c r="AC92" i="1058"/>
  <c r="AD93" i="1057"/>
  <c r="AD205" i="1057"/>
  <c r="R18" i="1060"/>
  <c r="Q175" i="1060"/>
  <c r="AD18" i="1060"/>
  <c r="AC182" i="1058"/>
  <c r="AC68" i="1058"/>
  <c r="Q178" i="1060"/>
  <c r="N144" i="1059"/>
  <c r="Q71" i="1058"/>
  <c r="Q118" i="1058" s="1"/>
  <c r="Z141" i="1058"/>
  <c r="AC171" i="1063"/>
  <c r="AC57" i="1063"/>
  <c r="AB210" i="1059"/>
  <c r="AB98" i="1059"/>
  <c r="AD215" i="1057"/>
  <c r="AD103" i="1057"/>
  <c r="AD185" i="1057"/>
  <c r="AD184" i="1057"/>
  <c r="AD177" i="1061"/>
  <c r="AE12" i="1059"/>
  <c r="R165" i="1059"/>
  <c r="R166" i="1059"/>
  <c r="AD205" i="1061"/>
  <c r="AD93" i="1061"/>
  <c r="AB215" i="1060"/>
  <c r="AB103" i="1060"/>
  <c r="AB184" i="1060"/>
  <c r="AB185" i="1060"/>
  <c r="Q202" i="1059"/>
  <c r="Q90" i="1059"/>
  <c r="Q142" i="1059"/>
  <c r="Q143" i="1059" s="1"/>
  <c r="Q212" i="1059"/>
  <c r="Q100" i="1059"/>
  <c r="Q173" i="1058"/>
  <c r="R16" i="1058"/>
  <c r="AD16" i="1058"/>
  <c r="O219" i="1061"/>
  <c r="O106" i="1061"/>
  <c r="AC172" i="1064"/>
  <c r="AC58" i="1064"/>
  <c r="P211" i="1064"/>
  <c r="P99" i="1064"/>
  <c r="P140" i="1064"/>
  <c r="Q103" i="1060"/>
  <c r="Q215" i="1060"/>
  <c r="Q184" i="1060"/>
  <c r="Q185" i="1060"/>
  <c r="Q67" i="1060"/>
  <c r="R168" i="1057"/>
  <c r="AD173" i="1059"/>
  <c r="AD59" i="1059"/>
  <c r="AA211" i="1064"/>
  <c r="AA99" i="1064"/>
  <c r="AA140" i="1064"/>
  <c r="AB206" i="1060"/>
  <c r="AB94" i="1060"/>
  <c r="AC141" i="1057"/>
  <c r="R129" i="1061"/>
  <c r="R163" i="1061" s="1"/>
  <c r="R123" i="1061"/>
  <c r="R130" i="1061" a="1"/>
  <c r="R130" i="1061" s="1"/>
  <c r="R164" i="1061" s="1"/>
  <c r="R125" i="1061"/>
  <c r="AF125" i="1061" s="1"/>
  <c r="R216" i="1061" a="1"/>
  <c r="R216" i="1061" s="1"/>
  <c r="R181" i="1061"/>
  <c r="R180" i="1061"/>
  <c r="AA111" i="1058"/>
  <c r="AA121" i="1058"/>
  <c r="AE134" i="1061"/>
  <c r="AE133" i="1061"/>
  <c r="AE132" i="1061"/>
  <c r="AE131" i="1061"/>
  <c r="R217" i="1061"/>
  <c r="Z117" i="1058"/>
  <c r="P215" i="1057"/>
  <c r="P103" i="1057"/>
  <c r="P184" i="1057"/>
  <c r="P185" i="1057"/>
  <c r="P209" i="1057"/>
  <c r="P97" i="1057"/>
  <c r="Y148" i="1063"/>
  <c r="AC182" i="1059"/>
  <c r="AC68" i="1059"/>
  <c r="R20" i="1060"/>
  <c r="Q177" i="1060"/>
  <c r="AD20" i="1060"/>
  <c r="AA212" i="1062"/>
  <c r="AA100" i="1062"/>
  <c r="AB177" i="1063"/>
  <c r="Q176" i="1063"/>
  <c r="AD19" i="1063"/>
  <c r="R19" i="1063"/>
  <c r="N148" i="1061"/>
  <c r="N144" i="1062"/>
  <c r="P142" i="1059"/>
  <c r="P143" i="1059" s="1"/>
  <c r="P202" i="1059"/>
  <c r="P90" i="1059"/>
  <c r="P207" i="1061"/>
  <c r="P95" i="1061"/>
  <c r="P205" i="1061"/>
  <c r="P93" i="1061"/>
  <c r="AC214" i="1061"/>
  <c r="AC102" i="1061"/>
  <c r="AE178" i="1057"/>
  <c r="AE64" i="1057"/>
  <c r="D177" i="1057"/>
  <c r="B64" i="1057"/>
  <c r="Q177" i="1063"/>
  <c r="AD20" i="1063"/>
  <c r="R20" i="1063"/>
  <c r="Q217" i="1063"/>
  <c r="Q131" i="1063"/>
  <c r="Q179" i="1063"/>
  <c r="Q167" i="1063"/>
  <c r="Q168" i="1063"/>
  <c r="Q134" i="1063"/>
  <c r="R4" i="1063"/>
  <c r="Q139" i="1063"/>
  <c r="Q132" i="1063"/>
  <c r="Q133" i="1063"/>
  <c r="AD4" i="1063"/>
  <c r="AD204" i="1059"/>
  <c r="AD92" i="1059"/>
  <c r="P142" i="1062"/>
  <c r="P143" i="1062" s="1"/>
  <c r="P202" i="1062"/>
  <c r="P90" i="1062"/>
  <c r="Q65" i="1062"/>
  <c r="Q55" i="1062"/>
  <c r="Q69" i="1062"/>
  <c r="Q62" i="1062"/>
  <c r="Q58" i="1062"/>
  <c r="Q67" i="1062"/>
  <c r="Q57" i="1062"/>
  <c r="Q53" i="1062"/>
  <c r="R8" i="1062"/>
  <c r="Q60" i="1062"/>
  <c r="Q66" i="1062"/>
  <c r="Q56" i="1062"/>
  <c r="Q68" i="1062"/>
  <c r="Q108" i="1062"/>
  <c r="Q64" i="1062"/>
  <c r="Q59" i="1062"/>
  <c r="Q63" i="1062"/>
  <c r="AD8" i="1062"/>
  <c r="Q61" i="1062"/>
  <c r="Q54" i="1062"/>
  <c r="Q171" i="1058"/>
  <c r="R14" i="1058"/>
  <c r="AD14" i="1058"/>
  <c r="AB205" i="1064"/>
  <c r="AB93" i="1064"/>
  <c r="AD212" i="1057"/>
  <c r="AD100" i="1057"/>
  <c r="AD11" i="1062"/>
  <c r="R11" i="1062"/>
  <c r="Q104" i="1062"/>
  <c r="Q236" i="1062"/>
  <c r="Q217" i="1064"/>
  <c r="Q167" i="1064"/>
  <c r="Q168" i="1064"/>
  <c r="Q179" i="1064"/>
  <c r="Q139" i="1064"/>
  <c r="Q133" i="1064"/>
  <c r="Q132" i="1064"/>
  <c r="Q131" i="1064"/>
  <c r="Q134" i="1064"/>
  <c r="AD4" i="1064"/>
  <c r="R4" i="1064"/>
  <c r="Q174" i="1060"/>
  <c r="R17" i="1060"/>
  <c r="AD17" i="1060"/>
  <c r="AA142" i="1064"/>
  <c r="AA143" i="1064" s="1"/>
  <c r="AA202" i="1064"/>
  <c r="AA90" i="1064"/>
  <c r="Q172" i="1058"/>
  <c r="R15" i="1058"/>
  <c r="AD15" i="1058"/>
  <c r="N225" i="1059"/>
  <c r="N113" i="1059"/>
  <c r="P111" i="1060"/>
  <c r="P121" i="1060"/>
  <c r="AA208" i="1063"/>
  <c r="AA96" i="1063"/>
  <c r="Q172" i="1062"/>
  <c r="R15" i="1062"/>
  <c r="AD15" i="1062"/>
  <c r="AC172" i="1059"/>
  <c r="AC58" i="1059"/>
  <c r="AD211" i="1057"/>
  <c r="AD99" i="1057"/>
  <c r="AD140" i="1057"/>
  <c r="AD22" i="1064"/>
  <c r="R22" i="1064"/>
  <c r="AE22" i="1064" s="1"/>
  <c r="P203" i="1060"/>
  <c r="P91" i="1060"/>
  <c r="Q212" i="1063"/>
  <c r="Q100" i="1063"/>
  <c r="Q207" i="1063"/>
  <c r="Q95" i="1063"/>
  <c r="AD10" i="1059"/>
  <c r="Q149" i="1059"/>
  <c r="AB213" i="1059"/>
  <c r="AB101" i="1059"/>
  <c r="AB212" i="1058"/>
  <c r="AB100" i="1058"/>
  <c r="AE21" i="1060"/>
  <c r="AD210" i="1061"/>
  <c r="AD98" i="1061"/>
  <c r="Z113" i="1058"/>
  <c r="Z225" i="1058" s="1"/>
  <c r="AD71" i="1057"/>
  <c r="P208" i="1059"/>
  <c r="P96" i="1059"/>
  <c r="Q207" i="1058"/>
  <c r="Q95" i="1058"/>
  <c r="Q215" i="1058"/>
  <c r="Q103" i="1058"/>
  <c r="Q185" i="1058"/>
  <c r="Q184" i="1058"/>
  <c r="AB206" i="1064"/>
  <c r="AB94" i="1064"/>
  <c r="AD63" i="1061"/>
  <c r="AD166" i="1059"/>
  <c r="AD165" i="1059"/>
  <c r="AC207" i="1059"/>
  <c r="AC95" i="1059"/>
  <c r="N89" i="1058"/>
  <c r="R58" i="1059"/>
  <c r="R59" i="1059"/>
  <c r="R56" i="1059"/>
  <c r="AE8" i="1059"/>
  <c r="AC173" i="1058"/>
  <c r="AC59" i="1058"/>
  <c r="P205" i="1064"/>
  <c r="P93" i="1064"/>
  <c r="P212" i="1064"/>
  <c r="P100" i="1064"/>
  <c r="P215" i="1064"/>
  <c r="P103" i="1064"/>
  <c r="P185" i="1064"/>
  <c r="P184" i="1064"/>
  <c r="Q176" i="1059"/>
  <c r="AD19" i="1059"/>
  <c r="R19" i="1059"/>
  <c r="Q206" i="1060"/>
  <c r="Q94" i="1060"/>
  <c r="AB95" i="1060"/>
  <c r="AB207" i="1060"/>
  <c r="R179" i="1057"/>
  <c r="R9" i="1062"/>
  <c r="Q88" i="1062" a="1"/>
  <c r="Q88" i="1062" s="1"/>
  <c r="AD9" i="1062"/>
  <c r="AD88" i="1062" s="1"/>
  <c r="AD109" i="1062" s="1"/>
  <c r="AD11" i="1063"/>
  <c r="R11" i="1063"/>
  <c r="Q104" i="1063"/>
  <c r="Q236" i="1063"/>
  <c r="P71" i="1059"/>
  <c r="AA210" i="1058"/>
  <c r="AA98" i="1058"/>
  <c r="N225" i="1060"/>
  <c r="N114" i="1060"/>
  <c r="N115" i="1060" s="1"/>
  <c r="N116" i="1060" s="1"/>
  <c r="N113" i="1060"/>
  <c r="AA197" i="1058"/>
  <c r="AA198" i="1058"/>
  <c r="AA196" i="1058"/>
  <c r="N147" i="1063"/>
  <c r="N145" i="1063"/>
  <c r="N146" i="1063" s="1"/>
  <c r="N148" i="1063"/>
  <c r="N144" i="1063"/>
  <c r="O141" i="1058"/>
  <c r="AA209" i="1060"/>
  <c r="AA97" i="1060"/>
  <c r="R167" i="1061"/>
  <c r="R168" i="1061"/>
  <c r="N144" i="1060"/>
  <c r="P204" i="1057"/>
  <c r="P92" i="1057"/>
  <c r="P206" i="1057"/>
  <c r="P94" i="1057"/>
  <c r="R12" i="1060"/>
  <c r="AD12" i="1060"/>
  <c r="Q166" i="1060"/>
  <c r="Q165" i="1060"/>
  <c r="AA214" i="1060"/>
  <c r="AA102" i="1060"/>
  <c r="AA90" i="1062"/>
  <c r="AA202" i="1062"/>
  <c r="AA142" i="1062"/>
  <c r="AA143" i="1062" s="1"/>
  <c r="Y144" i="1058"/>
  <c r="AD55" i="1061"/>
  <c r="Z146" i="1059"/>
  <c r="Z148" i="1059" s="1"/>
  <c r="AE21" i="1063"/>
  <c r="Z112" i="1064"/>
  <c r="P212" i="1061"/>
  <c r="P100" i="1061"/>
  <c r="P209" i="1061"/>
  <c r="P97" i="1061"/>
  <c r="Q171" i="1064"/>
  <c r="AD14" i="1064"/>
  <c r="R14" i="1064"/>
  <c r="X122" i="1058"/>
  <c r="R178" i="1057"/>
  <c r="L126" i="1063"/>
  <c r="O89" i="1056"/>
  <c r="X114" i="1056"/>
  <c r="X115" i="1056" s="1"/>
  <c r="X116" i="1056" s="1"/>
  <c r="X126" i="1056" s="1"/>
  <c r="O89" i="1053"/>
  <c r="AB208" i="1062"/>
  <c r="AB96" i="1062"/>
  <c r="Z219" i="1064"/>
  <c r="Z106" i="1064"/>
  <c r="P212" i="1062"/>
  <c r="P100" i="1062"/>
  <c r="P102" i="1062"/>
  <c r="P214" i="1062"/>
  <c r="P205" i="1062"/>
  <c r="P93" i="1062"/>
  <c r="Z219" i="1062"/>
  <c r="Z106" i="1062"/>
  <c r="AD12" i="1063"/>
  <c r="R12" i="1063"/>
  <c r="Q166" i="1063"/>
  <c r="Q165" i="1063"/>
  <c r="Q169" i="1063" s="1"/>
  <c r="AC171" i="1058"/>
  <c r="AC57" i="1058"/>
  <c r="AC10" i="1062"/>
  <c r="P149" i="1062"/>
  <c r="O219" i="1063"/>
  <c r="O106" i="1063"/>
  <c r="AB206" i="1059"/>
  <c r="AB94" i="1059"/>
  <c r="O112" i="1063"/>
  <c r="AA213" i="1064"/>
  <c r="AA101" i="1064"/>
  <c r="AC172" i="1058"/>
  <c r="AC58" i="1058"/>
  <c r="P214" i="1059"/>
  <c r="P102" i="1059"/>
  <c r="AD215" i="1061"/>
  <c r="AD103" i="1061"/>
  <c r="AD184" i="1061"/>
  <c r="AD185" i="1061"/>
  <c r="AB54" i="1060"/>
  <c r="AB130" i="1060"/>
  <c r="AB164" i="1060" s="1"/>
  <c r="AB125" i="1060"/>
  <c r="AB69" i="1060"/>
  <c r="AB53" i="1060"/>
  <c r="AB129" i="1060"/>
  <c r="AB163" i="1060" s="1"/>
  <c r="AB123" i="1060"/>
  <c r="AB181" i="1060"/>
  <c r="AB66" i="1060"/>
  <c r="AB216" i="1060"/>
  <c r="AB180" i="1060"/>
  <c r="AB67" i="1060"/>
  <c r="AB104" i="1060"/>
  <c r="AB236" i="1060"/>
  <c r="AB64" i="1060"/>
  <c r="AB178" i="1060"/>
  <c r="O141" i="1061"/>
  <c r="AB55" i="1060"/>
  <c r="N147" i="1057"/>
  <c r="AA219" i="1059"/>
  <c r="AA106" i="1059"/>
  <c r="P198" i="1060"/>
  <c r="P197" i="1060"/>
  <c r="P196" i="1060"/>
  <c r="AC172" i="1062"/>
  <c r="AC58" i="1062"/>
  <c r="O203" i="1063"/>
  <c r="O91" i="1063"/>
  <c r="O110" i="1063" s="1"/>
  <c r="O89" i="1063"/>
  <c r="O142" i="1063"/>
  <c r="O143" i="1063" s="1"/>
  <c r="AD50" i="1063"/>
  <c r="R50" i="1063"/>
  <c r="AE50" i="1063" s="1"/>
  <c r="AE10" i="1061"/>
  <c r="R149" i="1061"/>
  <c r="Q172" i="1063"/>
  <c r="AD15" i="1063"/>
  <c r="R15" i="1063"/>
  <c r="AB207" i="1064"/>
  <c r="AB95" i="1064"/>
  <c r="Q215" i="1063"/>
  <c r="Q103" i="1063"/>
  <c r="Q184" i="1063"/>
  <c r="Q185" i="1063"/>
  <c r="Q209" i="1063"/>
  <c r="Q97" i="1063"/>
  <c r="Q65" i="1063"/>
  <c r="Q71" i="1063" s="1"/>
  <c r="AB205" i="1063"/>
  <c r="AB93" i="1063"/>
  <c r="AA89" i="1059"/>
  <c r="AA141" i="1059"/>
  <c r="AB211" i="1058"/>
  <c r="AB99" i="1058"/>
  <c r="AA144" i="1057"/>
  <c r="O148" i="1057"/>
  <c r="O145" i="1057"/>
  <c r="O147" i="1057" s="1"/>
  <c r="AD213" i="1057"/>
  <c r="AD101" i="1057"/>
  <c r="P211" i="1058"/>
  <c r="P99" i="1058"/>
  <c r="P140" i="1058"/>
  <c r="Q100" i="1058"/>
  <c r="Q212" i="1058"/>
  <c r="R53" i="1058"/>
  <c r="R69" i="1058"/>
  <c r="AF69" i="1058" s="1"/>
  <c r="R58" i="1058"/>
  <c r="R66" i="1058"/>
  <c r="R65" i="1058"/>
  <c r="AF65" i="1058" s="1"/>
  <c r="R67" i="1058"/>
  <c r="R59" i="1058"/>
  <c r="R54" i="1058"/>
  <c r="AE8" i="1058"/>
  <c r="R57" i="1058"/>
  <c r="AD207" i="1061"/>
  <c r="AD95" i="1061"/>
  <c r="Y144" i="1064"/>
  <c r="O225" i="1057"/>
  <c r="O114" i="1057"/>
  <c r="O113" i="1057"/>
  <c r="Z219" i="1063"/>
  <c r="Z106" i="1063"/>
  <c r="Q178" i="1058"/>
  <c r="R21" i="1058"/>
  <c r="AD21" i="1058"/>
  <c r="Q177" i="1058"/>
  <c r="R20" i="1058"/>
  <c r="R63" i="1058" s="1"/>
  <c r="AD20" i="1058"/>
  <c r="O219" i="1062"/>
  <c r="O106" i="1062"/>
  <c r="AB211" i="1059"/>
  <c r="AB99" i="1059"/>
  <c r="AB140" i="1059"/>
  <c r="AA96" i="1060"/>
  <c r="AA208" i="1060"/>
  <c r="Z219" i="1060"/>
  <c r="Z106" i="1060"/>
  <c r="R88" i="1064" a="1"/>
  <c r="R88" i="1064" s="1"/>
  <c r="AE9" i="1064"/>
  <c r="AE88" i="1064" s="1"/>
  <c r="AE109" i="1064" s="1"/>
  <c r="Q207" i="1059"/>
  <c r="Q95" i="1059"/>
  <c r="O146" i="1059"/>
  <c r="O141" i="1059"/>
  <c r="O110" i="1064"/>
  <c r="Q108" i="1064"/>
  <c r="Q66" i="1064"/>
  <c r="Q60" i="1064"/>
  <c r="Q56" i="1064"/>
  <c r="Q65" i="1064"/>
  <c r="Q70" i="1064" s="1"/>
  <c r="Q64" i="1064"/>
  <c r="Q63" i="1064"/>
  <c r="Q62" i="1064"/>
  <c r="Q59" i="1064"/>
  <c r="Q67" i="1064"/>
  <c r="R8" i="1064"/>
  <c r="Q58" i="1064"/>
  <c r="Q61" i="1064"/>
  <c r="Q53" i="1064"/>
  <c r="Q57" i="1064"/>
  <c r="AD8" i="1064"/>
  <c r="Q55" i="1064"/>
  <c r="Q69" i="1064"/>
  <c r="Q54" i="1064"/>
  <c r="Q68" i="1064"/>
  <c r="AC176" i="1059"/>
  <c r="AC62" i="1059"/>
  <c r="R63" i="1060"/>
  <c r="R53" i="1060"/>
  <c r="AE8" i="1060"/>
  <c r="R57" i="1060"/>
  <c r="R60" i="1060"/>
  <c r="R56" i="1060"/>
  <c r="R66" i="1060"/>
  <c r="AB215" i="1062"/>
  <c r="AB103" i="1062"/>
  <c r="AB185" i="1062"/>
  <c r="AB184" i="1062"/>
  <c r="AB175" i="1060"/>
  <c r="Q176" i="1058"/>
  <c r="R19" i="1058"/>
  <c r="AD19" i="1058"/>
  <c r="AC10" i="1063"/>
  <c r="AC217" i="1063" s="1"/>
  <c r="P149" i="1063"/>
  <c r="L115" i="1059"/>
  <c r="L116" i="1059" s="1"/>
  <c r="AD22" i="1059"/>
  <c r="R22" i="1059"/>
  <c r="AE22" i="1059" s="1"/>
  <c r="O112" i="1059"/>
  <c r="N89" i="1063"/>
  <c r="N126" i="1063" s="1"/>
  <c r="AB209" i="1059"/>
  <c r="AB97" i="1059"/>
  <c r="O219" i="1060"/>
  <c r="O106" i="1060"/>
  <c r="AD166" i="1062"/>
  <c r="AD165" i="1062"/>
  <c r="AC172" i="1060"/>
  <c r="AC58" i="1060"/>
  <c r="R133" i="1059"/>
  <c r="R132" i="1059"/>
  <c r="R169" i="1059"/>
  <c r="R134" i="1059"/>
  <c r="AE4" i="1059"/>
  <c r="R131" i="1059"/>
  <c r="R55" i="1059" s="1"/>
  <c r="P208" i="1057"/>
  <c r="P96" i="1057"/>
  <c r="P210" i="1057"/>
  <c r="P98" i="1057"/>
  <c r="AB55" i="1063"/>
  <c r="R149" i="1057"/>
  <c r="AB129" i="1058"/>
  <c r="AB163" i="1058" s="1"/>
  <c r="AB123" i="1058"/>
  <c r="AB125" i="1058"/>
  <c r="AB69" i="1058"/>
  <c r="AB54" i="1058"/>
  <c r="AB53" i="1058"/>
  <c r="AB130" i="1058"/>
  <c r="AB164" i="1058" s="1"/>
  <c r="AB67" i="1058"/>
  <c r="AB216" i="1058"/>
  <c r="AB104" i="1058"/>
  <c r="AB181" i="1058"/>
  <c r="AB180" i="1058"/>
  <c r="AB66" i="1058"/>
  <c r="AB140" i="1058" s="1"/>
  <c r="AB236" i="1058"/>
  <c r="AB179" i="1058"/>
  <c r="AB139" i="1058"/>
  <c r="AB168" i="1058"/>
  <c r="AB65" i="1058"/>
  <c r="AB167" i="1058"/>
  <c r="AB217" i="1058"/>
  <c r="AA213" i="1060"/>
  <c r="AA101" i="1060"/>
  <c r="AA202" i="1060"/>
  <c r="AA142" i="1060"/>
  <c r="AA143" i="1060" s="1"/>
  <c r="AA90" i="1060"/>
  <c r="AA112" i="1059"/>
  <c r="AD49" i="1059"/>
  <c r="R49" i="1059"/>
  <c r="AE49" i="1059" s="1"/>
  <c r="AD210" i="1057"/>
  <c r="AD98" i="1057"/>
  <c r="M115" i="1058"/>
  <c r="M116" i="1058" s="1"/>
  <c r="Q175" i="1059"/>
  <c r="AD18" i="1059"/>
  <c r="R18" i="1059"/>
  <c r="R61" i="1059" s="1"/>
  <c r="AA71" i="1062"/>
  <c r="AA70" i="1062"/>
  <c r="AD179" i="1061"/>
  <c r="P203" i="1061"/>
  <c r="P91" i="1061"/>
  <c r="P214" i="1061"/>
  <c r="P102" i="1061"/>
  <c r="AC71" i="1061"/>
  <c r="AC70" i="1061"/>
  <c r="R12" i="1058"/>
  <c r="AD12" i="1058"/>
  <c r="Q166" i="1058"/>
  <c r="Q165" i="1058"/>
  <c r="Q169" i="1058" s="1"/>
  <c r="Q175" i="1064"/>
  <c r="AD18" i="1064"/>
  <c r="R18" i="1064"/>
  <c r="AC171" i="1064"/>
  <c r="AC57" i="1064"/>
  <c r="P221" i="1060"/>
  <c r="P70" i="1060"/>
  <c r="P117" i="1060" s="1"/>
  <c r="P109" i="1060"/>
  <c r="M225" i="1063"/>
  <c r="M113" i="1063"/>
  <c r="N126" i="1060"/>
  <c r="AA97" i="1058"/>
  <c r="AA209" i="1058"/>
  <c r="AB206" i="1058"/>
  <c r="AB94" i="1058"/>
  <c r="AC55" i="1058"/>
  <c r="P99" i="1062"/>
  <c r="P211" i="1062"/>
  <c r="P140" i="1062"/>
  <c r="P209" i="1062"/>
  <c r="P97" i="1062"/>
  <c r="AC165" i="1063"/>
  <c r="AC169" i="1063" s="1"/>
  <c r="AC166" i="1063"/>
  <c r="AB209" i="1064"/>
  <c r="AB97" i="1064"/>
  <c r="AC212" i="1059"/>
  <c r="AC100" i="1059"/>
  <c r="AB100" i="1059"/>
  <c r="AB212" i="1059"/>
  <c r="AC60" i="1062"/>
  <c r="AC174" i="1062"/>
  <c r="AA212" i="1063"/>
  <c r="AA100" i="1063"/>
  <c r="AA214" i="1064"/>
  <c r="AA102" i="1064"/>
  <c r="AA196" i="1064"/>
  <c r="AA198" i="1064"/>
  <c r="AA197" i="1064"/>
  <c r="R217" i="1058"/>
  <c r="R133" i="1058"/>
  <c r="R179" i="1058"/>
  <c r="R168" i="1058"/>
  <c r="R139" i="1058"/>
  <c r="R167" i="1058"/>
  <c r="AE4" i="1058"/>
  <c r="Z117" i="1064"/>
  <c r="AB206" i="1063"/>
  <c r="AB94" i="1063"/>
  <c r="Z117" i="1062"/>
  <c r="AC219" i="1057"/>
  <c r="AC106" i="1057"/>
  <c r="AC130" i="1059"/>
  <c r="AC164" i="1059" s="1"/>
  <c r="AC123" i="1059"/>
  <c r="AC54" i="1059"/>
  <c r="AC69" i="1059"/>
  <c r="AC53" i="1059"/>
  <c r="AC129" i="1059"/>
  <c r="AC163" i="1059" s="1"/>
  <c r="AC125" i="1059"/>
  <c r="AC104" i="1059"/>
  <c r="AC216" i="1059"/>
  <c r="AC181" i="1059"/>
  <c r="AC66" i="1059"/>
  <c r="AC67" i="1059"/>
  <c r="AC180" i="1059"/>
  <c r="AC236" i="1059"/>
  <c r="P207" i="1060"/>
  <c r="P95" i="1060"/>
  <c r="AB205" i="1059"/>
  <c r="AB93" i="1059"/>
  <c r="O114" i="1064"/>
  <c r="O115" i="1064" s="1"/>
  <c r="O116" i="1064" s="1"/>
  <c r="O126" i="1064" s="1"/>
  <c r="O113" i="1064"/>
  <c r="O225" i="1064"/>
  <c r="Q129" i="1060"/>
  <c r="Q163" i="1060" s="1"/>
  <c r="Q123" i="1060"/>
  <c r="Q125" i="1060"/>
  <c r="Q130" i="1060" a="1"/>
  <c r="Q130" i="1060" s="1"/>
  <c r="Q164" i="1060" s="1"/>
  <c r="R10" i="1060"/>
  <c r="R67" i="1060" s="1"/>
  <c r="Q181" i="1060"/>
  <c r="Q216" i="1060" a="1"/>
  <c r="Q216" i="1060" s="1"/>
  <c r="Q180" i="1060"/>
  <c r="AA99" i="1060"/>
  <c r="AA211" i="1060"/>
  <c r="AA140" i="1060"/>
  <c r="O146" i="1057"/>
  <c r="O141" i="1057"/>
  <c r="AC172" i="1063"/>
  <c r="AC58" i="1063"/>
  <c r="AB97" i="1062"/>
  <c r="AB209" i="1062"/>
  <c r="Q58" i="1063"/>
  <c r="Q101" i="1063"/>
  <c r="Q213" i="1063"/>
  <c r="AA147" i="1059"/>
  <c r="AA145" i="1059"/>
  <c r="AA146" i="1059" s="1"/>
  <c r="AA148" i="1059"/>
  <c r="AA144" i="1059"/>
  <c r="AB111" i="1059"/>
  <c r="AB112" i="1059" s="1"/>
  <c r="AB121" i="1059"/>
  <c r="AB60" i="1064"/>
  <c r="Q171" i="1059"/>
  <c r="AD14" i="1059"/>
  <c r="R14" i="1059"/>
  <c r="R57" i="1059" s="1"/>
  <c r="AE166" i="1057"/>
  <c r="AE165" i="1057"/>
  <c r="AE171" i="1061"/>
  <c r="AE57" i="1061"/>
  <c r="Q88" i="1063" a="1"/>
  <c r="Q88" i="1063" s="1"/>
  <c r="AD9" i="1063"/>
  <c r="AD88" i="1063" s="1"/>
  <c r="AD109" i="1063" s="1"/>
  <c r="R9" i="1063"/>
  <c r="AC203" i="1057"/>
  <c r="AC91" i="1057"/>
  <c r="AC110" i="1057" s="1"/>
  <c r="R125" i="1064"/>
  <c r="AF125" i="1064" s="1"/>
  <c r="R130" i="1064" a="1"/>
  <c r="R130" i="1064" s="1"/>
  <c r="R164" i="1064" s="1"/>
  <c r="R129" i="1064"/>
  <c r="R163" i="1064" s="1"/>
  <c r="R123" i="1064"/>
  <c r="R216" i="1064" a="1"/>
  <c r="R216" i="1064" s="1"/>
  <c r="R181" i="1064"/>
  <c r="R180" i="1064"/>
  <c r="AD90" i="1057"/>
  <c r="AD202" i="1057"/>
  <c r="AC55" i="1062"/>
  <c r="Q57" i="1058"/>
  <c r="Q112" i="1058" s="1"/>
  <c r="Y147" i="1064"/>
  <c r="AE174" i="1061"/>
  <c r="AE60" i="1061"/>
  <c r="N147" i="1058"/>
  <c r="N145" i="1058"/>
  <c r="N146" i="1058" s="1"/>
  <c r="N148" i="1058"/>
  <c r="N144" i="1058"/>
  <c r="AB55" i="1058"/>
  <c r="Q221" i="1064"/>
  <c r="Q109" i="1064"/>
  <c r="Q101" i="1059"/>
  <c r="Q213" i="1059"/>
  <c r="Q208" i="1059"/>
  <c r="Q96" i="1059"/>
  <c r="P209" i="1064"/>
  <c r="P97" i="1064"/>
  <c r="P213" i="1064"/>
  <c r="P101" i="1064"/>
  <c r="Q53" i="1060"/>
  <c r="Q54" i="1060"/>
  <c r="Q71" i="1060" s="1"/>
  <c r="Q69" i="1060"/>
  <c r="AB61" i="1060"/>
  <c r="AD60" i="1061"/>
  <c r="P221" i="1062"/>
  <c r="P109" i="1062"/>
  <c r="P70" i="1062"/>
  <c r="P117" i="1062"/>
  <c r="AF117" i="1062" s="1"/>
  <c r="P44" i="1062" s="1"/>
  <c r="AD178" i="1061"/>
  <c r="AC68" i="1060"/>
  <c r="AC182" i="1060"/>
  <c r="Y113" i="1064"/>
  <c r="Y225" i="1064" s="1"/>
  <c r="Y114" i="1064"/>
  <c r="Y115" i="1064" s="1"/>
  <c r="Y116" i="1064" s="1"/>
  <c r="Y126" i="1064" s="1"/>
  <c r="Z117" i="1060"/>
  <c r="AA71" i="1058"/>
  <c r="AA70" i="1058"/>
  <c r="R23" i="1062"/>
  <c r="Q182" i="1062"/>
  <c r="AD23" i="1062"/>
  <c r="AE12" i="1062"/>
  <c r="R166" i="1062"/>
  <c r="R165" i="1062"/>
  <c r="P101" i="1057"/>
  <c r="P213" i="1057"/>
  <c r="X114" i="1060"/>
  <c r="X115" i="1060" s="1"/>
  <c r="X116" i="1060" s="1"/>
  <c r="X126" i="1060" s="1"/>
  <c r="AE129" i="1057"/>
  <c r="AE163" i="1057" s="1"/>
  <c r="AE123" i="1057"/>
  <c r="AE125" i="1057"/>
  <c r="AE130" i="1057"/>
  <c r="AE164" i="1057" s="1"/>
  <c r="AE53" i="1057"/>
  <c r="AE69" i="1057"/>
  <c r="AE54" i="1057"/>
  <c r="AE104" i="1057"/>
  <c r="AE216" i="1057"/>
  <c r="AE236" i="1057"/>
  <c r="AE180" i="1057"/>
  <c r="AE66" i="1057"/>
  <c r="AE67" i="1057"/>
  <c r="AE181" i="1057"/>
  <c r="P55" i="1058"/>
  <c r="AA114" i="1061"/>
  <c r="AA115" i="1061" s="1"/>
  <c r="AA116" i="1061" s="1"/>
  <c r="AA126" i="1061" s="1"/>
  <c r="AA71" i="1060"/>
  <c r="AA70" i="1060"/>
  <c r="AA89" i="1060" s="1"/>
  <c r="AC175" i="1059"/>
  <c r="AC61" i="1059"/>
  <c r="AA211" i="1062"/>
  <c r="AA99" i="1062"/>
  <c r="AA140" i="1062"/>
  <c r="AD65" i="1061"/>
  <c r="AD217" i="1061"/>
  <c r="N144" i="1064"/>
  <c r="AB60" i="1063"/>
  <c r="O141" i="1062"/>
  <c r="D177" i="1059"/>
  <c r="B64" i="1059"/>
  <c r="P215" i="1061"/>
  <c r="P103" i="1061"/>
  <c r="P184" i="1061"/>
  <c r="P185" i="1061"/>
  <c r="P206" i="1061"/>
  <c r="P94" i="1061"/>
  <c r="P202" i="1061"/>
  <c r="P142" i="1061"/>
  <c r="P143" i="1061" s="1"/>
  <c r="P90" i="1061"/>
  <c r="AB93" i="1058"/>
  <c r="AB205" i="1058"/>
  <c r="AC165" i="1058"/>
  <c r="AC169" i="1058" s="1"/>
  <c r="AC166" i="1058"/>
  <c r="AB125" i="1062"/>
  <c r="AB54" i="1062"/>
  <c r="AB123" i="1062"/>
  <c r="AB53" i="1062"/>
  <c r="AB129" i="1062"/>
  <c r="AB163" i="1062" s="1"/>
  <c r="AB69" i="1062"/>
  <c r="AB130" i="1062"/>
  <c r="AB164" i="1062" s="1"/>
  <c r="AB67" i="1062"/>
  <c r="AB66" i="1062"/>
  <c r="AB216" i="1062"/>
  <c r="AB180" i="1062"/>
  <c r="AB104" i="1062"/>
  <c r="AB181" i="1062"/>
  <c r="AB236" i="1062"/>
  <c r="AB178" i="1062"/>
  <c r="AB64" i="1062"/>
  <c r="AB217" i="1062"/>
  <c r="AB62" i="1062"/>
  <c r="AB179" i="1062"/>
  <c r="AB139" i="1062"/>
  <c r="AB177" i="1062"/>
  <c r="AB65" i="1062"/>
  <c r="AB63" i="1062"/>
  <c r="AB167" i="1062"/>
  <c r="AB168" i="1062"/>
  <c r="AB176" i="1062"/>
  <c r="M122" i="1064"/>
  <c r="N110" i="1055"/>
  <c r="Y122" i="1056"/>
  <c r="Q174" i="1063"/>
  <c r="AD17" i="1063"/>
  <c r="R17" i="1063"/>
  <c r="R60" i="1063" s="1"/>
  <c r="P95" i="1062"/>
  <c r="P207" i="1062"/>
  <c r="P206" i="1062"/>
  <c r="P94" i="1062"/>
  <c r="AB212" i="1064"/>
  <c r="AB100" i="1064"/>
  <c r="R11" i="1058"/>
  <c r="AD11" i="1058"/>
  <c r="Q104" i="1058"/>
  <c r="Q236" i="1058"/>
  <c r="M115" i="1064"/>
  <c r="M116" i="1064" s="1"/>
  <c r="AC55" i="1059"/>
  <c r="Q174" i="1062"/>
  <c r="R17" i="1062"/>
  <c r="AD17" i="1062"/>
  <c r="AA197" i="1063"/>
  <c r="AA196" i="1063"/>
  <c r="AA198" i="1063"/>
  <c r="Z113" i="1060"/>
  <c r="Z225" i="1060" s="1"/>
  <c r="Z89" i="1064"/>
  <c r="Z89" i="1062"/>
  <c r="AB217" i="1060"/>
  <c r="D233" i="1058"/>
  <c r="B122" i="1058"/>
  <c r="AC176" i="1060"/>
  <c r="AC62" i="1060"/>
  <c r="AB139" i="1064"/>
  <c r="AB215" i="1058"/>
  <c r="AB103" i="1058"/>
  <c r="AB184" i="1058"/>
  <c r="AB185" i="1058"/>
  <c r="N219" i="1058"/>
  <c r="N106" i="1058"/>
  <c r="R109" i="1061"/>
  <c r="R221" i="1061"/>
  <c r="AD49" i="1063"/>
  <c r="R49" i="1063"/>
  <c r="AE49" i="1063" s="1"/>
  <c r="AC148" i="1057"/>
  <c r="AC145" i="1057"/>
  <c r="AC144" i="1057" s="1"/>
  <c r="O110" i="1061"/>
  <c r="R62" i="1063"/>
  <c r="R58" i="1063"/>
  <c r="R67" i="1063"/>
  <c r="R59" i="1063"/>
  <c r="R56" i="1063"/>
  <c r="R66" i="1063"/>
  <c r="R68" i="1063"/>
  <c r="R64" i="1063"/>
  <c r="AE8" i="1063"/>
  <c r="Q205" i="1063"/>
  <c r="Q93" i="1063"/>
  <c r="AE207" i="1057"/>
  <c r="AE95" i="1057"/>
  <c r="AB176" i="1060"/>
  <c r="AB196" i="1059"/>
  <c r="AB198" i="1059"/>
  <c r="AB197" i="1059"/>
  <c r="AB174" i="1064"/>
  <c r="Q175" i="1063"/>
  <c r="AD18" i="1063"/>
  <c r="R18" i="1063"/>
  <c r="AC171" i="1059"/>
  <c r="AC57" i="1059"/>
  <c r="Y114" i="1060"/>
  <c r="Y115" i="1060" s="1"/>
  <c r="Y116" i="1060" s="1"/>
  <c r="Y113" i="1060"/>
  <c r="Y225" i="1060" s="1"/>
  <c r="AA147" i="1057"/>
  <c r="Q173" i="1064"/>
  <c r="AD16" i="1064"/>
  <c r="R16" i="1064"/>
  <c r="Q213" i="1058"/>
  <c r="Q101" i="1058"/>
  <c r="R130" i="1057" a="1"/>
  <c r="R130" i="1057" s="1"/>
  <c r="R164" i="1057" s="1"/>
  <c r="R125" i="1057"/>
  <c r="AF125" i="1057" s="1"/>
  <c r="R129" i="1057"/>
  <c r="R163" i="1057" s="1"/>
  <c r="R123" i="1057"/>
  <c r="R216" i="1057" a="1"/>
  <c r="R216" i="1057" s="1"/>
  <c r="R181" i="1057"/>
  <c r="R180" i="1057"/>
  <c r="P142" i="1060"/>
  <c r="P143" i="1060" s="1"/>
  <c r="N117" i="1058"/>
  <c r="AC205" i="1060"/>
  <c r="AC93" i="1060"/>
  <c r="Q214" i="1059"/>
  <c r="Q102" i="1059"/>
  <c r="Q215" i="1059"/>
  <c r="Q103" i="1059"/>
  <c r="Q184" i="1059"/>
  <c r="Q185" i="1059"/>
  <c r="AE172" i="1057"/>
  <c r="AE58" i="1057"/>
  <c r="O145" i="1064"/>
  <c r="O147" i="1064" s="1"/>
  <c r="P206" i="1064"/>
  <c r="P94" i="1064"/>
  <c r="P202" i="1064"/>
  <c r="P142" i="1064"/>
  <c r="P143" i="1064" s="1"/>
  <c r="P90" i="1064"/>
  <c r="D177" i="1064"/>
  <c r="B64" i="1064"/>
  <c r="Q93" i="1060"/>
  <c r="Q205" i="1060"/>
  <c r="Z117" i="1063"/>
  <c r="R139" i="1057"/>
  <c r="AD174" i="1061"/>
  <c r="AB126" i="1057"/>
  <c r="AD12" i="1064"/>
  <c r="R12" i="1064"/>
  <c r="Q165" i="1064"/>
  <c r="Q169" i="1064" s="1"/>
  <c r="Q166" i="1064"/>
  <c r="AD64" i="1061"/>
  <c r="Q182" i="1060"/>
  <c r="R23" i="1060"/>
  <c r="R68" i="1060" s="1"/>
  <c r="AD23" i="1060"/>
  <c r="AC210" i="1061"/>
  <c r="AC98" i="1061"/>
  <c r="Z145" i="1060"/>
  <c r="Z144" i="1060" s="1"/>
  <c r="Z141" i="1060"/>
  <c r="Y128" i="1064"/>
  <c r="Y120" i="1064"/>
  <c r="Y119" i="1064"/>
  <c r="Y122" i="1064" s="1"/>
  <c r="L122" i="1060"/>
  <c r="AC182" i="1062"/>
  <c r="AC68" i="1062"/>
  <c r="R15" i="1060"/>
  <c r="Q172" i="1060"/>
  <c r="AD15" i="1060"/>
  <c r="R179" i="1061"/>
  <c r="Z145" i="1058"/>
  <c r="Z147" i="1058" s="1"/>
  <c r="Z144" i="1058"/>
  <c r="Q125" i="1063"/>
  <c r="Q130" i="1063" a="1"/>
  <c r="Q130" i="1063" s="1"/>
  <c r="Q164" i="1063" s="1"/>
  <c r="Q123" i="1063"/>
  <c r="Q129" i="1063"/>
  <c r="Q163" i="1063" s="1"/>
  <c r="R10" i="1063"/>
  <c r="R108" i="1063" s="1"/>
  <c r="Q216" i="1063" a="1"/>
  <c r="Q216" i="1063" s="1"/>
  <c r="Q181" i="1063"/>
  <c r="Q180" i="1063"/>
  <c r="P71" i="1057"/>
  <c r="P70" i="1057"/>
  <c r="P203" i="1057"/>
  <c r="P91" i="1057"/>
  <c r="AB210" i="1063"/>
  <c r="AB98" i="1063"/>
  <c r="AB219" i="1061"/>
  <c r="AB106" i="1061"/>
  <c r="AB110" i="1061" s="1"/>
  <c r="P100" i="1059"/>
  <c r="P212" i="1059"/>
  <c r="AD209" i="1057"/>
  <c r="AD97" i="1057"/>
  <c r="R174" i="1059"/>
  <c r="AE17" i="1059"/>
  <c r="Q174" i="1058"/>
  <c r="R17" i="1058"/>
  <c r="AD17" i="1058"/>
  <c r="D177" i="1060"/>
  <c r="B64" i="1060"/>
  <c r="AC59" i="1060"/>
  <c r="AC173" i="1060"/>
  <c r="P204" i="1061"/>
  <c r="P92" i="1061"/>
  <c r="P210" i="1061"/>
  <c r="P98" i="1061"/>
  <c r="P211" i="1061"/>
  <c r="P99" i="1061"/>
  <c r="P140" i="1061"/>
  <c r="Q129" i="1059"/>
  <c r="Q163" i="1059" s="1"/>
  <c r="Q123" i="1059"/>
  <c r="Q125" i="1059"/>
  <c r="R10" i="1059"/>
  <c r="R64" i="1059" s="1"/>
  <c r="Q130" i="1059" a="1"/>
  <c r="Q130" i="1059" s="1"/>
  <c r="Q164" i="1059" s="1"/>
  <c r="Q216" i="1059" a="1"/>
  <c r="Q216" i="1059" s="1"/>
  <c r="Q180" i="1059"/>
  <c r="Q181" i="1059"/>
  <c r="AB203" i="1059"/>
  <c r="AB91" i="1059"/>
  <c r="AA140" i="1063"/>
  <c r="X122" i="1062"/>
  <c r="Z89" i="1052"/>
  <c r="O89" i="1054"/>
  <c r="L122" i="1054"/>
  <c r="N144" i="1056"/>
  <c r="AD9" i="1060"/>
  <c r="AD88" i="1060" s="1"/>
  <c r="AD109" i="1060" s="1"/>
  <c r="R9" i="1060"/>
  <c r="Q88" i="1060" a="1"/>
  <c r="Q88" i="1060" s="1"/>
  <c r="AC174" i="1063"/>
  <c r="AC60" i="1063"/>
  <c r="O141" i="1060"/>
  <c r="N219" i="1063"/>
  <c r="N106" i="1063"/>
  <c r="N110" i="1063" s="1"/>
  <c r="P210" i="1059"/>
  <c r="P98" i="1059"/>
  <c r="O110" i="1062"/>
  <c r="P103" i="1062"/>
  <c r="P215" i="1062"/>
  <c r="P185" i="1062"/>
  <c r="P184" i="1062"/>
  <c r="P98" i="1062"/>
  <c r="P210" i="1062"/>
  <c r="G126" i="1057"/>
  <c r="R176" i="1062"/>
  <c r="AE19" i="1062"/>
  <c r="AC10" i="1058"/>
  <c r="AC177" i="1058" s="1"/>
  <c r="P149" i="1058"/>
  <c r="AD22" i="1063"/>
  <c r="R22" i="1063"/>
  <c r="AE22" i="1063" s="1"/>
  <c r="AB215" i="1064"/>
  <c r="AB103" i="1064"/>
  <c r="AB185" i="1064"/>
  <c r="AB184" i="1064"/>
  <c r="AE172" i="1061"/>
  <c r="AE58" i="1061"/>
  <c r="O225" i="1060"/>
  <c r="O114" i="1060"/>
  <c r="O115" i="1060" s="1"/>
  <c r="O116" i="1060" s="1"/>
  <c r="O113" i="1060"/>
  <c r="AA121" i="1063"/>
  <c r="AA111" i="1063"/>
  <c r="O203" i="1058"/>
  <c r="O91" i="1058"/>
  <c r="O142" i="1058"/>
  <c r="O143" i="1058" s="1"/>
  <c r="Y128" i="1063"/>
  <c r="Y120" i="1063"/>
  <c r="Y119" i="1063"/>
  <c r="Y122" i="1063" s="1"/>
  <c r="AD131" i="1058"/>
  <c r="AD132" i="1058"/>
  <c r="AD133" i="1058"/>
  <c r="AD134" i="1058"/>
  <c r="Z110" i="1064"/>
  <c r="Q178" i="1064"/>
  <c r="AD21" i="1064"/>
  <c r="R21" i="1064"/>
  <c r="Z110" i="1062"/>
  <c r="AB65" i="1060"/>
  <c r="R173" i="1063"/>
  <c r="AE16" i="1063"/>
  <c r="AB209" i="1063"/>
  <c r="AB97" i="1063"/>
  <c r="Q182" i="1064"/>
  <c r="AD23" i="1064"/>
  <c r="R23" i="1064"/>
  <c r="AB168" i="1064"/>
  <c r="AB209" i="1058"/>
  <c r="AB97" i="1058"/>
  <c r="AD171" i="1060"/>
  <c r="AD57" i="1060"/>
  <c r="O70" i="1058"/>
  <c r="O117" i="1058" s="1"/>
  <c r="O148" i="1061"/>
  <c r="O145" i="1061"/>
  <c r="O146" i="1061" s="1"/>
  <c r="O144" i="1061"/>
  <c r="Q133" i="1060"/>
  <c r="Q217" i="1060"/>
  <c r="Q179" i="1060"/>
  <c r="Q168" i="1060"/>
  <c r="Q132" i="1060"/>
  <c r="Q167" i="1060"/>
  <c r="R4" i="1060"/>
  <c r="Q139" i="1060"/>
  <c r="Q131" i="1060"/>
  <c r="Q134" i="1060"/>
  <c r="AD4" i="1060"/>
  <c r="Q169" i="1060"/>
  <c r="Q204" i="1063"/>
  <c r="Q92" i="1063"/>
  <c r="Q63" i="1063"/>
  <c r="AB62" i="1060"/>
  <c r="AA110" i="1059"/>
  <c r="R182" i="1063"/>
  <c r="AE23" i="1063"/>
  <c r="AC61" i="1063"/>
  <c r="AC175" i="1063"/>
  <c r="AD55" i="1057"/>
  <c r="AD142" i="1057" s="1"/>
  <c r="AD143" i="1057" s="1"/>
  <c r="P221" i="1063"/>
  <c r="P109" i="1063"/>
  <c r="Q121" i="1064"/>
  <c r="Q111" i="1064"/>
  <c r="AD214" i="1057"/>
  <c r="AD102" i="1057"/>
  <c r="AD13" i="1064"/>
  <c r="AD56" i="1064" s="1"/>
  <c r="R13" i="1064"/>
  <c r="AE13" i="1064" s="1"/>
  <c r="AE56" i="1064" s="1"/>
  <c r="AC173" i="1064"/>
  <c r="AC59" i="1064"/>
  <c r="AB207" i="1058"/>
  <c r="AB95" i="1058"/>
  <c r="Q63" i="1058"/>
  <c r="Q58" i="1058"/>
  <c r="Q121" i="1057"/>
  <c r="Q111" i="1057"/>
  <c r="R18" i="1062"/>
  <c r="AD18" i="1062"/>
  <c r="Q175" i="1062"/>
  <c r="AE166" i="1061"/>
  <c r="AE165" i="1061"/>
  <c r="AE169" i="1061" s="1"/>
  <c r="K126" i="1060"/>
  <c r="AC208" i="1061"/>
  <c r="AC96" i="1061"/>
  <c r="AB210" i="1058"/>
  <c r="AB98" i="1058"/>
  <c r="B123" i="1057"/>
  <c r="D234" i="1057"/>
  <c r="Q209" i="1059"/>
  <c r="Q97" i="1059"/>
  <c r="Q57" i="1059"/>
  <c r="P214" i="1064"/>
  <c r="P102" i="1064"/>
  <c r="P71" i="1064"/>
  <c r="Q207" i="1060"/>
  <c r="Q95" i="1060"/>
  <c r="Q92" i="1060"/>
  <c r="Q204" i="1060"/>
  <c r="Z147" i="1063"/>
  <c r="Z145" i="1063"/>
  <c r="Z146" i="1063" s="1"/>
  <c r="Z144" i="1063"/>
  <c r="AE204" i="1063"/>
  <c r="AE92" i="1063"/>
  <c r="O219" i="1059"/>
  <c r="O106" i="1059"/>
  <c r="O110" i="1059" s="1"/>
  <c r="AC165" i="1064"/>
  <c r="AC169" i="1064" s="1"/>
  <c r="AC166" i="1064"/>
  <c r="Z89" i="1060"/>
  <c r="AE175" i="1057"/>
  <c r="AE61" i="1057"/>
  <c r="AD206" i="1057"/>
  <c r="AD94" i="1057"/>
  <c r="AC60" i="1059"/>
  <c r="R109" i="1057"/>
  <c r="R221" i="1057"/>
  <c r="AA90" i="1058"/>
  <c r="AA202" i="1058"/>
  <c r="AA142" i="1058"/>
  <c r="AA143" i="1058" s="1"/>
  <c r="AA89" i="1058"/>
  <c r="AA117" i="1058"/>
  <c r="Z112" i="1063"/>
  <c r="Q88" i="1059" a="1"/>
  <c r="Q88" i="1059" s="1"/>
  <c r="AD9" i="1059"/>
  <c r="AD88" i="1059" s="1"/>
  <c r="AD109" i="1059" s="1"/>
  <c r="R9" i="1059"/>
  <c r="P198" i="1063"/>
  <c r="P197" i="1063"/>
  <c r="P196" i="1063"/>
  <c r="AC209" i="1061"/>
  <c r="AC97" i="1061"/>
  <c r="P95" i="1057"/>
  <c r="P207" i="1057"/>
  <c r="AB125" i="1063"/>
  <c r="AB130" i="1063"/>
  <c r="AB164" i="1063" s="1"/>
  <c r="AB123" i="1063"/>
  <c r="AB54" i="1063"/>
  <c r="AB53" i="1063"/>
  <c r="AB129" i="1063"/>
  <c r="AB163" i="1063" s="1"/>
  <c r="AB69" i="1063"/>
  <c r="AB181" i="1063"/>
  <c r="AB67" i="1063"/>
  <c r="AB104" i="1063"/>
  <c r="AB216" i="1063"/>
  <c r="AB180" i="1063"/>
  <c r="AB66" i="1063"/>
  <c r="AB236" i="1063"/>
  <c r="AB178" i="1063"/>
  <c r="AB64" i="1063"/>
  <c r="AD174" i="1059"/>
  <c r="AD60" i="1059"/>
  <c r="AA212" i="1060"/>
  <c r="AA100" i="1060"/>
  <c r="AA111" i="1060"/>
  <c r="AA112" i="1060" s="1"/>
  <c r="AA121" i="1060"/>
  <c r="AC174" i="1058"/>
  <c r="AC60" i="1058"/>
  <c r="AD171" i="1062"/>
  <c r="AD57" i="1062"/>
  <c r="Q173" i="1062"/>
  <c r="R16" i="1062"/>
  <c r="AD16" i="1062"/>
  <c r="AA210" i="1062"/>
  <c r="AA98" i="1062"/>
  <c r="AA213" i="1062"/>
  <c r="AA101" i="1062"/>
  <c r="AD61" i="1061"/>
  <c r="R177" i="1062"/>
  <c r="AE20" i="1062"/>
  <c r="O219" i="1057"/>
  <c r="O106" i="1057"/>
  <c r="O110" i="1057" s="1"/>
  <c r="P208" i="1061"/>
  <c r="P96" i="1061"/>
  <c r="AC196" i="1061"/>
  <c r="AC198" i="1061"/>
  <c r="AC197" i="1061"/>
  <c r="O146" i="1064"/>
  <c r="O141" i="1064"/>
  <c r="O148" i="1064" s="1"/>
  <c r="Q177" i="1064"/>
  <c r="AD20" i="1064"/>
  <c r="R20" i="1064"/>
  <c r="Q70" i="1058"/>
  <c r="O144" i="1055"/>
  <c r="D177" i="1058"/>
  <c r="B64" i="1058"/>
  <c r="Y126" i="1060"/>
  <c r="P204" i="1062"/>
  <c r="P92" i="1062"/>
  <c r="AC95" i="1063"/>
  <c r="AC207" i="1063"/>
  <c r="Y120" i="1058"/>
  <c r="Y128" i="1058"/>
  <c r="Y119" i="1058"/>
  <c r="Y122" i="1058" s="1"/>
  <c r="Q198" i="1062"/>
  <c r="Q197" i="1062"/>
  <c r="Q196" i="1062"/>
  <c r="AA213" i="1063"/>
  <c r="AA101" i="1063"/>
  <c r="AA202" i="1063"/>
  <c r="AA142" i="1063"/>
  <c r="AA143" i="1063" s="1"/>
  <c r="AA90" i="1063"/>
  <c r="AA71" i="1064"/>
  <c r="AA70" i="1064"/>
  <c r="Y113" i="1058"/>
  <c r="Y225" i="1058" s="1"/>
  <c r="Y114" i="1058"/>
  <c r="Y115" i="1058" s="1"/>
  <c r="Y116" i="1058" s="1"/>
  <c r="Y126" i="1058" s="1"/>
  <c r="AC203" i="1061"/>
  <c r="AC91" i="1061"/>
  <c r="Z145" i="1064"/>
  <c r="Z147" i="1064" s="1"/>
  <c r="Z144" i="1064"/>
  <c r="AD11" i="1064"/>
  <c r="R11" i="1064"/>
  <c r="Q236" i="1064"/>
  <c r="Q104" i="1064"/>
  <c r="Z145" i="1062"/>
  <c r="Z144" i="1062" s="1"/>
  <c r="Z147" i="1062"/>
  <c r="P98" i="1058"/>
  <c r="P210" i="1058"/>
  <c r="AD173" i="1063"/>
  <c r="AD59" i="1063"/>
  <c r="R19" i="1060"/>
  <c r="Q176" i="1060"/>
  <c r="AD19" i="1060"/>
  <c r="Q174" i="1064"/>
  <c r="AD17" i="1064"/>
  <c r="R17" i="1064"/>
  <c r="AC182" i="1064"/>
  <c r="AC68" i="1064"/>
  <c r="AE21" i="1059"/>
  <c r="R178" i="1059"/>
  <c r="AD206" i="1061"/>
  <c r="AD94" i="1061"/>
  <c r="AC211" i="1059"/>
  <c r="AC99" i="1059"/>
  <c r="Z141" i="1064"/>
  <c r="R217" i="1062"/>
  <c r="R133" i="1062"/>
  <c r="R168" i="1062"/>
  <c r="R179" i="1062"/>
  <c r="R167" i="1062"/>
  <c r="R139" i="1062"/>
  <c r="R134" i="1062"/>
  <c r="R132" i="1062"/>
  <c r="R131" i="1062"/>
  <c r="R169" i="1062"/>
  <c r="AE4" i="1062"/>
  <c r="P215" i="1059"/>
  <c r="P103" i="1059"/>
  <c r="P185" i="1059"/>
  <c r="P184" i="1059"/>
  <c r="AB125" i="1064"/>
  <c r="AB130" i="1064"/>
  <c r="AB164" i="1064" s="1"/>
  <c r="AB129" i="1064"/>
  <c r="AB163" i="1064" s="1"/>
  <c r="AB123" i="1064"/>
  <c r="AB54" i="1064"/>
  <c r="AB53" i="1064"/>
  <c r="AB69" i="1064"/>
  <c r="AB216" i="1064"/>
  <c r="AB181" i="1064"/>
  <c r="AB66" i="1064"/>
  <c r="AB67" i="1064"/>
  <c r="AB104" i="1064"/>
  <c r="AB180" i="1064"/>
  <c r="AB236" i="1064"/>
  <c r="AC217" i="1060"/>
  <c r="AC167" i="1060"/>
  <c r="AC134" i="1060"/>
  <c r="AC65" i="1060"/>
  <c r="AC139" i="1060"/>
  <c r="AC133" i="1060"/>
  <c r="AC132" i="1060"/>
  <c r="AC131" i="1060"/>
  <c r="AC168" i="1060"/>
  <c r="AC179" i="1060"/>
  <c r="Y113" i="1063"/>
  <c r="Y225" i="1063" s="1"/>
  <c r="Q214" i="1063"/>
  <c r="Q102" i="1063"/>
  <c r="Q210" i="1063"/>
  <c r="Q98" i="1063"/>
  <c r="AB214" i="1059"/>
  <c r="AB102" i="1059"/>
  <c r="AD68" i="1063"/>
  <c r="AD182" i="1063"/>
  <c r="Q176" i="1064"/>
  <c r="AD19" i="1064"/>
  <c r="R19" i="1064"/>
  <c r="AC175" i="1060"/>
  <c r="AC61" i="1060"/>
  <c r="AE20" i="1059"/>
  <c r="R177" i="1059"/>
  <c r="Q175" i="1058"/>
  <c r="R18" i="1058"/>
  <c r="AD18" i="1058"/>
  <c r="Z119" i="1059"/>
  <c r="Z120" i="1059"/>
  <c r="Z128" i="1059"/>
  <c r="D233" i="1063"/>
  <c r="B122" i="1063"/>
  <c r="Q196" i="1064"/>
  <c r="Q197" i="1064"/>
  <c r="Q198" i="1064"/>
  <c r="AD111" i="1057"/>
  <c r="AD121" i="1057"/>
  <c r="AC212" i="1061"/>
  <c r="AC100" i="1061"/>
  <c r="AC204" i="1064"/>
  <c r="AC92" i="1064"/>
  <c r="AD54" i="1061"/>
  <c r="AD130" i="1061"/>
  <c r="AD164" i="1061" s="1"/>
  <c r="AD125" i="1061"/>
  <c r="AD53" i="1061"/>
  <c r="AD129" i="1061"/>
  <c r="AD163" i="1061" s="1"/>
  <c r="AD69" i="1061"/>
  <c r="AD123" i="1061"/>
  <c r="AD216" i="1061"/>
  <c r="AD104" i="1061"/>
  <c r="AD236" i="1061"/>
  <c r="AD180" i="1061"/>
  <c r="AD66" i="1061"/>
  <c r="AD181" i="1061"/>
  <c r="AD67" i="1061"/>
  <c r="Q98" i="1058"/>
  <c r="Q210" i="1058"/>
  <c r="Q208" i="1058"/>
  <c r="Q96" i="1058"/>
  <c r="Q196" i="1057"/>
  <c r="Q198" i="1057"/>
  <c r="Q197" i="1057"/>
  <c r="AC175" i="1062"/>
  <c r="AC61" i="1062"/>
  <c r="D177" i="1063"/>
  <c r="B64" i="1063"/>
  <c r="AB176" i="1064"/>
  <c r="L115" i="1062"/>
  <c r="L116" i="1062" s="1"/>
  <c r="N110" i="1058"/>
  <c r="Q204" i="1059"/>
  <c r="Q92" i="1059"/>
  <c r="Q62" i="1059"/>
  <c r="Q203" i="1059"/>
  <c r="Q91" i="1059"/>
  <c r="P207" i="1064"/>
  <c r="P95" i="1064"/>
  <c r="Q61" i="1060"/>
  <c r="Q60" i="1060"/>
  <c r="Z110" i="1063"/>
  <c r="AD204" i="1063"/>
  <c r="AD92" i="1063"/>
  <c r="AE176" i="1057"/>
  <c r="AE62" i="1057"/>
  <c r="AE139" i="1057"/>
  <c r="AE179" i="1057"/>
  <c r="AE168" i="1057"/>
  <c r="AE133" i="1057"/>
  <c r="AE132" i="1057"/>
  <c r="AE131" i="1057"/>
  <c r="AE55" i="1057" s="1"/>
  <c r="AE169" i="1057"/>
  <c r="AE217" i="1057"/>
  <c r="AE65" i="1057"/>
  <c r="AE134" i="1057"/>
  <c r="AE167" i="1057"/>
  <c r="R167" i="1057"/>
  <c r="AB207" i="1062"/>
  <c r="AB95" i="1062"/>
  <c r="AE175" i="1061"/>
  <c r="AE61" i="1061"/>
  <c r="Z219" i="1058"/>
  <c r="Z106" i="1058"/>
  <c r="Z110" i="1058" s="1"/>
  <c r="Q111" i="1061"/>
  <c r="Q121" i="1061"/>
  <c r="R175" i="1057"/>
  <c r="Z146" i="1062"/>
  <c r="Z148" i="1062" s="1"/>
  <c r="Z141" i="1062"/>
  <c r="AC174" i="1059"/>
  <c r="R22" i="1058"/>
  <c r="AE22" i="1058" s="1"/>
  <c r="AD22" i="1058"/>
  <c r="AA214" i="1058"/>
  <c r="AA102" i="1058"/>
  <c r="AC93" i="1062"/>
  <c r="AC205" i="1062"/>
  <c r="O112" i="1061"/>
  <c r="AB120" i="1057"/>
  <c r="AB128" i="1057"/>
  <c r="AB119" i="1057"/>
  <c r="AD167" i="1059"/>
  <c r="AD217" i="1059"/>
  <c r="AD179" i="1059"/>
  <c r="AD169" i="1059"/>
  <c r="AD168" i="1059"/>
  <c r="AD133" i="1059"/>
  <c r="AD131" i="1059"/>
  <c r="AD65" i="1059"/>
  <c r="AD132" i="1059"/>
  <c r="AD134" i="1059"/>
  <c r="AD139" i="1059"/>
  <c r="P121" i="1063"/>
  <c r="P111" i="1063"/>
  <c r="P202" i="1057"/>
  <c r="P142" i="1057"/>
  <c r="P143" i="1057" s="1"/>
  <c r="P90" i="1057"/>
  <c r="P117" i="1057"/>
  <c r="AF117" i="1057" s="1"/>
  <c r="P44" i="1057" s="1"/>
  <c r="P212" i="1057"/>
  <c r="P100" i="1057"/>
  <c r="Q65" i="1057"/>
  <c r="Q55" i="1057"/>
  <c r="Q56" i="1057"/>
  <c r="Q69" i="1057"/>
  <c r="Q62" i="1057"/>
  <c r="Q58" i="1057"/>
  <c r="Q67" i="1057"/>
  <c r="Q66" i="1057"/>
  <c r="Q64" i="1057"/>
  <c r="Q59" i="1057"/>
  <c r="Q54" i="1057"/>
  <c r="Q60" i="1057"/>
  <c r="Q68" i="1057"/>
  <c r="AD8" i="1057"/>
  <c r="Q63" i="1057"/>
  <c r="Q53" i="1057"/>
  <c r="Q108" i="1057"/>
  <c r="Q61" i="1057"/>
  <c r="Q57" i="1057"/>
  <c r="R8" i="1057"/>
  <c r="O112" i="1062"/>
  <c r="AA198" i="1060"/>
  <c r="AA196" i="1060"/>
  <c r="AA197" i="1060"/>
  <c r="R16" i="1060"/>
  <c r="R59" i="1060" s="1"/>
  <c r="Q173" i="1060"/>
  <c r="AD16" i="1060"/>
  <c r="AC173" i="1062"/>
  <c r="AC59" i="1062"/>
  <c r="AA214" i="1062"/>
  <c r="AA102" i="1062"/>
  <c r="AA111" i="1062"/>
  <c r="AA112" i="1062" s="1"/>
  <c r="AA121" i="1062"/>
  <c r="AD175" i="1061"/>
  <c r="AD167" i="1061"/>
  <c r="Y147" i="1060"/>
  <c r="P213" i="1061"/>
  <c r="P101" i="1061"/>
  <c r="AC121" i="1061"/>
  <c r="AC111" i="1061"/>
  <c r="P197" i="1059"/>
  <c r="P198" i="1059"/>
  <c r="P196" i="1059"/>
  <c r="AC177" i="1064"/>
  <c r="M122" i="1057"/>
  <c r="N117" i="1063"/>
  <c r="M122" i="1062"/>
  <c r="M147" i="1052"/>
  <c r="X114" i="1055"/>
  <c r="X115" i="1055" s="1"/>
  <c r="X116" i="1055" s="1"/>
  <c r="X126" i="1055" s="1"/>
  <c r="X122" i="1056"/>
  <c r="Z112" i="1054"/>
  <c r="Y147" i="1055"/>
  <c r="O144" i="1054"/>
  <c r="X122" i="1054"/>
  <c r="AB99" i="1060"/>
  <c r="AB211" i="1060"/>
  <c r="AB140" i="1060"/>
  <c r="N126" i="1064"/>
  <c r="P55" i="1063"/>
  <c r="P70" i="1063" s="1"/>
  <c r="N128" i="1061"/>
  <c r="N120" i="1061"/>
  <c r="N119" i="1061"/>
  <c r="R111" i="1058"/>
  <c r="R121" i="1058"/>
  <c r="AF121" i="1058" s="1"/>
  <c r="AF123" i="1058"/>
  <c r="O148" i="1062"/>
  <c r="O147" i="1062"/>
  <c r="O145" i="1062"/>
  <c r="O144" i="1062" s="1"/>
  <c r="P213" i="1062"/>
  <c r="P101" i="1062"/>
  <c r="P91" i="1062"/>
  <c r="P203" i="1062"/>
  <c r="R11" i="1060"/>
  <c r="R108" i="1060" s="1"/>
  <c r="AD11" i="1060"/>
  <c r="Q236" i="1060"/>
  <c r="Q104" i="1060"/>
  <c r="AB211" i="1064"/>
  <c r="AB99" i="1064"/>
  <c r="AB140" i="1064"/>
  <c r="AE60" i="1057"/>
  <c r="AE174" i="1057"/>
  <c r="D235" i="1062"/>
  <c r="B124" i="1062"/>
  <c r="R129" i="1062"/>
  <c r="R163" i="1062" s="1"/>
  <c r="R123" i="1062"/>
  <c r="R130" i="1062" a="1"/>
  <c r="R130" i="1062" s="1"/>
  <c r="R164" i="1062" s="1"/>
  <c r="R125" i="1062"/>
  <c r="AF125" i="1062" s="1"/>
  <c r="R216" i="1062" a="1"/>
  <c r="R216" i="1062" s="1"/>
  <c r="R180" i="1062"/>
  <c r="R181" i="1062"/>
  <c r="AA214" i="1063"/>
  <c r="AA102" i="1063"/>
  <c r="AA70" i="1063"/>
  <c r="AA71" i="1063"/>
  <c r="AB113" i="1061"/>
  <c r="AB225" i="1061" s="1"/>
  <c r="D233" i="1064"/>
  <c r="B122" i="1064"/>
  <c r="D234" i="1059"/>
  <c r="B123" i="1059"/>
  <c r="AC10" i="1064"/>
  <c r="AC179" i="1064" s="1"/>
  <c r="P149" i="1064"/>
  <c r="P204" i="1058"/>
  <c r="P92" i="1058"/>
  <c r="AB139" i="1060"/>
  <c r="P97" i="1063"/>
  <c r="P209" i="1063"/>
  <c r="AB208" i="1059"/>
  <c r="AB96" i="1059"/>
  <c r="AC174" i="1064"/>
  <c r="AC215" i="1063"/>
  <c r="AC103" i="1063"/>
  <c r="AC185" i="1063"/>
  <c r="AC184" i="1063"/>
  <c r="AA203" i="1064"/>
  <c r="AA91" i="1064"/>
  <c r="AD178" i="1059"/>
  <c r="AD64" i="1059"/>
  <c r="AB167" i="1064"/>
  <c r="AC177" i="1059"/>
  <c r="AD96" i="1057"/>
  <c r="AD208" i="1057"/>
  <c r="AE176" i="1061"/>
  <c r="AE62" i="1061"/>
  <c r="R171" i="1060"/>
  <c r="AE14" i="1060"/>
  <c r="AD134" i="1062"/>
  <c r="AD133" i="1062"/>
  <c r="AD132" i="1062"/>
  <c r="AD131" i="1062"/>
  <c r="AD169" i="1062"/>
  <c r="P213" i="1059"/>
  <c r="P101" i="1059"/>
  <c r="AD49" i="1064"/>
  <c r="R49" i="1064"/>
  <c r="AE49" i="1064" s="1"/>
  <c r="Z112" i="1062"/>
  <c r="P208" i="1058"/>
  <c r="P96" i="1058"/>
  <c r="P205" i="1063"/>
  <c r="P93" i="1063"/>
  <c r="Q202" i="1063"/>
  <c r="Q90" i="1063"/>
  <c r="X122" i="1063"/>
  <c r="X122" i="1060"/>
  <c r="AB202" i="1059"/>
  <c r="AB90" i="1059"/>
  <c r="AB89" i="1059"/>
  <c r="AB142" i="1059"/>
  <c r="AB143" i="1059" s="1"/>
  <c r="AB117" i="1059"/>
  <c r="R13" i="1058"/>
  <c r="AE13" i="1058" s="1"/>
  <c r="AE56" i="1058" s="1"/>
  <c r="AD13" i="1058"/>
  <c r="AD56" i="1058" s="1"/>
  <c r="AC176" i="1064"/>
  <c r="Q182" i="1058"/>
  <c r="R23" i="1058"/>
  <c r="R68" i="1058" s="1"/>
  <c r="AD23" i="1058"/>
  <c r="AD177" i="1059"/>
  <c r="AD63" i="1059"/>
  <c r="AC61" i="1058"/>
  <c r="AC175" i="1058"/>
  <c r="AD196" i="1057"/>
  <c r="AD198" i="1057"/>
  <c r="AD197" i="1057"/>
  <c r="Q142" i="1058"/>
  <c r="Q143" i="1058" s="1"/>
  <c r="Q89" i="1058"/>
  <c r="Q202" i="1058"/>
  <c r="Q90" i="1058"/>
  <c r="Q102" i="1058"/>
  <c r="Q214" i="1058"/>
  <c r="Q171" i="1063"/>
  <c r="AD14" i="1063"/>
  <c r="R14" i="1063"/>
  <c r="D177" i="1062"/>
  <c r="B64" i="1062"/>
  <c r="M122" i="1059"/>
  <c r="AC140" i="1061"/>
  <c r="M128" i="1063"/>
  <c r="M120" i="1063"/>
  <c r="M119" i="1063"/>
  <c r="B123" i="1060"/>
  <c r="D234" i="1060"/>
  <c r="Q58" i="1059"/>
  <c r="Q140" i="1059" s="1"/>
  <c r="Q211" i="1059"/>
  <c r="Q99" i="1059"/>
  <c r="Q172" i="1064"/>
  <c r="AD15" i="1064"/>
  <c r="R15" i="1064"/>
  <c r="P208" i="1064"/>
  <c r="P96" i="1064"/>
  <c r="P210" i="1064"/>
  <c r="P98" i="1064"/>
  <c r="P204" i="1064"/>
  <c r="P92" i="1064"/>
  <c r="Q64" i="1060"/>
  <c r="Q66" i="1060"/>
  <c r="Z89" i="1063"/>
  <c r="R176" i="1057"/>
  <c r="AE16" i="1059"/>
  <c r="R173" i="1059"/>
  <c r="R175" i="1061"/>
  <c r="Q196" i="1061"/>
  <c r="Q198" i="1061"/>
  <c r="Q197" i="1061"/>
  <c r="AB145" i="1061"/>
  <c r="AB146" i="1061" s="1"/>
  <c r="Z110" i="1060"/>
  <c r="X114" i="1063"/>
  <c r="X115" i="1063" s="1"/>
  <c r="X116" i="1063" s="1"/>
  <c r="X126" i="1063" s="1"/>
  <c r="P209" i="1059"/>
  <c r="P97" i="1059"/>
  <c r="O91" i="1060"/>
  <c r="O110" i="1060" s="1"/>
  <c r="O203" i="1060"/>
  <c r="O89" i="1060"/>
  <c r="O126" i="1060" s="1"/>
  <c r="O142" i="1060"/>
  <c r="O143" i="1060" s="1"/>
  <c r="AB96" i="1058"/>
  <c r="AB208" i="1058"/>
  <c r="AA213" i="1058"/>
  <c r="AA101" i="1058"/>
  <c r="P140" i="1060"/>
  <c r="AB215" i="1059"/>
  <c r="AB103" i="1059"/>
  <c r="AB184" i="1059"/>
  <c r="AB185" i="1059"/>
  <c r="P221" i="1059"/>
  <c r="P70" i="1059"/>
  <c r="P117" i="1059" s="1"/>
  <c r="AF117" i="1059" s="1"/>
  <c r="P44" i="1059" s="1"/>
  <c r="P109" i="1059"/>
  <c r="O117" i="1060"/>
  <c r="R139" i="1061"/>
  <c r="P211" i="1057"/>
  <c r="P99" i="1057"/>
  <c r="P140" i="1057"/>
  <c r="P214" i="1057"/>
  <c r="P102" i="1057"/>
  <c r="P205" i="1057"/>
  <c r="P93" i="1057"/>
  <c r="AA91" i="1063"/>
  <c r="AA203" i="1063"/>
  <c r="O141" i="1063"/>
  <c r="R51" i="1063"/>
  <c r="AE51" i="1063" s="1"/>
  <c r="AD51" i="1063"/>
  <c r="AC165" i="1060"/>
  <c r="AC169" i="1060" s="1"/>
  <c r="AC166" i="1060"/>
  <c r="R171" i="1062"/>
  <c r="AE14" i="1062"/>
  <c r="Q182" i="1059"/>
  <c r="AD23" i="1059"/>
  <c r="R23" i="1059"/>
  <c r="R68" i="1059" s="1"/>
  <c r="D233" i="1061"/>
  <c r="B122" i="1061"/>
  <c r="AC177" i="1060"/>
  <c r="AC63" i="1060"/>
  <c r="AA196" i="1062"/>
  <c r="AA198" i="1062"/>
  <c r="AA197" i="1062"/>
  <c r="AB63" i="1063"/>
  <c r="AD168" i="1061"/>
  <c r="P211" i="1059"/>
  <c r="P99" i="1059"/>
  <c r="P140" i="1059"/>
  <c r="P71" i="1061"/>
  <c r="P70" i="1061"/>
  <c r="P117" i="1061" s="1"/>
  <c r="AF117" i="1061" s="1"/>
  <c r="P44" i="1061" s="1"/>
  <c r="Q108" i="1061"/>
  <c r="Q61" i="1061"/>
  <c r="Q57" i="1061"/>
  <c r="R8" i="1061"/>
  <c r="Q65" i="1061"/>
  <c r="Q55" i="1061"/>
  <c r="Q69" i="1061"/>
  <c r="Q62" i="1061"/>
  <c r="Q67" i="1061"/>
  <c r="Q64" i="1061"/>
  <c r="Q59" i="1061"/>
  <c r="Q54" i="1061"/>
  <c r="Q68" i="1061"/>
  <c r="Q66" i="1061"/>
  <c r="Q60" i="1061"/>
  <c r="Q56" i="1061"/>
  <c r="Q63" i="1061"/>
  <c r="Q53" i="1061"/>
  <c r="Q58" i="1061"/>
  <c r="AD8" i="1061"/>
  <c r="AC213" i="1061"/>
  <c r="AC101" i="1061"/>
  <c r="AC202" i="1061"/>
  <c r="AC142" i="1061"/>
  <c r="AC143" i="1061" s="1"/>
  <c r="AC90" i="1061"/>
  <c r="AC117" i="1061"/>
  <c r="L122" i="1057"/>
  <c r="R178" i="1062"/>
  <c r="M114" i="1061"/>
  <c r="P121" i="1059"/>
  <c r="P111" i="1059"/>
  <c r="L115" i="1055"/>
  <c r="L116" i="1055" s="1"/>
  <c r="L126" i="1055" s="1"/>
  <c r="Q209" i="1054"/>
  <c r="Q97" i="1054"/>
  <c r="Q209" i="1055"/>
  <c r="Q97" i="1055"/>
  <c r="N119" i="1053"/>
  <c r="N128" i="1053"/>
  <c r="N120" i="1053"/>
  <c r="Y119" i="1055"/>
  <c r="Y128" i="1055"/>
  <c r="Y120" i="1055"/>
  <c r="Y120" i="1054"/>
  <c r="Y128" i="1054"/>
  <c r="Y119" i="1054"/>
  <c r="AB209" i="1054"/>
  <c r="AB97" i="1054"/>
  <c r="AA141" i="1053"/>
  <c r="Q95" i="1054"/>
  <c r="Q207" i="1054"/>
  <c r="Q212" i="1055"/>
  <c r="Q100" i="1055"/>
  <c r="P203" i="1056"/>
  <c r="P91" i="1056"/>
  <c r="P70" i="1056"/>
  <c r="Q204" i="1055"/>
  <c r="Q92" i="1055"/>
  <c r="O225" i="1054"/>
  <c r="O113" i="1054"/>
  <c r="O114" i="1054" s="1"/>
  <c r="O115" i="1054" s="1"/>
  <c r="O116" i="1054" s="1"/>
  <c r="O126" i="1054" s="1"/>
  <c r="N128" i="1054"/>
  <c r="N120" i="1054"/>
  <c r="N119" i="1054"/>
  <c r="Y128" i="1053"/>
  <c r="Y120" i="1053"/>
  <c r="Y119" i="1053"/>
  <c r="Q215" i="1054"/>
  <c r="Q103" i="1054"/>
  <c r="Q185" i="1054"/>
  <c r="Q184" i="1054"/>
  <c r="Q206" i="1055"/>
  <c r="Q94" i="1055"/>
  <c r="Q211" i="1055"/>
  <c r="Q99" i="1055"/>
  <c r="AD204" i="1056"/>
  <c r="AD92" i="1056"/>
  <c r="N225" i="1055"/>
  <c r="N113" i="1055"/>
  <c r="N114" i="1055" s="1"/>
  <c r="O225" i="1055"/>
  <c r="O113" i="1055"/>
  <c r="O114" i="1055" s="1"/>
  <c r="O115" i="1055" s="1"/>
  <c r="O116" i="1055" s="1"/>
  <c r="O126" i="1055" s="1"/>
  <c r="AB212" i="1055"/>
  <c r="AB100" i="1055"/>
  <c r="P213" i="1053"/>
  <c r="P101" i="1053"/>
  <c r="N147" i="1050"/>
  <c r="P205" i="1054"/>
  <c r="P93" i="1054"/>
  <c r="AC10" i="1053"/>
  <c r="P149" i="1053"/>
  <c r="AB212" i="1056"/>
  <c r="AB100" i="1056"/>
  <c r="AB94" i="1054"/>
  <c r="AB206" i="1054"/>
  <c r="AD50" i="1053"/>
  <c r="R50" i="1053"/>
  <c r="AE50" i="1053" s="1"/>
  <c r="AC175" i="1056"/>
  <c r="AC61" i="1056"/>
  <c r="AE204" i="1053"/>
  <c r="AE92" i="1053"/>
  <c r="AE204" i="1056"/>
  <c r="AE92" i="1056"/>
  <c r="AC177" i="1056"/>
  <c r="AC63" i="1056"/>
  <c r="AA212" i="1055"/>
  <c r="AA100" i="1055"/>
  <c r="P203" i="1053"/>
  <c r="P91" i="1053"/>
  <c r="P211" i="1054"/>
  <c r="P99" i="1054"/>
  <c r="P140" i="1054"/>
  <c r="Q174" i="1055"/>
  <c r="AD17" i="1055"/>
  <c r="R17" i="1055"/>
  <c r="P203" i="1054"/>
  <c r="P91" i="1054"/>
  <c r="AE21" i="1053"/>
  <c r="AB213" i="1056"/>
  <c r="AB101" i="1056"/>
  <c r="AA202" i="1054"/>
  <c r="AA142" i="1054"/>
  <c r="AA143" i="1054" s="1"/>
  <c r="AA90" i="1054"/>
  <c r="AC173" i="1053"/>
  <c r="AC59" i="1053"/>
  <c r="AB215" i="1053"/>
  <c r="AB103" i="1053"/>
  <c r="AB184" i="1053"/>
  <c r="AB185" i="1053"/>
  <c r="AA71" i="1053"/>
  <c r="AA70" i="1053"/>
  <c r="AA117" i="1053" s="1"/>
  <c r="AB129" i="1055"/>
  <c r="AB163" i="1055" s="1"/>
  <c r="AB130" i="1055"/>
  <c r="AB164" i="1055" s="1"/>
  <c r="AB125" i="1055"/>
  <c r="AB123" i="1055"/>
  <c r="AB69" i="1055"/>
  <c r="AB54" i="1055"/>
  <c r="AB53" i="1055"/>
  <c r="AB66" i="1055"/>
  <c r="AB67" i="1055"/>
  <c r="AB180" i="1055"/>
  <c r="AB181" i="1055"/>
  <c r="AB216" i="1055"/>
  <c r="AB104" i="1055"/>
  <c r="AB236" i="1055"/>
  <c r="Q213" i="1054"/>
  <c r="Q101" i="1054"/>
  <c r="M114" i="1056"/>
  <c r="P209" i="1056"/>
  <c r="P97" i="1056"/>
  <c r="P213" i="1056"/>
  <c r="P101" i="1056"/>
  <c r="Q205" i="1055"/>
  <c r="Q93" i="1055"/>
  <c r="O117" i="1053"/>
  <c r="AD11" i="1055"/>
  <c r="R11" i="1055"/>
  <c r="Q104" i="1055"/>
  <c r="Q236" i="1055"/>
  <c r="AA208" i="1055"/>
  <c r="AA96" i="1055"/>
  <c r="Z219" i="1056"/>
  <c r="Z106" i="1056"/>
  <c r="Z110" i="1056" s="1"/>
  <c r="AD166" i="1056"/>
  <c r="AD165" i="1056"/>
  <c r="AA203" i="1056"/>
  <c r="AA91" i="1056"/>
  <c r="AA213" i="1055"/>
  <c r="AA101" i="1055"/>
  <c r="Y113" i="1055"/>
  <c r="Y225" i="1055" s="1"/>
  <c r="D234" i="1053"/>
  <c r="B123" i="1053"/>
  <c r="O117" i="1054"/>
  <c r="AF117" i="1054" s="1"/>
  <c r="P44" i="1054" s="1"/>
  <c r="Q172" i="1056"/>
  <c r="R15" i="1056"/>
  <c r="AD15" i="1056"/>
  <c r="AD12" i="1053"/>
  <c r="R12" i="1053"/>
  <c r="Q166" i="1053"/>
  <c r="Q165" i="1053"/>
  <c r="Q169" i="1053" s="1"/>
  <c r="P196" i="1056"/>
  <c r="P197" i="1056"/>
  <c r="P198" i="1056"/>
  <c r="AB63" i="1053"/>
  <c r="AC175" i="1053"/>
  <c r="AC61" i="1053"/>
  <c r="Z112" i="1055"/>
  <c r="AB64" i="1054"/>
  <c r="AB209" i="1056"/>
  <c r="AB97" i="1056"/>
  <c r="R198" i="1054"/>
  <c r="R196" i="1054"/>
  <c r="R197" i="1054"/>
  <c r="AC61" i="1055"/>
  <c r="Y119" i="1050"/>
  <c r="Y122" i="1050" s="1"/>
  <c r="X114" i="1052"/>
  <c r="X115" i="1052" s="1"/>
  <c r="X116" i="1052" s="1"/>
  <c r="X126" i="1052" s="1"/>
  <c r="AC177" i="1053"/>
  <c r="AC63" i="1053"/>
  <c r="Z147" i="1054"/>
  <c r="Z145" i="1054"/>
  <c r="Z146" i="1054" s="1"/>
  <c r="AA210" i="1055"/>
  <c r="AA98" i="1055"/>
  <c r="Q167" i="1053"/>
  <c r="Q175" i="1056"/>
  <c r="R18" i="1056"/>
  <c r="AD18" i="1056"/>
  <c r="AD204" i="1053"/>
  <c r="AD92" i="1053"/>
  <c r="N128" i="1055"/>
  <c r="N120" i="1055"/>
  <c r="N119" i="1055"/>
  <c r="N122" i="1055" s="1"/>
  <c r="Q177" i="1056"/>
  <c r="R20" i="1056"/>
  <c r="AD20" i="1056"/>
  <c r="AA141" i="1056"/>
  <c r="AA148" i="1056" s="1"/>
  <c r="P215" i="1053"/>
  <c r="P103" i="1053"/>
  <c r="P185" i="1053"/>
  <c r="P184" i="1053"/>
  <c r="AC173" i="1056"/>
  <c r="AC59" i="1056"/>
  <c r="P204" i="1054"/>
  <c r="P92" i="1054"/>
  <c r="AC174" i="1055"/>
  <c r="AC134" i="1054"/>
  <c r="AC133" i="1054"/>
  <c r="AC132" i="1054"/>
  <c r="AC131" i="1054"/>
  <c r="Q178" i="1055"/>
  <c r="AD21" i="1055"/>
  <c r="R21" i="1055"/>
  <c r="AD13" i="1054"/>
  <c r="AD56" i="1054" s="1"/>
  <c r="R13" i="1054"/>
  <c r="AE13" i="1054" s="1"/>
  <c r="AE56" i="1054" s="1"/>
  <c r="AB63" i="1054"/>
  <c r="Q178" i="1053"/>
  <c r="Z113" i="1053"/>
  <c r="Z225" i="1053" s="1"/>
  <c r="AA121" i="1054"/>
  <c r="AA111" i="1054"/>
  <c r="Q173" i="1053"/>
  <c r="R16" i="1053"/>
  <c r="AD16" i="1053"/>
  <c r="D233" i="1054"/>
  <c r="B122" i="1054"/>
  <c r="AA214" i="1053"/>
  <c r="AA102" i="1053"/>
  <c r="Q202" i="1054"/>
  <c r="Q90" i="1054"/>
  <c r="Q56" i="1054"/>
  <c r="P215" i="1056"/>
  <c r="P103" i="1056"/>
  <c r="P185" i="1056"/>
  <c r="P184" i="1056"/>
  <c r="O145" i="1053"/>
  <c r="O144" i="1053" s="1"/>
  <c r="AB205" i="1056"/>
  <c r="AB93" i="1056"/>
  <c r="AC10" i="1055"/>
  <c r="AC177" i="1055" s="1"/>
  <c r="P149" i="1055"/>
  <c r="AB179" i="1054"/>
  <c r="AB55" i="1054"/>
  <c r="Y147" i="1053"/>
  <c r="Y114" i="1054"/>
  <c r="Y115" i="1054" s="1"/>
  <c r="Y116" i="1054" s="1"/>
  <c r="Y126" i="1054" s="1"/>
  <c r="AE12" i="1056"/>
  <c r="R166" i="1056"/>
  <c r="R165" i="1056"/>
  <c r="AA214" i="1055"/>
  <c r="AA102" i="1055"/>
  <c r="P94" i="1054"/>
  <c r="P206" i="1054"/>
  <c r="AC166" i="1053"/>
  <c r="AC165" i="1053"/>
  <c r="AC169" i="1053" s="1"/>
  <c r="Q175" i="1053"/>
  <c r="R18" i="1053"/>
  <c r="AD18" i="1053"/>
  <c r="Q176" i="1055"/>
  <c r="AD19" i="1055"/>
  <c r="R19" i="1055"/>
  <c r="AC132" i="1053"/>
  <c r="AB178" i="1054"/>
  <c r="AD12" i="1054"/>
  <c r="R12" i="1054"/>
  <c r="Q166" i="1054"/>
  <c r="Q165" i="1054"/>
  <c r="O219" i="1056"/>
  <c r="O106" i="1056"/>
  <c r="O147" i="1054"/>
  <c r="Y144" i="1052"/>
  <c r="Z146" i="1050"/>
  <c r="Z148" i="1050" s="1"/>
  <c r="AA112" i="1050"/>
  <c r="O89" i="1051"/>
  <c r="AC61" i="1054"/>
  <c r="Q177" i="1053"/>
  <c r="R20" i="1053"/>
  <c r="AD20" i="1053"/>
  <c r="AB209" i="1053"/>
  <c r="AB97" i="1053"/>
  <c r="AD134" i="1053"/>
  <c r="AD133" i="1053"/>
  <c r="AD131" i="1053"/>
  <c r="AD55" i="1053" s="1"/>
  <c r="AD132" i="1053"/>
  <c r="P196" i="1053"/>
  <c r="P197" i="1053"/>
  <c r="P198" i="1053"/>
  <c r="O146" i="1053"/>
  <c r="O141" i="1053"/>
  <c r="O148" i="1053" s="1"/>
  <c r="N144" i="1053"/>
  <c r="AD11" i="1054"/>
  <c r="R11" i="1054"/>
  <c r="Q236" i="1054"/>
  <c r="Q104" i="1054"/>
  <c r="AB55" i="1055"/>
  <c r="O225" i="1053"/>
  <c r="O113" i="1053"/>
  <c r="P210" i="1053"/>
  <c r="P98" i="1053"/>
  <c r="P71" i="1053"/>
  <c r="P70" i="1053"/>
  <c r="Q173" i="1056"/>
  <c r="R16" i="1056"/>
  <c r="AD16" i="1056"/>
  <c r="P70" i="1054"/>
  <c r="AC178" i="1055"/>
  <c r="AC64" i="1055"/>
  <c r="AD22" i="1055"/>
  <c r="R22" i="1055"/>
  <c r="AE22" i="1055" s="1"/>
  <c r="AC204" i="1054"/>
  <c r="AC92" i="1054"/>
  <c r="P55" i="1055"/>
  <c r="AB211" i="1055"/>
  <c r="AB99" i="1055"/>
  <c r="AB177" i="1054"/>
  <c r="Q217" i="1056"/>
  <c r="Q169" i="1056"/>
  <c r="Q179" i="1056"/>
  <c r="Q132" i="1056"/>
  <c r="Q167" i="1056"/>
  <c r="Q168" i="1056"/>
  <c r="Q134" i="1056"/>
  <c r="Q139" i="1056"/>
  <c r="Q131" i="1056"/>
  <c r="Q133" i="1056"/>
  <c r="AD4" i="1056"/>
  <c r="R4" i="1056"/>
  <c r="K126" i="1055"/>
  <c r="AB202" i="1056"/>
  <c r="AB90" i="1056"/>
  <c r="AA208" i="1053"/>
  <c r="AA96" i="1053"/>
  <c r="AA121" i="1053"/>
  <c r="AA111" i="1053"/>
  <c r="R54" i="1054"/>
  <c r="R67" i="1054"/>
  <c r="R66" i="1054"/>
  <c r="R108" i="1054"/>
  <c r="R69" i="1054"/>
  <c r="AF69" i="1054" s="1"/>
  <c r="R53" i="1054"/>
  <c r="R61" i="1054"/>
  <c r="R56" i="1054"/>
  <c r="AE8" i="1054"/>
  <c r="Q208" i="1054"/>
  <c r="Q96" i="1054"/>
  <c r="AB207" i="1053"/>
  <c r="AB95" i="1053"/>
  <c r="AB205" i="1055"/>
  <c r="AB93" i="1055"/>
  <c r="P202" i="1056"/>
  <c r="P142" i="1056"/>
  <c r="P143" i="1056" s="1"/>
  <c r="P90" i="1056"/>
  <c r="P71" i="1056"/>
  <c r="Q202" i="1055"/>
  <c r="Q90" i="1055"/>
  <c r="Q214" i="1055"/>
  <c r="Q102" i="1055"/>
  <c r="AA211" i="1055"/>
  <c r="AA99" i="1055"/>
  <c r="AA140" i="1055"/>
  <c r="Z219" i="1053"/>
  <c r="Z106" i="1053"/>
  <c r="P210" i="1054"/>
  <c r="P98" i="1054"/>
  <c r="AB65" i="1054"/>
  <c r="AB139" i="1054"/>
  <c r="Q174" i="1054"/>
  <c r="R17" i="1054"/>
  <c r="AD17" i="1054"/>
  <c r="AC171" i="1056"/>
  <c r="AC57" i="1056"/>
  <c r="AA202" i="1055"/>
  <c r="AA142" i="1055"/>
  <c r="AA143" i="1055" s="1"/>
  <c r="AA90" i="1055"/>
  <c r="D233" i="1056"/>
  <c r="B122" i="1056"/>
  <c r="M122" i="1056"/>
  <c r="AC176" i="1055"/>
  <c r="AC62" i="1055"/>
  <c r="AC166" i="1054"/>
  <c r="AC165" i="1054"/>
  <c r="AC169" i="1054" s="1"/>
  <c r="Q175" i="1054"/>
  <c r="R18" i="1054"/>
  <c r="AD18" i="1054"/>
  <c r="AC215" i="1055"/>
  <c r="AC103" i="1055"/>
  <c r="AC185" i="1055"/>
  <c r="AC184" i="1055"/>
  <c r="Q125" i="1053"/>
  <c r="Q130" i="1053" a="1"/>
  <c r="Q130" i="1053" s="1"/>
  <c r="Q164" i="1053" s="1"/>
  <c r="Q129" i="1053"/>
  <c r="Q163" i="1053" s="1"/>
  <c r="Q123" i="1053"/>
  <c r="R10" i="1053"/>
  <c r="Q180" i="1053"/>
  <c r="Q181" i="1053"/>
  <c r="Q216" i="1053" a="1"/>
  <c r="Q216" i="1053" s="1"/>
  <c r="Q174" i="1053"/>
  <c r="AC178" i="1054"/>
  <c r="AC64" i="1054"/>
  <c r="AC10" i="1054"/>
  <c r="AC60" i="1054" s="1"/>
  <c r="P149" i="1054"/>
  <c r="AB206" i="1055"/>
  <c r="AB94" i="1055"/>
  <c r="Z113" i="1056"/>
  <c r="Z225" i="1056" s="1"/>
  <c r="Q68" i="1053"/>
  <c r="AD8" i="1053"/>
  <c r="Q66" i="1053"/>
  <c r="Q60" i="1053"/>
  <c r="Q56" i="1053"/>
  <c r="Q63" i="1053"/>
  <c r="Q53" i="1053"/>
  <c r="Q108" i="1053"/>
  <c r="Q61" i="1053"/>
  <c r="Q57" i="1053"/>
  <c r="Q65" i="1053"/>
  <c r="Q69" i="1053"/>
  <c r="Q62" i="1053"/>
  <c r="Q58" i="1053"/>
  <c r="Q55" i="1053"/>
  <c r="Q64" i="1053"/>
  <c r="R8" i="1053"/>
  <c r="Q67" i="1053"/>
  <c r="Q59" i="1053"/>
  <c r="Q54" i="1053"/>
  <c r="P202" i="1053"/>
  <c r="P142" i="1053"/>
  <c r="P143" i="1053" s="1"/>
  <c r="P90" i="1053"/>
  <c r="P117" i="1053"/>
  <c r="P207" i="1053"/>
  <c r="P95" i="1053"/>
  <c r="AD51" i="1053"/>
  <c r="R51" i="1053"/>
  <c r="AE51" i="1053" s="1"/>
  <c r="Q217" i="1054"/>
  <c r="Q167" i="1054"/>
  <c r="Q133" i="1054"/>
  <c r="Q169" i="1054"/>
  <c r="Q168" i="1054"/>
  <c r="Q139" i="1054"/>
  <c r="Q132" i="1054"/>
  <c r="Q179" i="1054"/>
  <c r="R4" i="1054"/>
  <c r="Q131" i="1054"/>
  <c r="Q55" i="1054" s="1"/>
  <c r="Q142" i="1054" s="1"/>
  <c r="Q134" i="1054"/>
  <c r="AD4" i="1054"/>
  <c r="AC182" i="1053"/>
  <c r="AC68" i="1053"/>
  <c r="AC217" i="1056"/>
  <c r="AC168" i="1056"/>
  <c r="AC169" i="1056"/>
  <c r="AC139" i="1056"/>
  <c r="AC131" i="1056"/>
  <c r="AC179" i="1056"/>
  <c r="AC134" i="1056"/>
  <c r="AC133" i="1056"/>
  <c r="AC132" i="1056"/>
  <c r="AC167" i="1056"/>
  <c r="AC65" i="1056"/>
  <c r="N146" i="1053"/>
  <c r="P117" i="1054"/>
  <c r="AB71" i="1056"/>
  <c r="R22" i="1053"/>
  <c r="AE22" i="1053" s="1"/>
  <c r="AD22" i="1053"/>
  <c r="D177" i="1056"/>
  <c r="B64" i="1056"/>
  <c r="AA213" i="1053"/>
  <c r="AA101" i="1053"/>
  <c r="AA197" i="1053"/>
  <c r="AA196" i="1053"/>
  <c r="AA198" i="1053"/>
  <c r="AF54" i="1054"/>
  <c r="M115" i="1054"/>
  <c r="M116" i="1054" s="1"/>
  <c r="P211" i="1056"/>
  <c r="P99" i="1056"/>
  <c r="P140" i="1056"/>
  <c r="P207" i="1056"/>
  <c r="P95" i="1056"/>
  <c r="Q60" i="1055"/>
  <c r="Q140" i="1055" s="1"/>
  <c r="Z141" i="1055"/>
  <c r="AB217" i="1054"/>
  <c r="D177" i="1053"/>
  <c r="B64" i="1053"/>
  <c r="Q171" i="1056"/>
  <c r="R14" i="1056"/>
  <c r="AD14" i="1056"/>
  <c r="R221" i="1053"/>
  <c r="R109" i="1053"/>
  <c r="AC205" i="1053"/>
  <c r="AC93" i="1053"/>
  <c r="AC176" i="1054"/>
  <c r="AC62" i="1054"/>
  <c r="AB206" i="1053"/>
  <c r="AB94" i="1053"/>
  <c r="AC133" i="1053"/>
  <c r="O141" i="1056"/>
  <c r="O148" i="1056" s="1"/>
  <c r="AC174" i="1056"/>
  <c r="AC60" i="1056"/>
  <c r="N144" i="1051"/>
  <c r="O112" i="1051"/>
  <c r="L126" i="1053"/>
  <c r="P121" i="1053"/>
  <c r="P111" i="1053"/>
  <c r="O110" i="1056"/>
  <c r="Q178" i="1054"/>
  <c r="R21" i="1054"/>
  <c r="R64" i="1054" s="1"/>
  <c r="AD21" i="1054"/>
  <c r="AA209" i="1055"/>
  <c r="AA97" i="1055"/>
  <c r="AB130" i="1053"/>
  <c r="AB164" i="1053" s="1"/>
  <c r="AB53" i="1053"/>
  <c r="AB129" i="1053"/>
  <c r="AB163" i="1053" s="1"/>
  <c r="AB123" i="1053"/>
  <c r="AB69" i="1053"/>
  <c r="AB54" i="1053"/>
  <c r="AB125" i="1053"/>
  <c r="AB66" i="1053"/>
  <c r="AB180" i="1053"/>
  <c r="AB181" i="1053"/>
  <c r="AB67" i="1053"/>
  <c r="AB104" i="1053"/>
  <c r="AB216" i="1053"/>
  <c r="AB236" i="1053"/>
  <c r="AB60" i="1053"/>
  <c r="AB174" i="1053"/>
  <c r="AB139" i="1053"/>
  <c r="AB179" i="1053"/>
  <c r="AB65" i="1053"/>
  <c r="AB168" i="1053"/>
  <c r="AB178" i="1053"/>
  <c r="AB167" i="1053"/>
  <c r="AB176" i="1053"/>
  <c r="AB64" i="1053"/>
  <c r="AB217" i="1053"/>
  <c r="AB62" i="1053"/>
  <c r="R182" i="1055"/>
  <c r="AE23" i="1055"/>
  <c r="AC178" i="1056"/>
  <c r="AC64" i="1056"/>
  <c r="P205" i="1053"/>
  <c r="P93" i="1053"/>
  <c r="P211" i="1053"/>
  <c r="P99" i="1053"/>
  <c r="P140" i="1053"/>
  <c r="P212" i="1053"/>
  <c r="P100" i="1053"/>
  <c r="M128" i="1055"/>
  <c r="M120" i="1055"/>
  <c r="M119" i="1055"/>
  <c r="Q182" i="1053"/>
  <c r="R23" i="1053"/>
  <c r="AD23" i="1053"/>
  <c r="AC182" i="1054"/>
  <c r="AC68" i="1054"/>
  <c r="P142" i="1054"/>
  <c r="P143" i="1054" s="1"/>
  <c r="AB121" i="1056"/>
  <c r="AB111" i="1056"/>
  <c r="AA102" i="1054"/>
  <c r="AA214" i="1054"/>
  <c r="AA198" i="1054"/>
  <c r="AA196" i="1054"/>
  <c r="AA197" i="1054"/>
  <c r="AC177" i="1054"/>
  <c r="AC63" i="1054"/>
  <c r="AA202" i="1053"/>
  <c r="AA90" i="1053"/>
  <c r="AA142" i="1053"/>
  <c r="AA143" i="1053" s="1"/>
  <c r="AA89" i="1053"/>
  <c r="R88" i="1056" a="1"/>
  <c r="R88" i="1056" s="1"/>
  <c r="AE9" i="1056"/>
  <c r="AE88" i="1056" s="1"/>
  <c r="AE109" i="1056" s="1"/>
  <c r="M144" i="1055"/>
  <c r="AB210" i="1056"/>
  <c r="AB98" i="1056"/>
  <c r="AD12" i="1055"/>
  <c r="R12" i="1055"/>
  <c r="Q165" i="1055"/>
  <c r="Q166" i="1055"/>
  <c r="P205" i="1056"/>
  <c r="P93" i="1056"/>
  <c r="P212" i="1056"/>
  <c r="P100" i="1056"/>
  <c r="Q210" i="1055"/>
  <c r="Q98" i="1055"/>
  <c r="Q213" i="1055"/>
  <c r="Q101" i="1055"/>
  <c r="R221" i="1055"/>
  <c r="R109" i="1055"/>
  <c r="AB167" i="1054"/>
  <c r="AC176" i="1056"/>
  <c r="AC62" i="1056"/>
  <c r="AA121" i="1055"/>
  <c r="AA111" i="1055"/>
  <c r="AB207" i="1055"/>
  <c r="AB95" i="1055"/>
  <c r="Y144" i="1054"/>
  <c r="AB62" i="1055"/>
  <c r="Q176" i="1054"/>
  <c r="AD19" i="1054"/>
  <c r="R19" i="1054"/>
  <c r="AA70" i="1056"/>
  <c r="AA112" i="1056" s="1"/>
  <c r="AD15" i="1054"/>
  <c r="Q172" i="1054"/>
  <c r="R15" i="1054"/>
  <c r="AC131" i="1053"/>
  <c r="AC55" i="1053" s="1"/>
  <c r="AE14" i="1053"/>
  <c r="R171" i="1053"/>
  <c r="AD14" i="1054"/>
  <c r="R14" i="1054"/>
  <c r="R57" i="1054" s="1"/>
  <c r="Q171" i="1054"/>
  <c r="Q174" i="1056"/>
  <c r="R17" i="1056"/>
  <c r="AD17" i="1056"/>
  <c r="Q104" i="1053"/>
  <c r="R11" i="1053"/>
  <c r="AD11" i="1053"/>
  <c r="Q236" i="1053"/>
  <c r="AB211" i="1056"/>
  <c r="AB99" i="1056"/>
  <c r="AB140" i="1056"/>
  <c r="AA145" i="1056"/>
  <c r="AA146" i="1056" s="1"/>
  <c r="Z144" i="1050"/>
  <c r="X122" i="1052"/>
  <c r="AB69" i="1054"/>
  <c r="AB130" i="1054"/>
  <c r="AB164" i="1054" s="1"/>
  <c r="AB125" i="1054"/>
  <c r="AB67" i="1054"/>
  <c r="AB123" i="1054"/>
  <c r="AB54" i="1054"/>
  <c r="AB53" i="1054"/>
  <c r="AB129" i="1054"/>
  <c r="AB163" i="1054" s="1"/>
  <c r="AB180" i="1054"/>
  <c r="AB66" i="1054"/>
  <c r="AB216" i="1054"/>
  <c r="AB104" i="1054"/>
  <c r="AB236" i="1054"/>
  <c r="AB181" i="1054"/>
  <c r="N128" i="1056"/>
  <c r="N120" i="1056"/>
  <c r="N119" i="1056"/>
  <c r="N122" i="1056" s="1"/>
  <c r="Q217" i="1053"/>
  <c r="O147" i="1056"/>
  <c r="O145" i="1056"/>
  <c r="O146" i="1056" s="1"/>
  <c r="O144" i="1056"/>
  <c r="Z144" i="1053"/>
  <c r="Z145" i="1053"/>
  <c r="Z147" i="1053"/>
  <c r="AB209" i="1055"/>
  <c r="AB97" i="1055"/>
  <c r="AD182" i="1055"/>
  <c r="AD68" i="1055"/>
  <c r="Q178" i="1056"/>
  <c r="R21" i="1056"/>
  <c r="AD21" i="1056"/>
  <c r="AD49" i="1053"/>
  <c r="R49" i="1053"/>
  <c r="AE49" i="1053" s="1"/>
  <c r="P206" i="1053"/>
  <c r="P94" i="1053"/>
  <c r="P204" i="1053"/>
  <c r="P92" i="1053"/>
  <c r="D177" i="1055"/>
  <c r="B64" i="1055"/>
  <c r="R176" i="1053"/>
  <c r="AE19" i="1053"/>
  <c r="Q172" i="1055"/>
  <c r="AD15" i="1055"/>
  <c r="R15" i="1055"/>
  <c r="L122" i="1055"/>
  <c r="Z219" i="1055"/>
  <c r="Z106" i="1055"/>
  <c r="Z110" i="1055" s="1"/>
  <c r="AC217" i="1055"/>
  <c r="AC179" i="1055"/>
  <c r="AC167" i="1055"/>
  <c r="AC132" i="1055"/>
  <c r="AC168" i="1055"/>
  <c r="AC169" i="1055"/>
  <c r="AC133" i="1055"/>
  <c r="AC139" i="1055"/>
  <c r="AC65" i="1055"/>
  <c r="AC134" i="1055"/>
  <c r="AC131" i="1055"/>
  <c r="AC55" i="1055" s="1"/>
  <c r="Q182" i="1054"/>
  <c r="AD23" i="1054"/>
  <c r="R23" i="1054"/>
  <c r="R68" i="1054" s="1"/>
  <c r="AB214" i="1056"/>
  <c r="AB102" i="1056"/>
  <c r="AB196" i="1056"/>
  <c r="AB198" i="1056"/>
  <c r="AB197" i="1056"/>
  <c r="AA213" i="1054"/>
  <c r="AA101" i="1054"/>
  <c r="AA71" i="1054"/>
  <c r="AA70" i="1054"/>
  <c r="Z89" i="1055"/>
  <c r="Q177" i="1054"/>
  <c r="AD20" i="1054"/>
  <c r="R20" i="1054"/>
  <c r="O219" i="1053"/>
  <c r="O106" i="1053"/>
  <c r="O110" i="1053" s="1"/>
  <c r="AA212" i="1053"/>
  <c r="AA100" i="1053"/>
  <c r="Q65" i="1054"/>
  <c r="Q71" i="1054" s="1"/>
  <c r="Q108" i="1054"/>
  <c r="Q64" i="1054"/>
  <c r="AB55" i="1053"/>
  <c r="Q221" i="1056"/>
  <c r="Q109" i="1056"/>
  <c r="AC166" i="1055"/>
  <c r="AC165" i="1055"/>
  <c r="Q108" i="1056"/>
  <c r="Q69" i="1056"/>
  <c r="Q62" i="1056"/>
  <c r="Q58" i="1056"/>
  <c r="Q67" i="1056"/>
  <c r="Q64" i="1056"/>
  <c r="Q59" i="1056"/>
  <c r="Q54" i="1056"/>
  <c r="Q68" i="1056"/>
  <c r="Q66" i="1056"/>
  <c r="Q60" i="1056"/>
  <c r="Q56" i="1056"/>
  <c r="Q63" i="1056"/>
  <c r="Q53" i="1056"/>
  <c r="Q57" i="1056"/>
  <c r="Q65" i="1056"/>
  <c r="Q55" i="1056"/>
  <c r="AD8" i="1056"/>
  <c r="R8" i="1056"/>
  <c r="Q61" i="1056"/>
  <c r="P214" i="1056"/>
  <c r="P102" i="1056"/>
  <c r="O112" i="1056"/>
  <c r="Q215" i="1055"/>
  <c r="Q103" i="1055"/>
  <c r="Q184" i="1055"/>
  <c r="Q185" i="1055"/>
  <c r="AC182" i="1056"/>
  <c r="AC68" i="1056"/>
  <c r="Q171" i="1055"/>
  <c r="AD14" i="1055"/>
  <c r="R14" i="1055"/>
  <c r="Q176" i="1056"/>
  <c r="R19" i="1056"/>
  <c r="AD19" i="1056"/>
  <c r="AC172" i="1053"/>
  <c r="AC58" i="1053"/>
  <c r="AA198" i="1055"/>
  <c r="AA197" i="1055"/>
  <c r="AA196" i="1055"/>
  <c r="R121" i="1055"/>
  <c r="AF121" i="1055" s="1"/>
  <c r="R111" i="1055"/>
  <c r="AF123" i="1055"/>
  <c r="AB176" i="1055"/>
  <c r="Q125" i="1056"/>
  <c r="Q129" i="1056"/>
  <c r="Q163" i="1056" s="1"/>
  <c r="Q123" i="1056"/>
  <c r="Q130" i="1056" a="1"/>
  <c r="Q130" i="1056" s="1"/>
  <c r="Q164" i="1056" s="1"/>
  <c r="R10" i="1056"/>
  <c r="Q216" i="1056" a="1"/>
  <c r="Q216" i="1056" s="1"/>
  <c r="Q181" i="1056"/>
  <c r="Q180" i="1056"/>
  <c r="AB175" i="1054"/>
  <c r="N225" i="1056"/>
  <c r="N114" i="1056"/>
  <c r="N115" i="1056" s="1"/>
  <c r="N116" i="1056" s="1"/>
  <c r="N126" i="1056" s="1"/>
  <c r="N113" i="1056"/>
  <c r="Q173" i="1055"/>
  <c r="AD16" i="1055"/>
  <c r="R16" i="1055"/>
  <c r="R59" i="1055" s="1"/>
  <c r="AD171" i="1053"/>
  <c r="AD57" i="1053"/>
  <c r="Y122" i="1051"/>
  <c r="N147" i="1051"/>
  <c r="N225" i="1054"/>
  <c r="N113" i="1054"/>
  <c r="N114" i="1054" s="1"/>
  <c r="N115" i="1054" s="1"/>
  <c r="N116" i="1054" s="1"/>
  <c r="N126" i="1054" s="1"/>
  <c r="Y114" i="1053"/>
  <c r="Y115" i="1053" s="1"/>
  <c r="Y116" i="1053" s="1"/>
  <c r="Y126" i="1053" s="1"/>
  <c r="Y113" i="1053"/>
  <c r="Y225" i="1053" s="1"/>
  <c r="R217" i="1053"/>
  <c r="R167" i="1053"/>
  <c r="R139" i="1053"/>
  <c r="R134" i="1053"/>
  <c r="R168" i="1053"/>
  <c r="R131" i="1053"/>
  <c r="R133" i="1053"/>
  <c r="R132" i="1053"/>
  <c r="AE4" i="1053"/>
  <c r="R179" i="1053"/>
  <c r="AB205" i="1054"/>
  <c r="AB93" i="1054"/>
  <c r="AB207" i="1056"/>
  <c r="AB95" i="1056"/>
  <c r="Z110" i="1053"/>
  <c r="P96" i="1054"/>
  <c r="P208" i="1054"/>
  <c r="N145" i="1055"/>
  <c r="N146" i="1055" s="1"/>
  <c r="N144" i="1055"/>
  <c r="N148" i="1055"/>
  <c r="AB208" i="1055"/>
  <c r="AB96" i="1055"/>
  <c r="P209" i="1053"/>
  <c r="P97" i="1053"/>
  <c r="P208" i="1053"/>
  <c r="P96" i="1053"/>
  <c r="AB55" i="1056"/>
  <c r="AD16" i="1054"/>
  <c r="R16" i="1054"/>
  <c r="R59" i="1054" s="1"/>
  <c r="Q173" i="1054"/>
  <c r="Q176" i="1053"/>
  <c r="Z146" i="1053"/>
  <c r="Z141" i="1053"/>
  <c r="Q175" i="1055"/>
  <c r="AD18" i="1055"/>
  <c r="R18" i="1055"/>
  <c r="AC172" i="1055"/>
  <c r="AC58" i="1055"/>
  <c r="D234" i="1055"/>
  <c r="B123" i="1055"/>
  <c r="Q167" i="1055"/>
  <c r="Q139" i="1055"/>
  <c r="Q132" i="1055"/>
  <c r="Q217" i="1055"/>
  <c r="Q179" i="1055"/>
  <c r="Q168" i="1055"/>
  <c r="Q133" i="1055"/>
  <c r="Q169" i="1055"/>
  <c r="Q134" i="1055"/>
  <c r="Q131" i="1055"/>
  <c r="Q55" i="1055" s="1"/>
  <c r="R4" i="1055"/>
  <c r="R65" i="1055" s="1"/>
  <c r="AF65" i="1055" s="1"/>
  <c r="AD4" i="1055"/>
  <c r="AA210" i="1053"/>
  <c r="AA98" i="1053"/>
  <c r="Q206" i="1054"/>
  <c r="Q94" i="1054"/>
  <c r="Q214" i="1054"/>
  <c r="Q102" i="1054"/>
  <c r="P204" i="1056"/>
  <c r="P92" i="1056"/>
  <c r="P206" i="1056"/>
  <c r="P94" i="1056"/>
  <c r="R53" i="1055"/>
  <c r="R108" i="1055"/>
  <c r="R69" i="1055"/>
  <c r="AF69" i="1055" s="1"/>
  <c r="R62" i="1055"/>
  <c r="R58" i="1055"/>
  <c r="R67" i="1055"/>
  <c r="R64" i="1055"/>
  <c r="R54" i="1055"/>
  <c r="R66" i="1055"/>
  <c r="R56" i="1055"/>
  <c r="R60" i="1055"/>
  <c r="R68" i="1055"/>
  <c r="R57" i="1055"/>
  <c r="R61" i="1055"/>
  <c r="AE8" i="1055"/>
  <c r="AB60" i="1054"/>
  <c r="Q182" i="1056"/>
  <c r="R23" i="1056"/>
  <c r="AD23" i="1056"/>
  <c r="Z113" i="1054"/>
  <c r="Z225" i="1054" s="1"/>
  <c r="AC171" i="1055"/>
  <c r="AC57" i="1055"/>
  <c r="AB206" i="1056"/>
  <c r="AB94" i="1056"/>
  <c r="AD13" i="1055"/>
  <c r="AD56" i="1055" s="1"/>
  <c r="R13" i="1055"/>
  <c r="AE13" i="1055" s="1"/>
  <c r="AE56" i="1055" s="1"/>
  <c r="Q172" i="1053"/>
  <c r="R15" i="1053"/>
  <c r="AD15" i="1053"/>
  <c r="AD10" i="1056"/>
  <c r="Q149" i="1056"/>
  <c r="R196" i="1055"/>
  <c r="R197" i="1055"/>
  <c r="R198" i="1055"/>
  <c r="P121" i="1056"/>
  <c r="P111" i="1056"/>
  <c r="Z219" i="1054"/>
  <c r="Z106" i="1054"/>
  <c r="Z110" i="1054" s="1"/>
  <c r="AC173" i="1055"/>
  <c r="AC59" i="1055"/>
  <c r="M122" i="1053"/>
  <c r="AC172" i="1054"/>
  <c r="AC58" i="1054"/>
  <c r="AB176" i="1054"/>
  <c r="AC171" i="1054"/>
  <c r="AC57" i="1054"/>
  <c r="R111" i="1054"/>
  <c r="R121" i="1054"/>
  <c r="AF121" i="1054" s="1"/>
  <c r="AF123" i="1054"/>
  <c r="O146" i="1054"/>
  <c r="P214" i="1053"/>
  <c r="P102" i="1053"/>
  <c r="O128" i="1055"/>
  <c r="O119" i="1055"/>
  <c r="O120" i="1055"/>
  <c r="AC59" i="1054"/>
  <c r="AC173" i="1054"/>
  <c r="AB207" i="1054"/>
  <c r="AB95" i="1054"/>
  <c r="Z145" i="1055"/>
  <c r="Z146" i="1055" s="1"/>
  <c r="Q177" i="1055"/>
  <c r="R20" i="1055"/>
  <c r="AD20" i="1055"/>
  <c r="AB215" i="1056"/>
  <c r="AB103" i="1056"/>
  <c r="AB185" i="1056"/>
  <c r="AB184" i="1056"/>
  <c r="AB103" i="1054"/>
  <c r="AB215" i="1054"/>
  <c r="AB184" i="1054"/>
  <c r="AB185" i="1054"/>
  <c r="Q99" i="1054"/>
  <c r="Q211" i="1054"/>
  <c r="Q140" i="1054"/>
  <c r="Q98" i="1054"/>
  <c r="Q210" i="1054"/>
  <c r="Q205" i="1054"/>
  <c r="Q93" i="1054"/>
  <c r="M147" i="1055"/>
  <c r="P208" i="1056"/>
  <c r="P96" i="1056"/>
  <c r="P210" i="1056"/>
  <c r="P98" i="1056"/>
  <c r="P141" i="1055"/>
  <c r="Q207" i="1055"/>
  <c r="Q95" i="1055"/>
  <c r="Q65" i="1055"/>
  <c r="AB174" i="1054"/>
  <c r="AB168" i="1054"/>
  <c r="AC204" i="1055"/>
  <c r="AC92" i="1055"/>
  <c r="D177" i="1054"/>
  <c r="B64" i="1054"/>
  <c r="AA70" i="1055"/>
  <c r="AA71" i="1055"/>
  <c r="AE11" i="1056"/>
  <c r="R104" i="1056"/>
  <c r="AF104" i="1056" s="1"/>
  <c r="R236" i="1056"/>
  <c r="O219" i="1054"/>
  <c r="O106" i="1054"/>
  <c r="O110" i="1054" s="1"/>
  <c r="AC172" i="1056"/>
  <c r="AC58" i="1056"/>
  <c r="AB208" i="1056"/>
  <c r="AB96" i="1056"/>
  <c r="AC129" i="1056"/>
  <c r="AC163" i="1056" s="1"/>
  <c r="AC123" i="1056"/>
  <c r="AC125" i="1056"/>
  <c r="AC130" i="1056"/>
  <c r="AC164" i="1056" s="1"/>
  <c r="AC53" i="1056"/>
  <c r="AC69" i="1056"/>
  <c r="AC54" i="1056"/>
  <c r="AC180" i="1056"/>
  <c r="AC216" i="1056"/>
  <c r="AC104" i="1056"/>
  <c r="AC181" i="1056"/>
  <c r="AC66" i="1056"/>
  <c r="AC67" i="1056"/>
  <c r="AC236" i="1056"/>
  <c r="Z144" i="1056"/>
  <c r="Z145" i="1056"/>
  <c r="Z146" i="1056" s="1"/>
  <c r="Z147" i="1056"/>
  <c r="AA140" i="1054"/>
  <c r="AA203" i="1054"/>
  <c r="AA91" i="1054"/>
  <c r="AB62" i="1054"/>
  <c r="X122" i="1055"/>
  <c r="Q215" i="1052"/>
  <c r="Q103" i="1052"/>
  <c r="Q184" i="1052"/>
  <c r="Q185" i="1052"/>
  <c r="Q205" i="1052"/>
  <c r="Q93" i="1052"/>
  <c r="O225" i="1052"/>
  <c r="O113" i="1052"/>
  <c r="O114" i="1052" s="1"/>
  <c r="M128" i="1052"/>
  <c r="M120" i="1052"/>
  <c r="M119" i="1052"/>
  <c r="M122" i="1052" s="1"/>
  <c r="Q209" i="1052"/>
  <c r="Q97" i="1052"/>
  <c r="Q208" i="1052"/>
  <c r="Q96" i="1052"/>
  <c r="Q207" i="1052"/>
  <c r="Q95" i="1052"/>
  <c r="Q210" i="1052"/>
  <c r="Q98" i="1052"/>
  <c r="Q211" i="1052"/>
  <c r="Q99" i="1052"/>
  <c r="P203" i="1051"/>
  <c r="P91" i="1051"/>
  <c r="Y114" i="1050"/>
  <c r="Y115" i="1050" s="1"/>
  <c r="Y116" i="1050" s="1"/>
  <c r="Y126" i="1050" s="1"/>
  <c r="N117" i="1052"/>
  <c r="AA203" i="1051"/>
  <c r="AA91" i="1051"/>
  <c r="Y147" i="1052"/>
  <c r="R51" i="1051"/>
  <c r="AE51" i="1051" s="1"/>
  <c r="AD51" i="1051"/>
  <c r="AD22" i="1052"/>
  <c r="R22" i="1052"/>
  <c r="AE22" i="1052" s="1"/>
  <c r="P212" i="1051"/>
  <c r="P100" i="1051"/>
  <c r="P205" i="1051"/>
  <c r="P93" i="1051"/>
  <c r="AC173" i="1052"/>
  <c r="AC59" i="1052"/>
  <c r="AB176" i="1052"/>
  <c r="AA210" i="1052"/>
  <c r="AA98" i="1052"/>
  <c r="AC133" i="1052"/>
  <c r="AC134" i="1052"/>
  <c r="AC132" i="1052"/>
  <c r="AC131" i="1052"/>
  <c r="R49" i="1051"/>
  <c r="AE49" i="1051" s="1"/>
  <c r="AD49" i="1051"/>
  <c r="Z120" i="1051"/>
  <c r="Z119" i="1051"/>
  <c r="Z128" i="1051"/>
  <c r="AA212" i="1052"/>
  <c r="AA100" i="1052"/>
  <c r="AB65" i="1052"/>
  <c r="Z117" i="1052"/>
  <c r="Q104" i="1052"/>
  <c r="AD11" i="1052"/>
  <c r="R11" i="1052"/>
  <c r="Q236" i="1052"/>
  <c r="AE20" i="1051"/>
  <c r="AB64" i="1052"/>
  <c r="AE19" i="1051"/>
  <c r="Q175" i="1051"/>
  <c r="P221" i="1051"/>
  <c r="P70" i="1051"/>
  <c r="P109" i="1051"/>
  <c r="O89" i="1052"/>
  <c r="N225" i="1052"/>
  <c r="N113" i="1052"/>
  <c r="N114" i="1052" s="1"/>
  <c r="N115" i="1052" s="1"/>
  <c r="N116" i="1052" s="1"/>
  <c r="Q172" i="1052"/>
  <c r="AD15" i="1052"/>
  <c r="R15" i="1052"/>
  <c r="AD12" i="1051"/>
  <c r="R12" i="1051"/>
  <c r="Q166" i="1051"/>
  <c r="Q165" i="1051"/>
  <c r="Q169" i="1051" s="1"/>
  <c r="Q133" i="1051"/>
  <c r="Q131" i="1051"/>
  <c r="Q134" i="1051"/>
  <c r="Q132" i="1051"/>
  <c r="P206" i="1051"/>
  <c r="P94" i="1051"/>
  <c r="P209" i="1051"/>
  <c r="P97" i="1051"/>
  <c r="AC129" i="1051"/>
  <c r="AC163" i="1051" s="1"/>
  <c r="AC123" i="1051"/>
  <c r="AC130" i="1051"/>
  <c r="AC164" i="1051" s="1"/>
  <c r="AC125" i="1051"/>
  <c r="AC54" i="1051"/>
  <c r="AC53" i="1051"/>
  <c r="AC69" i="1051"/>
  <c r="AC67" i="1051"/>
  <c r="AC66" i="1051"/>
  <c r="AC104" i="1051"/>
  <c r="AC236" i="1051"/>
  <c r="AC216" i="1051"/>
  <c r="AC180" i="1051"/>
  <c r="AC181" i="1051"/>
  <c r="AC167" i="1051"/>
  <c r="AC139" i="1051"/>
  <c r="AC217" i="1051"/>
  <c r="AC179" i="1051"/>
  <c r="AC168" i="1051"/>
  <c r="AC65" i="1051"/>
  <c r="AB205" i="1051"/>
  <c r="AB93" i="1051"/>
  <c r="Q131" i="1052"/>
  <c r="Q217" i="1052"/>
  <c r="Q169" i="1052"/>
  <c r="Q168" i="1052"/>
  <c r="Q179" i="1052"/>
  <c r="Q134" i="1052"/>
  <c r="Q132" i="1052"/>
  <c r="Q167" i="1052"/>
  <c r="Q133" i="1052"/>
  <c r="Q139" i="1052"/>
  <c r="AD4" i="1052"/>
  <c r="R4" i="1052"/>
  <c r="AD12" i="1052"/>
  <c r="R12" i="1052"/>
  <c r="Q166" i="1052"/>
  <c r="Q165" i="1052"/>
  <c r="Z113" i="1051"/>
  <c r="Z225" i="1051" s="1"/>
  <c r="AB55" i="1052"/>
  <c r="AB179" i="1052"/>
  <c r="AC10" i="1052"/>
  <c r="P149" i="1052"/>
  <c r="AB215" i="1052"/>
  <c r="AB103" i="1052"/>
  <c r="AB184" i="1052"/>
  <c r="AB185" i="1052"/>
  <c r="AB205" i="1052"/>
  <c r="AB93" i="1052"/>
  <c r="AB211" i="1051"/>
  <c r="AB99" i="1051"/>
  <c r="AB140" i="1051"/>
  <c r="AD13" i="1052"/>
  <c r="AD56" i="1052" s="1"/>
  <c r="R13" i="1052"/>
  <c r="AE13" i="1052" s="1"/>
  <c r="AE56" i="1052" s="1"/>
  <c r="Q174" i="1051"/>
  <c r="Q171" i="1052"/>
  <c r="AD14" i="1052"/>
  <c r="R14" i="1052"/>
  <c r="Q108" i="1052"/>
  <c r="O225" i="1051"/>
  <c r="O113" i="1051"/>
  <c r="O114" i="1051" s="1"/>
  <c r="O115" i="1051" s="1"/>
  <c r="O116" i="1051" s="1"/>
  <c r="O126" i="1051" s="1"/>
  <c r="AB178" i="1052"/>
  <c r="AB206" i="1052"/>
  <c r="AB94" i="1052"/>
  <c r="AB213" i="1051"/>
  <c r="AB101" i="1051"/>
  <c r="P121" i="1051"/>
  <c r="P111" i="1051"/>
  <c r="R111" i="1052"/>
  <c r="R121" i="1052"/>
  <c r="AF121" i="1052" s="1"/>
  <c r="AF123" i="1052"/>
  <c r="N219" i="1052"/>
  <c r="N106" i="1052"/>
  <c r="N110" i="1052" s="1"/>
  <c r="AC172" i="1052"/>
  <c r="AC58" i="1052"/>
  <c r="R50" i="1051"/>
  <c r="AE50" i="1051" s="1"/>
  <c r="AD50" i="1051"/>
  <c r="AB207" i="1052"/>
  <c r="AB95" i="1052"/>
  <c r="M115" i="1052"/>
  <c r="M116" i="1052" s="1"/>
  <c r="AA209" i="1052"/>
  <c r="AA97" i="1052"/>
  <c r="AC165" i="1051"/>
  <c r="AC169" i="1051" s="1"/>
  <c r="AC166" i="1051"/>
  <c r="AC131" i="1051"/>
  <c r="AC134" i="1051"/>
  <c r="AC133" i="1051"/>
  <c r="AC132" i="1051"/>
  <c r="P210" i="1051"/>
  <c r="P98" i="1051"/>
  <c r="P202" i="1051"/>
  <c r="P142" i="1051"/>
  <c r="P143" i="1051" s="1"/>
  <c r="P90" i="1051"/>
  <c r="N120" i="1051"/>
  <c r="N119" i="1051"/>
  <c r="N128" i="1051"/>
  <c r="Z219" i="1052"/>
  <c r="Z106" i="1052"/>
  <c r="Z110" i="1052" s="1"/>
  <c r="AE21" i="1051"/>
  <c r="AB63" i="1052"/>
  <c r="Z141" i="1052"/>
  <c r="AC166" i="1052"/>
  <c r="AC165" i="1052"/>
  <c r="AC169" i="1052" s="1"/>
  <c r="AD13" i="1051"/>
  <c r="AD56" i="1051" s="1"/>
  <c r="R13" i="1051"/>
  <c r="AE13" i="1051" s="1"/>
  <c r="AE56" i="1051" s="1"/>
  <c r="AB217" i="1052"/>
  <c r="AB60" i="1052"/>
  <c r="AC204" i="1052"/>
  <c r="AC92" i="1052"/>
  <c r="Q182" i="1052"/>
  <c r="AD23" i="1052"/>
  <c r="R23" i="1052"/>
  <c r="AC171" i="1052"/>
  <c r="AC57" i="1052"/>
  <c r="AC215" i="1051"/>
  <c r="AC103" i="1051"/>
  <c r="AC185" i="1051"/>
  <c r="AC184" i="1051"/>
  <c r="O145" i="1052"/>
  <c r="O146" i="1052" s="1"/>
  <c r="O148" i="1052"/>
  <c r="Z112" i="1052"/>
  <c r="AA71" i="1052"/>
  <c r="AA70" i="1052"/>
  <c r="R68" i="1052"/>
  <c r="R69" i="1052"/>
  <c r="AF69" i="1052" s="1"/>
  <c r="R60" i="1052"/>
  <c r="R108" i="1052"/>
  <c r="R57" i="1052"/>
  <c r="R66" i="1052"/>
  <c r="R67" i="1052"/>
  <c r="R53" i="1052"/>
  <c r="R54" i="1052"/>
  <c r="R56" i="1052"/>
  <c r="AE8" i="1052"/>
  <c r="Q177" i="1051"/>
  <c r="R182" i="1051"/>
  <c r="AE23" i="1051"/>
  <c r="P204" i="1052"/>
  <c r="P92" i="1052"/>
  <c r="Q130" i="1051" a="1"/>
  <c r="Q130" i="1051" s="1"/>
  <c r="Q164" i="1051" s="1"/>
  <c r="Q129" i="1051"/>
  <c r="Q163" i="1051" s="1"/>
  <c r="Q123" i="1051"/>
  <c r="R10" i="1051"/>
  <c r="R176" i="1051" s="1"/>
  <c r="Q125" i="1051"/>
  <c r="Q216" i="1051" a="1"/>
  <c r="Q216" i="1051" s="1"/>
  <c r="Q180" i="1051"/>
  <c r="Q181" i="1051"/>
  <c r="Q179" i="1051"/>
  <c r="Q167" i="1051"/>
  <c r="Q168" i="1051"/>
  <c r="Q139" i="1051"/>
  <c r="Q217" i="1051"/>
  <c r="R198" i="1052"/>
  <c r="R197" i="1052"/>
  <c r="R196" i="1052"/>
  <c r="N89" i="1052"/>
  <c r="D177" i="1051"/>
  <c r="B64" i="1051"/>
  <c r="P211" i="1051"/>
  <c r="P99" i="1051"/>
  <c r="P140" i="1051"/>
  <c r="Y113" i="1052"/>
  <c r="Y225" i="1052" s="1"/>
  <c r="R173" i="1051"/>
  <c r="AE16" i="1051"/>
  <c r="AB177" i="1052"/>
  <c r="AC204" i="1051"/>
  <c r="AC92" i="1051"/>
  <c r="AA141" i="1051"/>
  <c r="Z145" i="1052"/>
  <c r="Z146" i="1052" s="1"/>
  <c r="AB174" i="1052"/>
  <c r="Q172" i="1051"/>
  <c r="AD15" i="1051"/>
  <c r="R15" i="1051"/>
  <c r="AC182" i="1052"/>
  <c r="AC68" i="1052"/>
  <c r="AC63" i="1051"/>
  <c r="AA202" i="1052"/>
  <c r="AA142" i="1052"/>
  <c r="AA143" i="1052" s="1"/>
  <c r="AA90" i="1052"/>
  <c r="Q58" i="1052"/>
  <c r="AC61" i="1051"/>
  <c r="O110" i="1051"/>
  <c r="AD182" i="1051"/>
  <c r="AD68" i="1051"/>
  <c r="AB209" i="1051"/>
  <c r="AB97" i="1051"/>
  <c r="AB111" i="1051"/>
  <c r="AB121" i="1051"/>
  <c r="AB203" i="1051"/>
  <c r="AB91" i="1051"/>
  <c r="P198" i="1051"/>
  <c r="P197" i="1051"/>
  <c r="P196" i="1051"/>
  <c r="AA142" i="1051"/>
  <c r="AA143" i="1051" s="1"/>
  <c r="P92" i="1051"/>
  <c r="P204" i="1051"/>
  <c r="Y120" i="1052"/>
  <c r="Y119" i="1052"/>
  <c r="Y128" i="1052"/>
  <c r="Q178" i="1051"/>
  <c r="AB208" i="1051"/>
  <c r="AB96" i="1051"/>
  <c r="AD173" i="1051"/>
  <c r="AD59" i="1051"/>
  <c r="P55" i="1052"/>
  <c r="P140" i="1052"/>
  <c r="AB212" i="1051"/>
  <c r="AB100" i="1051"/>
  <c r="AC172" i="1051"/>
  <c r="AC58" i="1051"/>
  <c r="AB61" i="1052"/>
  <c r="AC177" i="1051"/>
  <c r="D177" i="1052"/>
  <c r="B64" i="1052"/>
  <c r="AA214" i="1052"/>
  <c r="AA102" i="1052"/>
  <c r="AC175" i="1051"/>
  <c r="O145" i="1051"/>
  <c r="O146" i="1051" s="1"/>
  <c r="Q178" i="1052"/>
  <c r="AD21" i="1052"/>
  <c r="R21" i="1052"/>
  <c r="R221" i="1052"/>
  <c r="R109" i="1052"/>
  <c r="AB214" i="1051"/>
  <c r="AB102" i="1051"/>
  <c r="AB198" i="1051"/>
  <c r="AB196" i="1051"/>
  <c r="AB197" i="1051"/>
  <c r="O219" i="1052"/>
  <c r="O106" i="1052"/>
  <c r="O110" i="1052" s="1"/>
  <c r="P213" i="1051"/>
  <c r="P101" i="1051"/>
  <c r="P208" i="1051"/>
  <c r="P96" i="1051"/>
  <c r="Q176" i="1052"/>
  <c r="AD19" i="1052"/>
  <c r="R19" i="1052"/>
  <c r="R62" i="1052" s="1"/>
  <c r="Q171" i="1051"/>
  <c r="AD14" i="1051"/>
  <c r="R14" i="1051"/>
  <c r="M114" i="1051"/>
  <c r="AB139" i="1052"/>
  <c r="Q177" i="1052"/>
  <c r="AD20" i="1052"/>
  <c r="R20" i="1052"/>
  <c r="R63" i="1052" s="1"/>
  <c r="M144" i="1052"/>
  <c r="AB175" i="1052"/>
  <c r="O141" i="1051"/>
  <c r="O148" i="1051" s="1"/>
  <c r="AC62" i="1051"/>
  <c r="AA213" i="1052"/>
  <c r="AA101" i="1052"/>
  <c r="AA111" i="1052"/>
  <c r="AA121" i="1052"/>
  <c r="Q212" i="1052"/>
  <c r="Q100" i="1052"/>
  <c r="O219" i="1051"/>
  <c r="O106" i="1051"/>
  <c r="B122" i="1051"/>
  <c r="D233" i="1051"/>
  <c r="N126" i="1051"/>
  <c r="AC64" i="1051"/>
  <c r="Z145" i="1051"/>
  <c r="Z146" i="1051" s="1"/>
  <c r="P71" i="1051"/>
  <c r="P214" i="1051"/>
  <c r="P102" i="1051"/>
  <c r="P215" i="1051"/>
  <c r="P103" i="1051"/>
  <c r="P184" i="1051"/>
  <c r="P185" i="1051"/>
  <c r="AC207" i="1051"/>
  <c r="AC95" i="1051"/>
  <c r="AA203" i="1052"/>
  <c r="AA91" i="1052"/>
  <c r="AE11" i="1051"/>
  <c r="R104" i="1051"/>
  <c r="AF104" i="1051" s="1"/>
  <c r="R236" i="1051"/>
  <c r="AC176" i="1052"/>
  <c r="AC171" i="1051"/>
  <c r="AC57" i="1051"/>
  <c r="AB206" i="1051"/>
  <c r="AB94" i="1051"/>
  <c r="AC177" i="1052"/>
  <c r="AC63" i="1052"/>
  <c r="Q174" i="1052"/>
  <c r="AD17" i="1052"/>
  <c r="R17" i="1052"/>
  <c r="AC176" i="1051"/>
  <c r="AA198" i="1052"/>
  <c r="AA196" i="1052"/>
  <c r="AA197" i="1052"/>
  <c r="Q56" i="1052"/>
  <c r="Q140" i="1052" s="1"/>
  <c r="Q65" i="1052"/>
  <c r="Q71" i="1052" s="1"/>
  <c r="Q214" i="1052"/>
  <c r="Q102" i="1052"/>
  <c r="Q175" i="1052"/>
  <c r="AD18" i="1052"/>
  <c r="R18" i="1052"/>
  <c r="R175" i="1051"/>
  <c r="AE18" i="1051"/>
  <c r="R9" i="1051"/>
  <c r="Q88" i="1051" a="1"/>
  <c r="Q88" i="1051" s="1"/>
  <c r="AD9" i="1051"/>
  <c r="AD88" i="1051" s="1"/>
  <c r="AD109" i="1051" s="1"/>
  <c r="AB202" i="1051"/>
  <c r="AB142" i="1051"/>
  <c r="AB143" i="1051" s="1"/>
  <c r="AB90" i="1051"/>
  <c r="N147" i="1052"/>
  <c r="N145" i="1052"/>
  <c r="N146" i="1052" s="1"/>
  <c r="N148" i="1052"/>
  <c r="P207" i="1051"/>
  <c r="P95" i="1051"/>
  <c r="Q108" i="1051"/>
  <c r="Q63" i="1051"/>
  <c r="Q53" i="1051"/>
  <c r="Q61" i="1051"/>
  <c r="Q57" i="1051"/>
  <c r="R8" i="1051"/>
  <c r="Q67" i="1051"/>
  <c r="Q66" i="1051"/>
  <c r="Q65" i="1051"/>
  <c r="Q55" i="1051"/>
  <c r="Q62" i="1051"/>
  <c r="Q58" i="1051"/>
  <c r="Q64" i="1051"/>
  <c r="Q59" i="1051"/>
  <c r="Q54" i="1051"/>
  <c r="Q69" i="1051"/>
  <c r="Q68" i="1051"/>
  <c r="Q56" i="1051"/>
  <c r="AD8" i="1051"/>
  <c r="Q60" i="1051"/>
  <c r="Q173" i="1052"/>
  <c r="AD16" i="1052"/>
  <c r="R16" i="1052"/>
  <c r="AB210" i="1052"/>
  <c r="AB98" i="1052"/>
  <c r="AD10" i="1051"/>
  <c r="AD64" i="1051" s="1"/>
  <c r="Q149" i="1051"/>
  <c r="AB125" i="1052"/>
  <c r="AB129" i="1052"/>
  <c r="AB163" i="1052" s="1"/>
  <c r="AB130" i="1052"/>
  <c r="AB164" i="1052" s="1"/>
  <c r="AB123" i="1052"/>
  <c r="AB69" i="1052"/>
  <c r="AB53" i="1052"/>
  <c r="AB54" i="1052"/>
  <c r="AB236" i="1052"/>
  <c r="AB216" i="1052"/>
  <c r="AB67" i="1052"/>
  <c r="AB180" i="1052"/>
  <c r="AB181" i="1052"/>
  <c r="AB104" i="1052"/>
  <c r="AB66" i="1052"/>
  <c r="AB168" i="1052"/>
  <c r="AC60" i="1051"/>
  <c r="AC60" i="1052"/>
  <c r="R174" i="1051"/>
  <c r="AE17" i="1051"/>
  <c r="L122" i="1052"/>
  <c r="D233" i="1052"/>
  <c r="B122" i="1052"/>
  <c r="Q202" i="1052"/>
  <c r="Q90" i="1052"/>
  <c r="Q213" i="1052"/>
  <c r="Q101" i="1052"/>
  <c r="AA140" i="1052"/>
  <c r="AC175" i="1052"/>
  <c r="AA70" i="1051"/>
  <c r="AA89" i="1051" s="1"/>
  <c r="AB71" i="1051"/>
  <c r="AB70" i="1051"/>
  <c r="O117" i="1052"/>
  <c r="Z119" i="1050"/>
  <c r="Z128" i="1050"/>
  <c r="Z120" i="1050"/>
  <c r="P203" i="1050"/>
  <c r="P91" i="1050"/>
  <c r="AC166" i="1050"/>
  <c r="AC165" i="1050"/>
  <c r="AB71" i="1050"/>
  <c r="AB211" i="1050"/>
  <c r="AB99" i="1050"/>
  <c r="AB140" i="1050"/>
  <c r="AB196" i="1050"/>
  <c r="AB197" i="1050"/>
  <c r="AB198" i="1050"/>
  <c r="Q88" i="1050" a="1"/>
  <c r="Q88" i="1050" s="1"/>
  <c r="AD9" i="1050"/>
  <c r="AD88" i="1050" s="1"/>
  <c r="AD109" i="1050" s="1"/>
  <c r="R9" i="1050"/>
  <c r="O89" i="1050"/>
  <c r="N144" i="1050"/>
  <c r="AC172" i="1050"/>
  <c r="AC58" i="1050"/>
  <c r="Y144" i="1050"/>
  <c r="N120" i="1050"/>
  <c r="N119" i="1050"/>
  <c r="N128" i="1050"/>
  <c r="AE18" i="1050"/>
  <c r="Q217" i="1050"/>
  <c r="Q167" i="1050"/>
  <c r="Q168" i="1050"/>
  <c r="Q139" i="1050"/>
  <c r="Q131" i="1050"/>
  <c r="Q132" i="1050"/>
  <c r="Q55" i="1050" s="1"/>
  <c r="Q179" i="1050"/>
  <c r="Q133" i="1050"/>
  <c r="R4" i="1050"/>
  <c r="AD4" i="1050"/>
  <c r="Q134" i="1050"/>
  <c r="P211" i="1050"/>
  <c r="P99" i="1050"/>
  <c r="P140" i="1050"/>
  <c r="P214" i="1050"/>
  <c r="P102" i="1050"/>
  <c r="AA219" i="1050"/>
  <c r="AA106" i="1050"/>
  <c r="O141" i="1050"/>
  <c r="O148" i="1050" s="1"/>
  <c r="AA145" i="1050"/>
  <c r="AA147" i="1050" s="1"/>
  <c r="AB214" i="1050"/>
  <c r="AB102" i="1050"/>
  <c r="AC204" i="1050"/>
  <c r="AC92" i="1050"/>
  <c r="P221" i="1050"/>
  <c r="P109" i="1050"/>
  <c r="P70" i="1050"/>
  <c r="Q172" i="1050"/>
  <c r="AD15" i="1050"/>
  <c r="R15" i="1050"/>
  <c r="AE182" i="1050"/>
  <c r="AE68" i="1050"/>
  <c r="AA113" i="1050"/>
  <c r="AA225" i="1050" s="1"/>
  <c r="AC217" i="1050"/>
  <c r="AC134" i="1050"/>
  <c r="AC132" i="1050"/>
  <c r="AC179" i="1050"/>
  <c r="AC133" i="1050"/>
  <c r="AC167" i="1050"/>
  <c r="AC168" i="1050"/>
  <c r="AC139" i="1050"/>
  <c r="AC131" i="1050"/>
  <c r="AC169" i="1050"/>
  <c r="AC65" i="1050"/>
  <c r="P121" i="1050"/>
  <c r="P111" i="1050"/>
  <c r="P204" i="1050"/>
  <c r="P92" i="1050"/>
  <c r="P206" i="1050"/>
  <c r="P94" i="1050"/>
  <c r="AB207" i="1050"/>
  <c r="AB95" i="1050"/>
  <c r="P197" i="1050"/>
  <c r="P198" i="1050"/>
  <c r="P196" i="1050"/>
  <c r="Q108" i="1050"/>
  <c r="Q67" i="1050"/>
  <c r="Q64" i="1050"/>
  <c r="Q59" i="1050"/>
  <c r="Q54" i="1050"/>
  <c r="Q71" i="1050" s="1"/>
  <c r="Q68" i="1050"/>
  <c r="Q66" i="1050"/>
  <c r="Q60" i="1050"/>
  <c r="Q56" i="1050"/>
  <c r="Q63" i="1050"/>
  <c r="Q53" i="1050"/>
  <c r="Q61" i="1050"/>
  <c r="Q57" i="1050"/>
  <c r="Q65" i="1050"/>
  <c r="Q62" i="1050"/>
  <c r="Q58" i="1050"/>
  <c r="AD8" i="1050"/>
  <c r="R8" i="1050"/>
  <c r="Q69" i="1050"/>
  <c r="P208" i="1050"/>
  <c r="P96" i="1050"/>
  <c r="P210" i="1050"/>
  <c r="P98" i="1050"/>
  <c r="AC208" i="1050"/>
  <c r="AC96" i="1050"/>
  <c r="R12" i="1050"/>
  <c r="AD12" i="1050"/>
  <c r="Q166" i="1050"/>
  <c r="Q165" i="1050"/>
  <c r="Q169" i="1050" s="1"/>
  <c r="O219" i="1050"/>
  <c r="O106" i="1050"/>
  <c r="O110" i="1050" s="1"/>
  <c r="AD13" i="1050"/>
  <c r="AD56" i="1050" s="1"/>
  <c r="R13" i="1050"/>
  <c r="AE13" i="1050" s="1"/>
  <c r="AE56" i="1050" s="1"/>
  <c r="AB206" i="1050"/>
  <c r="AB94" i="1050"/>
  <c r="AE19" i="1050"/>
  <c r="AC171" i="1050"/>
  <c r="AC57" i="1050"/>
  <c r="D233" i="1050"/>
  <c r="B122" i="1050"/>
  <c r="AA141" i="1050"/>
  <c r="AA148" i="1050" s="1"/>
  <c r="AD176" i="1050"/>
  <c r="Q171" i="1050"/>
  <c r="AD14" i="1050"/>
  <c r="R14" i="1050"/>
  <c r="P205" i="1050"/>
  <c r="P93" i="1050"/>
  <c r="P213" i="1050"/>
  <c r="P101" i="1050"/>
  <c r="AB213" i="1050"/>
  <c r="AB101" i="1050"/>
  <c r="AB202" i="1050"/>
  <c r="AB90" i="1050"/>
  <c r="O112" i="1050"/>
  <c r="AE17" i="1050"/>
  <c r="AE11" i="1050"/>
  <c r="R236" i="1050"/>
  <c r="R104" i="1050"/>
  <c r="AF104" i="1050" s="1"/>
  <c r="P209" i="1050"/>
  <c r="P97" i="1050"/>
  <c r="P215" i="1050"/>
  <c r="P103" i="1050"/>
  <c r="P185" i="1050"/>
  <c r="P184" i="1050"/>
  <c r="G126" i="1050"/>
  <c r="Z114" i="1050"/>
  <c r="Z115" i="1050" s="1"/>
  <c r="Z116" i="1050" s="1"/>
  <c r="Z126" i="1050" s="1"/>
  <c r="AC209" i="1050"/>
  <c r="AC97" i="1050"/>
  <c r="AD174" i="1050"/>
  <c r="AD60" i="1050"/>
  <c r="AD10" i="1050"/>
  <c r="Q149" i="1050"/>
  <c r="P71" i="1050"/>
  <c r="Q173" i="1050"/>
  <c r="R16" i="1050"/>
  <c r="AD16" i="1050"/>
  <c r="AC130" i="1050"/>
  <c r="AC164" i="1050" s="1"/>
  <c r="AC125" i="1050"/>
  <c r="AC129" i="1050"/>
  <c r="AC163" i="1050" s="1"/>
  <c r="AC123" i="1050"/>
  <c r="AC53" i="1050"/>
  <c r="AC69" i="1050"/>
  <c r="AC54" i="1050"/>
  <c r="AC104" i="1050"/>
  <c r="AC216" i="1050"/>
  <c r="AC236" i="1050"/>
  <c r="AC181" i="1050"/>
  <c r="AC180" i="1050"/>
  <c r="AC66" i="1050"/>
  <c r="AC67" i="1050"/>
  <c r="AC177" i="1050"/>
  <c r="AC178" i="1050"/>
  <c r="AC63" i="1050"/>
  <c r="AC64" i="1050"/>
  <c r="AA117" i="1050"/>
  <c r="M114" i="1050"/>
  <c r="O145" i="1050"/>
  <c r="AC210" i="1050"/>
  <c r="AC98" i="1050"/>
  <c r="AD215" i="1050"/>
  <c r="AD103" i="1050"/>
  <c r="AD185" i="1050"/>
  <c r="AD184" i="1050"/>
  <c r="AB205" i="1050"/>
  <c r="AB93" i="1050"/>
  <c r="Q125" i="1050"/>
  <c r="Q129" i="1050"/>
  <c r="Q163" i="1050" s="1"/>
  <c r="Q123" i="1050"/>
  <c r="Q130" i="1050" a="1"/>
  <c r="Q130" i="1050" s="1"/>
  <c r="Q164" i="1050" s="1"/>
  <c r="R10" i="1050"/>
  <c r="R176" i="1050" s="1"/>
  <c r="Q180" i="1050"/>
  <c r="Q181" i="1050"/>
  <c r="Q216" i="1050" a="1"/>
  <c r="Q216" i="1050" s="1"/>
  <c r="Q178" i="1050"/>
  <c r="Q177" i="1050"/>
  <c r="P207" i="1050"/>
  <c r="P95" i="1050"/>
  <c r="AC173" i="1050"/>
  <c r="AC59" i="1050"/>
  <c r="AA110" i="1050"/>
  <c r="AB212" i="1050"/>
  <c r="AB100" i="1050"/>
  <c r="AB121" i="1050"/>
  <c r="AB111" i="1050"/>
  <c r="M122" i="1050"/>
  <c r="AB55" i="1050"/>
  <c r="AB70" i="1050" s="1"/>
  <c r="P202" i="1050"/>
  <c r="P90" i="1050"/>
  <c r="P142" i="1050"/>
  <c r="P143" i="1050" s="1"/>
  <c r="P212" i="1050"/>
  <c r="P100" i="1050"/>
  <c r="AA89" i="1050"/>
  <c r="D177" i="1050"/>
  <c r="B64" i="1050"/>
  <c r="Q141" i="1059" l="1"/>
  <c r="N120" i="1063"/>
  <c r="N119" i="1063"/>
  <c r="N128" i="1063"/>
  <c r="P86" i="1062"/>
  <c r="P112" i="1062" s="1"/>
  <c r="AC44" i="1062"/>
  <c r="AC86" i="1062" s="1"/>
  <c r="R214" i="1060"/>
  <c r="R102" i="1060"/>
  <c r="AF67" i="1060"/>
  <c r="R103" i="1059"/>
  <c r="AF103" i="1059" s="1"/>
  <c r="R215" i="1059"/>
  <c r="R184" i="1059"/>
  <c r="R185" i="1059"/>
  <c r="AF68" i="1059"/>
  <c r="P219" i="1063"/>
  <c r="P106" i="1063"/>
  <c r="O128" i="1057"/>
  <c r="O120" i="1057"/>
  <c r="O119" i="1057"/>
  <c r="O128" i="1059"/>
  <c r="O120" i="1059"/>
  <c r="O119" i="1059"/>
  <c r="R209" i="1059"/>
  <c r="R97" i="1059"/>
  <c r="AF97" i="1059" s="1"/>
  <c r="AF61" i="1059"/>
  <c r="R203" i="1059"/>
  <c r="R91" i="1059"/>
  <c r="AF91" i="1059" s="1"/>
  <c r="AF55" i="1059"/>
  <c r="R103" i="1058"/>
  <c r="AF103" i="1058" s="1"/>
  <c r="R215" i="1058"/>
  <c r="R185" i="1058"/>
  <c r="R184" i="1058"/>
  <c r="AF68" i="1058"/>
  <c r="R207" i="1060"/>
  <c r="R95" i="1060"/>
  <c r="AF95" i="1060" s="1"/>
  <c r="AF59" i="1060"/>
  <c r="Q225" i="1058"/>
  <c r="Q114" i="1058"/>
  <c r="Q115" i="1058" s="1"/>
  <c r="Q116" i="1058" s="1"/>
  <c r="Q113" i="1058"/>
  <c r="R212" i="1059"/>
  <c r="R100" i="1059"/>
  <c r="AF100" i="1059" s="1"/>
  <c r="AF64" i="1059"/>
  <c r="AB119" i="1061"/>
  <c r="AB122" i="1061" s="1"/>
  <c r="AB128" i="1061"/>
  <c r="AB120" i="1061"/>
  <c r="R208" i="1063"/>
  <c r="R96" i="1063"/>
  <c r="AF96" i="1063" s="1"/>
  <c r="AF60" i="1063"/>
  <c r="N115" i="1058"/>
  <c r="N116" i="1058" s="1"/>
  <c r="AC44" i="1061"/>
  <c r="AC86" i="1061" s="1"/>
  <c r="AC89" i="1061" s="1"/>
  <c r="P86" i="1061"/>
  <c r="R215" i="1060"/>
  <c r="R103" i="1060"/>
  <c r="AF103" i="1060" s="1"/>
  <c r="R185" i="1060"/>
  <c r="R184" i="1060"/>
  <c r="AF68" i="1060"/>
  <c r="R99" i="1058"/>
  <c r="R211" i="1058"/>
  <c r="AF63" i="1058"/>
  <c r="AC44" i="1057"/>
  <c r="AC86" i="1057" s="1"/>
  <c r="P86" i="1057"/>
  <c r="P89" i="1057" s="1"/>
  <c r="AC120" i="1057"/>
  <c r="AC119" i="1057"/>
  <c r="AC128" i="1057"/>
  <c r="P86" i="1059"/>
  <c r="AC44" i="1059"/>
  <c r="AC86" i="1059" s="1"/>
  <c r="Z120" i="1058"/>
  <c r="Z128" i="1058"/>
  <c r="Z119" i="1058"/>
  <c r="Z122" i="1058" s="1"/>
  <c r="AD145" i="1057"/>
  <c r="AD147" i="1057" s="1"/>
  <c r="R205" i="1059"/>
  <c r="R93" i="1059"/>
  <c r="AF57" i="1059"/>
  <c r="AB141" i="1058"/>
  <c r="Q219" i="1064"/>
  <c r="Q106" i="1064"/>
  <c r="AA112" i="1053"/>
  <c r="Q213" i="1061"/>
  <c r="Q101" i="1061"/>
  <c r="Q203" i="1061"/>
  <c r="Q91" i="1061"/>
  <c r="Z119" i="1060"/>
  <c r="Z122" i="1060" s="1"/>
  <c r="Z120" i="1060"/>
  <c r="Z128" i="1060"/>
  <c r="R171" i="1063"/>
  <c r="AE14" i="1063"/>
  <c r="Q145" i="1058"/>
  <c r="AD211" i="1059"/>
  <c r="AD99" i="1059"/>
  <c r="AE92" i="1058"/>
  <c r="AE204" i="1058"/>
  <c r="Z114" i="1062"/>
  <c r="Z115" i="1062" s="1"/>
  <c r="Z116" i="1062" s="1"/>
  <c r="Z113" i="1062"/>
  <c r="Z225" i="1062" s="1"/>
  <c r="AE208" i="1057"/>
  <c r="AE96" i="1057"/>
  <c r="Q202" i="1057"/>
  <c r="Q90" i="1057"/>
  <c r="Q142" i="1057"/>
  <c r="Q143" i="1057" s="1"/>
  <c r="Q101" i="1057"/>
  <c r="Q213" i="1057"/>
  <c r="AE203" i="1057"/>
  <c r="AE91" i="1057"/>
  <c r="R176" i="1064"/>
  <c r="AE19" i="1064"/>
  <c r="AB202" i="1064"/>
  <c r="AB142" i="1064"/>
  <c r="AB143" i="1064" s="1"/>
  <c r="AB90" i="1064"/>
  <c r="R174" i="1064"/>
  <c r="AE17" i="1064"/>
  <c r="AB121" i="1063"/>
  <c r="AB111" i="1063"/>
  <c r="AC207" i="1064"/>
  <c r="AC95" i="1064"/>
  <c r="P117" i="1063"/>
  <c r="AF117" i="1063" s="1"/>
  <c r="P44" i="1063" s="1"/>
  <c r="Z120" i="1064"/>
  <c r="Z119" i="1064"/>
  <c r="Z122" i="1064" s="1"/>
  <c r="Z128" i="1064"/>
  <c r="O89" i="1058"/>
  <c r="Q221" i="1060"/>
  <c r="Q109" i="1060"/>
  <c r="AA141" i="1063"/>
  <c r="P219" i="1057"/>
  <c r="P106" i="1057"/>
  <c r="AE15" i="1060"/>
  <c r="R172" i="1060"/>
  <c r="Z146" i="1060"/>
  <c r="O144" i="1064"/>
  <c r="R121" i="1057"/>
  <c r="AF121" i="1057" s="1"/>
  <c r="R111" i="1057"/>
  <c r="AF123" i="1057"/>
  <c r="R215" i="1063"/>
  <c r="R103" i="1063"/>
  <c r="AF103" i="1063" s="1"/>
  <c r="R185" i="1063"/>
  <c r="R184" i="1063"/>
  <c r="AF68" i="1063"/>
  <c r="R214" i="1063"/>
  <c r="R102" i="1063"/>
  <c r="AF102" i="1063" s="1"/>
  <c r="AF67" i="1063"/>
  <c r="AC98" i="1060"/>
  <c r="AC210" i="1060"/>
  <c r="AB211" i="1062"/>
  <c r="AB99" i="1062"/>
  <c r="AB140" i="1062"/>
  <c r="AC175" i="1064"/>
  <c r="P145" i="1061"/>
  <c r="P144" i="1061" s="1"/>
  <c r="D178" i="1059"/>
  <c r="B65" i="1059"/>
  <c r="AA141" i="1062"/>
  <c r="P91" i="1058"/>
  <c r="P203" i="1058"/>
  <c r="P70" i="1058"/>
  <c r="P142" i="1058"/>
  <c r="P143" i="1058" s="1"/>
  <c r="AE70" i="1057"/>
  <c r="AE71" i="1057"/>
  <c r="R182" i="1062"/>
  <c r="AE23" i="1062"/>
  <c r="AB209" i="1060"/>
  <c r="AB97" i="1060"/>
  <c r="R121" i="1064"/>
  <c r="AF121" i="1064" s="1"/>
  <c r="R111" i="1064"/>
  <c r="AF123" i="1064"/>
  <c r="Q221" i="1063"/>
  <c r="Q109" i="1063"/>
  <c r="AB208" i="1064"/>
  <c r="AB96" i="1064"/>
  <c r="AC111" i="1059"/>
  <c r="AC121" i="1059"/>
  <c r="AE131" i="1058"/>
  <c r="AC205" i="1064"/>
  <c r="AC93" i="1064"/>
  <c r="AE12" i="1058"/>
  <c r="AE133" i="1058" s="1"/>
  <c r="R165" i="1058"/>
  <c r="R169" i="1058" s="1"/>
  <c r="R166" i="1058"/>
  <c r="M126" i="1058"/>
  <c r="AA145" i="1060"/>
  <c r="AA147" i="1060"/>
  <c r="AB197" i="1058"/>
  <c r="AB198" i="1058"/>
  <c r="AB196" i="1058"/>
  <c r="R167" i="1059"/>
  <c r="R179" i="1059"/>
  <c r="R208" i="1060"/>
  <c r="R96" i="1060"/>
  <c r="R202" i="1060"/>
  <c r="R90" i="1060"/>
  <c r="AF53" i="1060"/>
  <c r="Q209" i="1064"/>
  <c r="Q97" i="1064"/>
  <c r="AB141" i="1059"/>
  <c r="R71" i="1058"/>
  <c r="AF71" i="1058" s="1"/>
  <c r="AF54" i="1058"/>
  <c r="P141" i="1058"/>
  <c r="AE130" i="1061"/>
  <c r="AE164" i="1061" s="1"/>
  <c r="AE125" i="1061"/>
  <c r="AE129" i="1061"/>
  <c r="AE163" i="1061" s="1"/>
  <c r="AE123" i="1061"/>
  <c r="AE69" i="1061"/>
  <c r="AE54" i="1061"/>
  <c r="AE53" i="1061"/>
  <c r="AE104" i="1061"/>
  <c r="AE216" i="1061"/>
  <c r="AE66" i="1061"/>
  <c r="AE236" i="1061"/>
  <c r="AE180" i="1061"/>
  <c r="AE181" i="1061"/>
  <c r="AE67" i="1061"/>
  <c r="AC94" i="1062"/>
  <c r="AC206" i="1062"/>
  <c r="AB202" i="1060"/>
  <c r="AB142" i="1060"/>
  <c r="AB143" i="1060" s="1"/>
  <c r="AB90" i="1060"/>
  <c r="O225" i="1063"/>
  <c r="O113" i="1063"/>
  <c r="O114" i="1063" s="1"/>
  <c r="O115" i="1063" s="1"/>
  <c r="O116" i="1063" s="1"/>
  <c r="O126" i="1063" s="1"/>
  <c r="AC176" i="1063"/>
  <c r="AC207" i="1058"/>
  <c r="AC95" i="1058"/>
  <c r="R207" i="1059"/>
  <c r="R95" i="1059"/>
  <c r="AF95" i="1059" s="1"/>
  <c r="AF59" i="1059"/>
  <c r="R60" i="1059"/>
  <c r="AD70" i="1057"/>
  <c r="R178" i="1060"/>
  <c r="AD130" i="1059"/>
  <c r="AD164" i="1059" s="1"/>
  <c r="AD125" i="1059"/>
  <c r="AD129" i="1059"/>
  <c r="AD163" i="1059" s="1"/>
  <c r="AD53" i="1059"/>
  <c r="AD54" i="1059"/>
  <c r="AD123" i="1059"/>
  <c r="AD69" i="1059"/>
  <c r="AD216" i="1059"/>
  <c r="AD181" i="1059"/>
  <c r="AD180" i="1059"/>
  <c r="AD66" i="1059"/>
  <c r="AD140" i="1059" s="1"/>
  <c r="AD67" i="1059"/>
  <c r="AD236" i="1059"/>
  <c r="AD104" i="1059"/>
  <c r="R172" i="1062"/>
  <c r="AE15" i="1062"/>
  <c r="Q95" i="1062"/>
  <c r="Q207" i="1062"/>
  <c r="Q202" i="1062"/>
  <c r="Q90" i="1062"/>
  <c r="Q142" i="1062"/>
  <c r="Q143" i="1062" s="1"/>
  <c r="Q55" i="1063"/>
  <c r="P89" i="1059"/>
  <c r="AA112" i="1058"/>
  <c r="AC167" i="1064"/>
  <c r="AC167" i="1063"/>
  <c r="P219" i="1064"/>
  <c r="P106" i="1064"/>
  <c r="P110" i="1064" s="1"/>
  <c r="O144" i="1050"/>
  <c r="AA144" i="1056"/>
  <c r="Q215" i="1061"/>
  <c r="Q103" i="1061"/>
  <c r="Q184" i="1061"/>
  <c r="Q185" i="1061"/>
  <c r="P141" i="1059"/>
  <c r="AC99" i="1060"/>
  <c r="AC211" i="1060"/>
  <c r="AE171" i="1062"/>
  <c r="AE57" i="1062"/>
  <c r="O148" i="1060"/>
  <c r="O147" i="1060"/>
  <c r="O145" i="1060"/>
  <c r="O146" i="1060" s="1"/>
  <c r="AB144" i="1061"/>
  <c r="AE59" i="1059"/>
  <c r="AE173" i="1059"/>
  <c r="AD171" i="1063"/>
  <c r="AD57" i="1063"/>
  <c r="AE57" i="1060"/>
  <c r="AE171" i="1060"/>
  <c r="AD212" i="1059"/>
  <c r="AD100" i="1059"/>
  <c r="AC60" i="1064"/>
  <c r="AB114" i="1061"/>
  <c r="AB115" i="1061" s="1"/>
  <c r="AB116" i="1061" s="1"/>
  <c r="AB126" i="1061" s="1"/>
  <c r="AB141" i="1064"/>
  <c r="AB141" i="1060"/>
  <c r="Q211" i="1057"/>
  <c r="Q99" i="1057"/>
  <c r="Q140" i="1057"/>
  <c r="Q214" i="1057"/>
  <c r="Q102" i="1057"/>
  <c r="Q210" i="1059"/>
  <c r="Q98" i="1059"/>
  <c r="D178" i="1063"/>
  <c r="B65" i="1063"/>
  <c r="AD71" i="1061"/>
  <c r="AD70" i="1061"/>
  <c r="R175" i="1058"/>
  <c r="AE18" i="1058"/>
  <c r="AB71" i="1064"/>
  <c r="AB70" i="1064"/>
  <c r="AB89" i="1064" s="1"/>
  <c r="AE11" i="1064"/>
  <c r="R104" i="1064"/>
  <c r="AF104" i="1064" s="1"/>
  <c r="R236" i="1064"/>
  <c r="AD209" i="1061"/>
  <c r="AD97" i="1061"/>
  <c r="AD205" i="1062"/>
  <c r="AD93" i="1062"/>
  <c r="AD208" i="1059"/>
  <c r="AD96" i="1059"/>
  <c r="AA148" i="1058"/>
  <c r="AA144" i="1058"/>
  <c r="AA147" i="1058"/>
  <c r="AA145" i="1058"/>
  <c r="AA146" i="1058" s="1"/>
  <c r="Q205" i="1059"/>
  <c r="Q93" i="1059"/>
  <c r="AE18" i="1062"/>
  <c r="R175" i="1062"/>
  <c r="AA119" i="1059"/>
  <c r="AA120" i="1059"/>
  <c r="AA128" i="1059"/>
  <c r="Q55" i="1060"/>
  <c r="Q70" i="1060" s="1"/>
  <c r="AE173" i="1063"/>
  <c r="AE59" i="1063"/>
  <c r="R88" i="1060" a="1"/>
  <c r="R88" i="1060" s="1"/>
  <c r="AE9" i="1060"/>
  <c r="AE88" i="1060" s="1"/>
  <c r="AE109" i="1060" s="1"/>
  <c r="Q111" i="1059"/>
  <c r="Q121" i="1059"/>
  <c r="R174" i="1058"/>
  <c r="AE17" i="1058"/>
  <c r="AC215" i="1062"/>
  <c r="AC103" i="1062"/>
  <c r="AC185" i="1062"/>
  <c r="AC184" i="1062"/>
  <c r="Z147" i="1060"/>
  <c r="AD212" i="1061"/>
  <c r="AD100" i="1061"/>
  <c r="P145" i="1064"/>
  <c r="P147" i="1064" s="1"/>
  <c r="AE206" i="1057"/>
  <c r="AE94" i="1057"/>
  <c r="R197" i="1057"/>
  <c r="R196" i="1057"/>
  <c r="R198" i="1057"/>
  <c r="R213" i="1063"/>
  <c r="R101" i="1063"/>
  <c r="AF101" i="1063" s="1"/>
  <c r="AF66" i="1063"/>
  <c r="R206" i="1063"/>
  <c r="R94" i="1063"/>
  <c r="AF94" i="1063" s="1"/>
  <c r="AF58" i="1063"/>
  <c r="AC147" i="1057"/>
  <c r="M126" i="1064"/>
  <c r="AA219" i="1058"/>
  <c r="AA106" i="1058"/>
  <c r="AC215" i="1060"/>
  <c r="AC103" i="1060"/>
  <c r="AC184" i="1060"/>
  <c r="AC185" i="1060"/>
  <c r="AC63" i="1058"/>
  <c r="AD89" i="1057"/>
  <c r="R196" i="1064"/>
  <c r="R197" i="1064"/>
  <c r="R198" i="1064"/>
  <c r="AE205" i="1061"/>
  <c r="AE93" i="1061"/>
  <c r="Q206" i="1063"/>
  <c r="Q94" i="1063"/>
  <c r="AA146" i="1060"/>
  <c r="AA141" i="1060"/>
  <c r="AA144" i="1060" s="1"/>
  <c r="R131" i="1058"/>
  <c r="AC219" i="1061"/>
  <c r="AC106" i="1061"/>
  <c r="AB214" i="1058"/>
  <c r="AB102" i="1058"/>
  <c r="AC129" i="1063"/>
  <c r="AC163" i="1063" s="1"/>
  <c r="AC123" i="1063"/>
  <c r="AC54" i="1063"/>
  <c r="AC130" i="1063"/>
  <c r="AC164" i="1063" s="1"/>
  <c r="AC125" i="1063"/>
  <c r="AC69" i="1063"/>
  <c r="AC53" i="1063"/>
  <c r="AC216" i="1063"/>
  <c r="AC104" i="1063"/>
  <c r="AC67" i="1063"/>
  <c r="AC66" i="1063"/>
  <c r="AC236" i="1063"/>
  <c r="AC180" i="1063"/>
  <c r="AC181" i="1063"/>
  <c r="AC178" i="1063"/>
  <c r="AC64" i="1063"/>
  <c r="R211" i="1060"/>
  <c r="R99" i="1060"/>
  <c r="AF99" i="1060" s="1"/>
  <c r="AF63" i="1060"/>
  <c r="Q215" i="1064"/>
  <c r="Q103" i="1064"/>
  <c r="Q185" i="1064"/>
  <c r="Q184" i="1064"/>
  <c r="Q206" i="1064"/>
  <c r="Q94" i="1064"/>
  <c r="Q204" i="1064"/>
  <c r="Q92" i="1064"/>
  <c r="R178" i="1058"/>
  <c r="AE21" i="1058"/>
  <c r="R207" i="1058"/>
  <c r="R95" i="1058"/>
  <c r="AF95" i="1058" s="1"/>
  <c r="AF59" i="1058"/>
  <c r="AB102" i="1060"/>
  <c r="AB214" i="1060"/>
  <c r="R65" i="1059"/>
  <c r="AF65" i="1059" s="1"/>
  <c r="AA145" i="1064"/>
  <c r="AA144" i="1064" s="1"/>
  <c r="AD171" i="1058"/>
  <c r="AD57" i="1058"/>
  <c r="Q212" i="1062"/>
  <c r="Q100" i="1062"/>
  <c r="Q205" i="1062"/>
  <c r="Q93" i="1062"/>
  <c r="AC215" i="1059"/>
  <c r="AC103" i="1059"/>
  <c r="AC185" i="1059"/>
  <c r="AC184" i="1059"/>
  <c r="AE139" i="1061"/>
  <c r="AC146" i="1057"/>
  <c r="AE215" i="1057"/>
  <c r="AE103" i="1057"/>
  <c r="AE185" i="1057"/>
  <c r="AE184" i="1057"/>
  <c r="AC208" i="1060"/>
  <c r="AC96" i="1060"/>
  <c r="AC65" i="1063"/>
  <c r="Z148" i="1053"/>
  <c r="Q71" i="1061"/>
  <c r="Q70" i="1061"/>
  <c r="R65" i="1061"/>
  <c r="AF65" i="1061" s="1"/>
  <c r="R55" i="1061"/>
  <c r="R69" i="1061"/>
  <c r="AF69" i="1061" s="1"/>
  <c r="R62" i="1061"/>
  <c r="R58" i="1061"/>
  <c r="R67" i="1061"/>
  <c r="R64" i="1061"/>
  <c r="R59" i="1061"/>
  <c r="R54" i="1061"/>
  <c r="R68" i="1061"/>
  <c r="AE8" i="1061"/>
  <c r="R66" i="1061"/>
  <c r="R60" i="1061"/>
  <c r="R56" i="1061"/>
  <c r="R63" i="1061"/>
  <c r="R53" i="1061"/>
  <c r="R57" i="1061"/>
  <c r="R61" i="1061"/>
  <c r="R108" i="1061"/>
  <c r="AC141" i="1061"/>
  <c r="AD182" i="1058"/>
  <c r="AD68" i="1058"/>
  <c r="AB145" i="1059"/>
  <c r="AB147" i="1059" s="1"/>
  <c r="AF111" i="1058"/>
  <c r="AC207" i="1062"/>
  <c r="AC95" i="1062"/>
  <c r="Q206" i="1057"/>
  <c r="Q94" i="1057"/>
  <c r="Z128" i="1063"/>
  <c r="Z120" i="1063"/>
  <c r="Z119" i="1063"/>
  <c r="AB111" i="1064"/>
  <c r="AB112" i="1064" s="1"/>
  <c r="AB121" i="1064"/>
  <c r="AE134" i="1062"/>
  <c r="AE133" i="1062"/>
  <c r="AE132" i="1062"/>
  <c r="AE131" i="1062"/>
  <c r="AD10" i="1064"/>
  <c r="AD174" i="1064" s="1"/>
  <c r="Q149" i="1064"/>
  <c r="AA219" i="1064"/>
  <c r="AA106" i="1064"/>
  <c r="Q219" i="1058"/>
  <c r="Q106" i="1058"/>
  <c r="AB214" i="1063"/>
  <c r="AB102" i="1063"/>
  <c r="AC208" i="1059"/>
  <c r="AC96" i="1059"/>
  <c r="AE204" i="1064"/>
  <c r="AE92" i="1064"/>
  <c r="AB210" i="1060"/>
  <c r="AB98" i="1060"/>
  <c r="O148" i="1058"/>
  <c r="O145" i="1058"/>
  <c r="O146" i="1058" s="1"/>
  <c r="AE206" i="1061"/>
  <c r="AE94" i="1061"/>
  <c r="Q198" i="1059"/>
  <c r="Q197" i="1059"/>
  <c r="Q196" i="1059"/>
  <c r="R210" i="1063"/>
  <c r="R98" i="1063"/>
  <c r="AF98" i="1063" s="1"/>
  <c r="AF62" i="1063"/>
  <c r="D234" i="1058"/>
  <c r="B123" i="1058"/>
  <c r="AB197" i="1062"/>
  <c r="AB196" i="1062"/>
  <c r="AB198" i="1062"/>
  <c r="AE214" i="1057"/>
  <c r="AE102" i="1057"/>
  <c r="AE142" i="1057"/>
  <c r="AE143" i="1057" s="1"/>
  <c r="AE202" i="1057"/>
  <c r="AE89" i="1057"/>
  <c r="AE90" i="1057"/>
  <c r="AE118" i="1057"/>
  <c r="AB203" i="1058"/>
  <c r="AB91" i="1058"/>
  <c r="AB114" i="1059"/>
  <c r="AB115" i="1059" s="1"/>
  <c r="AB116" i="1059" s="1"/>
  <c r="AB113" i="1059"/>
  <c r="AB225" i="1059" s="1"/>
  <c r="Q111" i="1060"/>
  <c r="Q121" i="1060"/>
  <c r="R134" i="1058"/>
  <c r="AC203" i="1058"/>
  <c r="AC91" i="1058"/>
  <c r="M114" i="1063"/>
  <c r="R175" i="1064"/>
  <c r="AE18" i="1064"/>
  <c r="AA219" i="1062"/>
  <c r="AA106" i="1062"/>
  <c r="AA110" i="1062" s="1"/>
  <c r="AB203" i="1063"/>
  <c r="AB91" i="1063"/>
  <c r="AE134" i="1059"/>
  <c r="AE131" i="1059"/>
  <c r="AE132" i="1059"/>
  <c r="AE133" i="1059"/>
  <c r="AC206" i="1060"/>
  <c r="AC94" i="1060"/>
  <c r="R93" i="1060"/>
  <c r="AF93" i="1060" s="1"/>
  <c r="R205" i="1060"/>
  <c r="AF57" i="1060"/>
  <c r="R54" i="1060"/>
  <c r="Q71" i="1064"/>
  <c r="Q118" i="1064" s="1"/>
  <c r="R63" i="1064"/>
  <c r="R53" i="1064"/>
  <c r="R108" i="1064"/>
  <c r="R67" i="1064"/>
  <c r="R66" i="1064"/>
  <c r="R58" i="1064"/>
  <c r="R61" i="1064"/>
  <c r="R57" i="1064"/>
  <c r="R59" i="1064"/>
  <c r="AE8" i="1064"/>
  <c r="R65" i="1064"/>
  <c r="AF65" i="1064" s="1"/>
  <c r="R69" i="1064"/>
  <c r="AF69" i="1064" s="1"/>
  <c r="R62" i="1064"/>
  <c r="R60" i="1064"/>
  <c r="R56" i="1064"/>
  <c r="R54" i="1064"/>
  <c r="R64" i="1064"/>
  <c r="R68" i="1064"/>
  <c r="Q208" i="1064"/>
  <c r="Q96" i="1064"/>
  <c r="R64" i="1058"/>
  <c r="R140" i="1058" s="1"/>
  <c r="AB91" i="1060"/>
  <c r="AB203" i="1060"/>
  <c r="AC63" i="1063"/>
  <c r="AD203" i="1061"/>
  <c r="AD91" i="1061"/>
  <c r="AE11" i="1063"/>
  <c r="R104" i="1063"/>
  <c r="AF104" i="1063" s="1"/>
  <c r="R236" i="1063"/>
  <c r="R66" i="1059"/>
  <c r="R206" i="1059"/>
  <c r="R94" i="1059"/>
  <c r="AD141" i="1057"/>
  <c r="AD146" i="1057"/>
  <c r="AD58" i="1058"/>
  <c r="AD172" i="1058"/>
  <c r="R171" i="1058"/>
  <c r="AE14" i="1058"/>
  <c r="Q102" i="1062"/>
  <c r="Q214" i="1062"/>
  <c r="R217" i="1063"/>
  <c r="R179" i="1063"/>
  <c r="R167" i="1063"/>
  <c r="R139" i="1063"/>
  <c r="R133" i="1063"/>
  <c r="R134" i="1063"/>
  <c r="R131" i="1063"/>
  <c r="R132" i="1063"/>
  <c r="AE4" i="1063"/>
  <c r="R168" i="1063"/>
  <c r="R177" i="1063"/>
  <c r="AE20" i="1063"/>
  <c r="P148" i="1059"/>
  <c r="P147" i="1059"/>
  <c r="P145" i="1059"/>
  <c r="P146" i="1059" s="1"/>
  <c r="P144" i="1059"/>
  <c r="AE179" i="1061"/>
  <c r="Q214" i="1060"/>
  <c r="Q102" i="1060"/>
  <c r="AC206" i="1064"/>
  <c r="AC94" i="1064"/>
  <c r="Z146" i="1058"/>
  <c r="Z148" i="1058" s="1"/>
  <c r="R175" i="1060"/>
  <c r="AE18" i="1060"/>
  <c r="D178" i="1061"/>
  <c r="B65" i="1061"/>
  <c r="N144" i="1052"/>
  <c r="Q206" i="1061"/>
  <c r="Q94" i="1061"/>
  <c r="Q207" i="1061"/>
  <c r="Q95" i="1061"/>
  <c r="Q205" i="1061"/>
  <c r="Q93" i="1061"/>
  <c r="D234" i="1061"/>
  <c r="B123" i="1061"/>
  <c r="AF117" i="1060"/>
  <c r="P44" i="1060" s="1"/>
  <c r="AB147" i="1061"/>
  <c r="AB148" i="1061" s="1"/>
  <c r="R182" i="1058"/>
  <c r="AE23" i="1058"/>
  <c r="AB126" i="1059"/>
  <c r="AE210" i="1061"/>
  <c r="AE98" i="1061"/>
  <c r="AC129" i="1064"/>
  <c r="AC163" i="1064" s="1"/>
  <c r="AC123" i="1064"/>
  <c r="AC130" i="1064"/>
  <c r="AC164" i="1064" s="1"/>
  <c r="AC125" i="1064"/>
  <c r="AC69" i="1064"/>
  <c r="AC54" i="1064"/>
  <c r="AC53" i="1064"/>
  <c r="AC104" i="1064"/>
  <c r="AC216" i="1064"/>
  <c r="AC67" i="1064"/>
  <c r="AC66" i="1064"/>
  <c r="AC236" i="1064"/>
  <c r="AC180" i="1064"/>
  <c r="AC181" i="1064"/>
  <c r="AA219" i="1063"/>
  <c r="AA106" i="1063"/>
  <c r="R111" i="1062"/>
  <c r="R121" i="1062"/>
  <c r="AF121" i="1062" s="1"/>
  <c r="AF123" i="1062"/>
  <c r="N122" i="1061"/>
  <c r="O225" i="1062"/>
  <c r="O113" i="1062"/>
  <c r="O114" i="1062" s="1"/>
  <c r="Q215" i="1057"/>
  <c r="Q103" i="1057"/>
  <c r="Q185" i="1057"/>
  <c r="Q184" i="1057"/>
  <c r="Q210" i="1057"/>
  <c r="Q98" i="1057"/>
  <c r="P110" i="1057"/>
  <c r="Q112" i="1061"/>
  <c r="Q96" i="1060"/>
  <c r="Q208" i="1060"/>
  <c r="AF60" i="1060"/>
  <c r="AC97" i="1062"/>
  <c r="AC209" i="1062"/>
  <c r="AD121" i="1061"/>
  <c r="AD111" i="1061"/>
  <c r="AD112" i="1061" s="1"/>
  <c r="D234" i="1063"/>
  <c r="B123" i="1063"/>
  <c r="Y114" i="1063"/>
  <c r="Y115" i="1063" s="1"/>
  <c r="Y116" i="1063" s="1"/>
  <c r="Y126" i="1063" s="1"/>
  <c r="AB214" i="1064"/>
  <c r="AB102" i="1064"/>
  <c r="AB197" i="1064"/>
  <c r="AB198" i="1064"/>
  <c r="AB196" i="1064"/>
  <c r="R177" i="1064"/>
  <c r="AE20" i="1064"/>
  <c r="AC96" i="1058"/>
  <c r="AC208" i="1058"/>
  <c r="AB212" i="1063"/>
  <c r="AB100" i="1063"/>
  <c r="R88" i="1059" a="1"/>
  <c r="R88" i="1059" s="1"/>
  <c r="AE9" i="1059"/>
  <c r="AE88" i="1059" s="1"/>
  <c r="AE109" i="1059" s="1"/>
  <c r="AA110" i="1058"/>
  <c r="AD204" i="1064"/>
  <c r="AD92" i="1064"/>
  <c r="Q211" i="1063"/>
  <c r="Q99" i="1063"/>
  <c r="Q140" i="1063"/>
  <c r="R217" i="1060"/>
  <c r="R179" i="1060"/>
  <c r="R168" i="1060"/>
  <c r="R132" i="1060"/>
  <c r="AE4" i="1060"/>
  <c r="R131" i="1060"/>
  <c r="R139" i="1060"/>
  <c r="R134" i="1060"/>
  <c r="R133" i="1060"/>
  <c r="R167" i="1060"/>
  <c r="AD55" i="1058"/>
  <c r="AC130" i="1058"/>
  <c r="AC164" i="1058" s="1"/>
  <c r="AC125" i="1058"/>
  <c r="AC129" i="1058"/>
  <c r="AC163" i="1058" s="1"/>
  <c r="AC123" i="1058"/>
  <c r="AC69" i="1058"/>
  <c r="AC54" i="1058"/>
  <c r="AC53" i="1058"/>
  <c r="AC104" i="1058"/>
  <c r="AC236" i="1058"/>
  <c r="AC180" i="1058"/>
  <c r="AC216" i="1058"/>
  <c r="AC66" i="1058"/>
  <c r="AC67" i="1058"/>
  <c r="AC181" i="1058"/>
  <c r="AC168" i="1058"/>
  <c r="AC217" i="1058"/>
  <c r="AC139" i="1058"/>
  <c r="AC179" i="1058"/>
  <c r="AC65" i="1058"/>
  <c r="AC167" i="1058"/>
  <c r="P146" i="1061"/>
  <c r="P141" i="1061"/>
  <c r="P148" i="1061" s="1"/>
  <c r="R204" i="1063"/>
  <c r="R92" i="1063"/>
  <c r="AF92" i="1063" s="1"/>
  <c r="AF56" i="1063"/>
  <c r="R69" i="1063"/>
  <c r="AF69" i="1063" s="1"/>
  <c r="AB202" i="1062"/>
  <c r="AB90" i="1062"/>
  <c r="AB142" i="1062"/>
  <c r="AB143" i="1062" s="1"/>
  <c r="O146" i="1062"/>
  <c r="AC209" i="1059"/>
  <c r="AC97" i="1059"/>
  <c r="AE213" i="1057"/>
  <c r="AE101" i="1057"/>
  <c r="AC62" i="1058"/>
  <c r="Q90" i="1060"/>
  <c r="Q202" i="1060"/>
  <c r="Q142" i="1060"/>
  <c r="Q143" i="1060" s="1"/>
  <c r="AC64" i="1058"/>
  <c r="Q198" i="1060"/>
  <c r="Q197" i="1060"/>
  <c r="Q196" i="1060"/>
  <c r="AC208" i="1062"/>
  <c r="AC96" i="1062"/>
  <c r="AD175" i="1064"/>
  <c r="AD61" i="1064"/>
  <c r="AB90" i="1058"/>
  <c r="AB202" i="1058"/>
  <c r="AB142" i="1058"/>
  <c r="AB143" i="1058" s="1"/>
  <c r="O225" i="1059"/>
  <c r="O113" i="1059"/>
  <c r="O114" i="1059"/>
  <c r="O115" i="1059" s="1"/>
  <c r="O116" i="1059" s="1"/>
  <c r="O126" i="1059" s="1"/>
  <c r="R176" i="1058"/>
  <c r="AE19" i="1058"/>
  <c r="R61" i="1060"/>
  <c r="Q214" i="1064"/>
  <c r="Q102" i="1064"/>
  <c r="Q213" i="1064"/>
  <c r="Q101" i="1064"/>
  <c r="R221" i="1064"/>
  <c r="R109" i="1064"/>
  <c r="R205" i="1058"/>
  <c r="R93" i="1058"/>
  <c r="AF57" i="1058"/>
  <c r="R214" i="1058"/>
  <c r="R102" i="1058"/>
  <c r="AF102" i="1058" s="1"/>
  <c r="AF67" i="1058"/>
  <c r="R90" i="1058"/>
  <c r="R202" i="1058"/>
  <c r="AF53" i="1058"/>
  <c r="AE12" i="1063"/>
  <c r="R166" i="1063"/>
  <c r="R165" i="1063"/>
  <c r="R169" i="1063" s="1"/>
  <c r="AC177" i="1063"/>
  <c r="R171" i="1064"/>
  <c r="AE14" i="1064"/>
  <c r="AD10" i="1063"/>
  <c r="AD175" i="1063" s="1"/>
  <c r="Q149" i="1063"/>
  <c r="R67" i="1059"/>
  <c r="R62" i="1059"/>
  <c r="AE63" i="1061"/>
  <c r="R172" i="1058"/>
  <c r="AE15" i="1058"/>
  <c r="AE17" i="1060"/>
  <c r="R174" i="1060"/>
  <c r="R104" i="1062"/>
  <c r="AF104" i="1062" s="1"/>
  <c r="AE11" i="1062"/>
  <c r="R236" i="1062"/>
  <c r="Q103" i="1062"/>
  <c r="Q215" i="1062"/>
  <c r="Q185" i="1062"/>
  <c r="Q184" i="1062"/>
  <c r="Q206" i="1062"/>
  <c r="Q94" i="1062"/>
  <c r="P147" i="1062"/>
  <c r="P145" i="1062"/>
  <c r="AD63" i="1063"/>
  <c r="AE167" i="1061"/>
  <c r="Q147" i="1059"/>
  <c r="Q144" i="1059"/>
  <c r="Q148" i="1059"/>
  <c r="Q145" i="1059"/>
  <c r="Q146" i="1059" s="1"/>
  <c r="R172" i="1059"/>
  <c r="AE15" i="1059"/>
  <c r="AC55" i="1064"/>
  <c r="AC168" i="1064"/>
  <c r="P117" i="1058"/>
  <c r="AF117" i="1058" s="1"/>
  <c r="P44" i="1058" s="1"/>
  <c r="Q143" i="1054"/>
  <c r="AC110" i="1061"/>
  <c r="Q202" i="1061"/>
  <c r="Q142" i="1061"/>
  <c r="Q143" i="1061" s="1"/>
  <c r="Q90" i="1061"/>
  <c r="Q89" i="1061"/>
  <c r="Q118" i="1061"/>
  <c r="Q212" i="1061"/>
  <c r="Q100" i="1061"/>
  <c r="Q209" i="1061"/>
  <c r="Q97" i="1061"/>
  <c r="P141" i="1060"/>
  <c r="O128" i="1060"/>
  <c r="O120" i="1060"/>
  <c r="O119" i="1060"/>
  <c r="O122" i="1060" s="1"/>
  <c r="Q101" i="1060"/>
  <c r="Q213" i="1060"/>
  <c r="Q206" i="1059"/>
  <c r="Q94" i="1059"/>
  <c r="AF58" i="1059"/>
  <c r="D235" i="1059"/>
  <c r="B124" i="1059"/>
  <c r="R198" i="1062"/>
  <c r="R197" i="1062"/>
  <c r="R196" i="1062"/>
  <c r="AD59" i="1060"/>
  <c r="AD173" i="1060"/>
  <c r="R108" i="1057"/>
  <c r="R69" i="1057"/>
  <c r="AF69" i="1057" s="1"/>
  <c r="R62" i="1057"/>
  <c r="R58" i="1057"/>
  <c r="R67" i="1057"/>
  <c r="R53" i="1057"/>
  <c r="R64" i="1057"/>
  <c r="R59" i="1057"/>
  <c r="R54" i="1057"/>
  <c r="R68" i="1057"/>
  <c r="AE8" i="1057"/>
  <c r="R63" i="1057"/>
  <c r="R66" i="1057"/>
  <c r="R60" i="1057"/>
  <c r="R56" i="1057"/>
  <c r="R61" i="1057"/>
  <c r="R57" i="1057"/>
  <c r="R65" i="1057"/>
  <c r="AF65" i="1057" s="1"/>
  <c r="R55" i="1057"/>
  <c r="Q208" i="1057"/>
  <c r="Q96" i="1057"/>
  <c r="AB122" i="1057"/>
  <c r="Q97" i="1060"/>
  <c r="Q209" i="1060"/>
  <c r="P112" i="1061"/>
  <c r="AD214" i="1061"/>
  <c r="AD102" i="1061"/>
  <c r="AD215" i="1063"/>
  <c r="AD103" i="1063"/>
  <c r="AD185" i="1063"/>
  <c r="AD184" i="1063"/>
  <c r="AB213" i="1064"/>
  <c r="AB101" i="1064"/>
  <c r="AA117" i="1063"/>
  <c r="AD177" i="1064"/>
  <c r="AD63" i="1064"/>
  <c r="Q94" i="1058"/>
  <c r="Q206" i="1058"/>
  <c r="AD203" i="1057"/>
  <c r="AD91" i="1057"/>
  <c r="O147" i="1061"/>
  <c r="R182" i="1064"/>
  <c r="AE23" i="1064"/>
  <c r="Z128" i="1062"/>
  <c r="Z119" i="1062"/>
  <c r="Z120" i="1062"/>
  <c r="P112" i="1057"/>
  <c r="AE12" i="1064"/>
  <c r="R166" i="1064"/>
  <c r="R165" i="1064"/>
  <c r="P145" i="1060"/>
  <c r="P146" i="1060" s="1"/>
  <c r="P148" i="1060"/>
  <c r="R57" i="1063"/>
  <c r="R53" i="1063"/>
  <c r="AD10" i="1058"/>
  <c r="AD174" i="1058" s="1"/>
  <c r="Q149" i="1058"/>
  <c r="AB121" i="1062"/>
  <c r="AB111" i="1062"/>
  <c r="AB208" i="1063"/>
  <c r="AB96" i="1063"/>
  <c r="AE166" i="1062"/>
  <c r="AE165" i="1062"/>
  <c r="AE169" i="1062" s="1"/>
  <c r="AC176" i="1058"/>
  <c r="P219" i="1062"/>
  <c r="P106" i="1062"/>
  <c r="P110" i="1062" s="1"/>
  <c r="AC178" i="1058"/>
  <c r="AC198" i="1059"/>
  <c r="AC197" i="1059"/>
  <c r="AC196" i="1059"/>
  <c r="AE18" i="1059"/>
  <c r="R175" i="1059"/>
  <c r="AB213" i="1058"/>
  <c r="AB101" i="1058"/>
  <c r="AB70" i="1058"/>
  <c r="AB71" i="1058"/>
  <c r="R58" i="1060"/>
  <c r="R64" i="1060"/>
  <c r="Q203" i="1064"/>
  <c r="Q91" i="1064"/>
  <c r="Q207" i="1064"/>
  <c r="Q95" i="1064"/>
  <c r="R61" i="1058"/>
  <c r="R172" i="1063"/>
  <c r="AE15" i="1063"/>
  <c r="O148" i="1063"/>
  <c r="O144" i="1063"/>
  <c r="O147" i="1063"/>
  <c r="O145" i="1063"/>
  <c r="O146" i="1063" s="1"/>
  <c r="AB213" i="1060"/>
  <c r="AB101" i="1060"/>
  <c r="AB70" i="1060"/>
  <c r="AB117" i="1060" s="1"/>
  <c r="AB71" i="1060"/>
  <c r="AC206" i="1058"/>
  <c r="AC94" i="1058"/>
  <c r="AD166" i="1063"/>
  <c r="AD165" i="1063"/>
  <c r="AD171" i="1064"/>
  <c r="AD57" i="1064"/>
  <c r="Z113" i="1064"/>
  <c r="Z225" i="1064" s="1"/>
  <c r="AA117" i="1062"/>
  <c r="R69" i="1059"/>
  <c r="AF69" i="1059" s="1"/>
  <c r="AD211" i="1061"/>
  <c r="AD99" i="1061"/>
  <c r="AD140" i="1061"/>
  <c r="Z114" i="1058"/>
  <c r="Z115" i="1058" s="1"/>
  <c r="Z116" i="1058" s="1"/>
  <c r="Z126" i="1058" s="1"/>
  <c r="AE177" i="1061"/>
  <c r="AD10" i="1062"/>
  <c r="AD60" i="1062" s="1"/>
  <c r="Q149" i="1062"/>
  <c r="Q71" i="1062"/>
  <c r="Q204" i="1062"/>
  <c r="Q92" i="1062"/>
  <c r="Q210" i="1062"/>
  <c r="Q98" i="1062"/>
  <c r="AE55" i="1061"/>
  <c r="AE168" i="1061"/>
  <c r="AA146" i="1064"/>
  <c r="AA141" i="1064"/>
  <c r="AA148" i="1064" s="1"/>
  <c r="AD172" i="1059"/>
  <c r="AD58" i="1059"/>
  <c r="AA112" i="1064"/>
  <c r="AC65" i="1064"/>
  <c r="AC217" i="1064"/>
  <c r="AC130" i="1060"/>
  <c r="AC164" i="1060" s="1"/>
  <c r="AC125" i="1060"/>
  <c r="AC181" i="1060"/>
  <c r="AC69" i="1060"/>
  <c r="AC54" i="1060"/>
  <c r="AC53" i="1060"/>
  <c r="AC129" i="1060"/>
  <c r="AC163" i="1060" s="1"/>
  <c r="AC123" i="1060"/>
  <c r="AC67" i="1060"/>
  <c r="AC66" i="1060"/>
  <c r="AC180" i="1060"/>
  <c r="AC216" i="1060"/>
  <c r="AC236" i="1060"/>
  <c r="AC104" i="1060"/>
  <c r="AC178" i="1060"/>
  <c r="AC64" i="1060"/>
  <c r="AC140" i="1060" s="1"/>
  <c r="AC168" i="1063"/>
  <c r="N122" i="1060"/>
  <c r="Z144" i="1052"/>
  <c r="AA117" i="1055"/>
  <c r="O122" i="1055"/>
  <c r="Q70" i="1056"/>
  <c r="P117" i="1056"/>
  <c r="AF117" i="1056" s="1"/>
  <c r="P44" i="1056" s="1"/>
  <c r="P112" i="1059"/>
  <c r="AC148" i="1061"/>
  <c r="AC147" i="1061"/>
  <c r="AC145" i="1061"/>
  <c r="AC146" i="1061" s="1"/>
  <c r="AC144" i="1061"/>
  <c r="Q211" i="1061"/>
  <c r="Q99" i="1061"/>
  <c r="Q140" i="1061"/>
  <c r="Q214" i="1061"/>
  <c r="Q102" i="1061"/>
  <c r="AB211" i="1063"/>
  <c r="AB99" i="1063"/>
  <c r="AB140" i="1063"/>
  <c r="Q212" i="1060"/>
  <c r="Q100" i="1060"/>
  <c r="R172" i="1064"/>
  <c r="AE15" i="1064"/>
  <c r="AC209" i="1058"/>
  <c r="AC97" i="1058"/>
  <c r="AC62" i="1064"/>
  <c r="D236" i="1062"/>
  <c r="B125" i="1062"/>
  <c r="Q205" i="1057"/>
  <c r="Q93" i="1057"/>
  <c r="Q71" i="1057"/>
  <c r="Q70" i="1057"/>
  <c r="Q118" i="1057" s="1"/>
  <c r="Q92" i="1057"/>
  <c r="Q204" i="1057"/>
  <c r="P147" i="1057"/>
  <c r="P145" i="1057"/>
  <c r="AD55" i="1059"/>
  <c r="N128" i="1058"/>
  <c r="N120" i="1058"/>
  <c r="N119" i="1058"/>
  <c r="AD196" i="1061"/>
  <c r="AD197" i="1061"/>
  <c r="AD198" i="1061"/>
  <c r="Z146" i="1064"/>
  <c r="Z148" i="1064" s="1"/>
  <c r="R176" i="1060"/>
  <c r="AE19" i="1060"/>
  <c r="AC64" i="1064"/>
  <c r="AA89" i="1063"/>
  <c r="AB198" i="1063"/>
  <c r="AB197" i="1063"/>
  <c r="AB196" i="1063"/>
  <c r="Q221" i="1059"/>
  <c r="Q109" i="1059"/>
  <c r="Q70" i="1059"/>
  <c r="Q118" i="1059" s="1"/>
  <c r="AE209" i="1057"/>
  <c r="AE97" i="1057"/>
  <c r="B124" i="1057"/>
  <c r="D235" i="1057"/>
  <c r="Q211" i="1058"/>
  <c r="Q99" i="1058"/>
  <c r="Q140" i="1058"/>
  <c r="Q147" i="1058" s="1"/>
  <c r="AD182" i="1064"/>
  <c r="AD68" i="1064"/>
  <c r="R178" i="1064"/>
  <c r="AE21" i="1064"/>
  <c r="AA112" i="1063"/>
  <c r="AC95" i="1060"/>
  <c r="AC207" i="1060"/>
  <c r="R130" i="1063" a="1"/>
  <c r="R130" i="1063" s="1"/>
  <c r="R164" i="1063" s="1"/>
  <c r="R125" i="1063"/>
  <c r="AF125" i="1063" s="1"/>
  <c r="R129" i="1063"/>
  <c r="R163" i="1063" s="1"/>
  <c r="R123" i="1063"/>
  <c r="R216" i="1063" a="1"/>
  <c r="R216" i="1063" s="1"/>
  <c r="R180" i="1063"/>
  <c r="R181" i="1063"/>
  <c r="AD166" i="1064"/>
  <c r="AD165" i="1064"/>
  <c r="D178" i="1064"/>
  <c r="B65" i="1064"/>
  <c r="AC205" i="1059"/>
  <c r="AC93" i="1059"/>
  <c r="R54" i="1063"/>
  <c r="R63" i="1063"/>
  <c r="Z126" i="1062"/>
  <c r="R174" i="1062"/>
  <c r="AE17" i="1062"/>
  <c r="R104" i="1058"/>
  <c r="AF104" i="1058" s="1"/>
  <c r="AE11" i="1058"/>
  <c r="R236" i="1058"/>
  <c r="AB210" i="1062"/>
  <c r="AB98" i="1062"/>
  <c r="AB71" i="1062"/>
  <c r="AB70" i="1062"/>
  <c r="AB117" i="1062" s="1"/>
  <c r="AA219" i="1060"/>
  <c r="AA106" i="1060"/>
  <c r="AE111" i="1057"/>
  <c r="AE112" i="1057" s="1"/>
  <c r="AE121" i="1057"/>
  <c r="R171" i="1059"/>
  <c r="AE14" i="1059"/>
  <c r="AC206" i="1063"/>
  <c r="AC94" i="1063"/>
  <c r="AC202" i="1059"/>
  <c r="AC142" i="1059"/>
  <c r="AC143" i="1059" s="1"/>
  <c r="AC90" i="1059"/>
  <c r="R132" i="1058"/>
  <c r="AD175" i="1059"/>
  <c r="AD61" i="1059"/>
  <c r="AA113" i="1059"/>
  <c r="AA225" i="1059" s="1"/>
  <c r="AA114" i="1059"/>
  <c r="AA115" i="1059" s="1"/>
  <c r="AA116" i="1059" s="1"/>
  <c r="R217" i="1059"/>
  <c r="R62" i="1060"/>
  <c r="Q210" i="1064"/>
  <c r="Q98" i="1064"/>
  <c r="O128" i="1064"/>
  <c r="O119" i="1064"/>
  <c r="O120" i="1064"/>
  <c r="AD177" i="1058"/>
  <c r="AD63" i="1058"/>
  <c r="R213" i="1058"/>
  <c r="R101" i="1058"/>
  <c r="AF101" i="1058" s="1"/>
  <c r="AF66" i="1058"/>
  <c r="R108" i="1058"/>
  <c r="O144" i="1057"/>
  <c r="AD172" i="1063"/>
  <c r="AD58" i="1063"/>
  <c r="AA89" i="1062"/>
  <c r="AD166" i="1060"/>
  <c r="AD165" i="1060"/>
  <c r="AE19" i="1059"/>
  <c r="R176" i="1059"/>
  <c r="R204" i="1059"/>
  <c r="R92" i="1059"/>
  <c r="AF92" i="1059" s="1"/>
  <c r="AF56" i="1059"/>
  <c r="R63" i="1059"/>
  <c r="AE64" i="1061"/>
  <c r="AC206" i="1059"/>
  <c r="AC94" i="1059"/>
  <c r="AA117" i="1064"/>
  <c r="R169" i="1064"/>
  <c r="R139" i="1064"/>
  <c r="R217" i="1064"/>
  <c r="R131" i="1064"/>
  <c r="R55" i="1064" s="1"/>
  <c r="R167" i="1064"/>
  <c r="R132" i="1064"/>
  <c r="R168" i="1064"/>
  <c r="R134" i="1064"/>
  <c r="R179" i="1064"/>
  <c r="R133" i="1064"/>
  <c r="AE4" i="1064"/>
  <c r="Q209" i="1062"/>
  <c r="Q97" i="1062"/>
  <c r="Q213" i="1062"/>
  <c r="Q101" i="1062"/>
  <c r="D178" i="1057"/>
  <c r="B65" i="1057"/>
  <c r="AE19" i="1063"/>
  <c r="R176" i="1063"/>
  <c r="AD177" i="1060"/>
  <c r="AE217" i="1061"/>
  <c r="Q89" i="1059"/>
  <c r="AE10" i="1059"/>
  <c r="AE177" i="1059" s="1"/>
  <c r="R149" i="1059"/>
  <c r="AE215" i="1061"/>
  <c r="AE103" i="1061"/>
  <c r="AE185" i="1061"/>
  <c r="AE184" i="1061"/>
  <c r="AA122" i="1061"/>
  <c r="Q204" i="1061"/>
  <c r="Q92" i="1061"/>
  <c r="Q210" i="1061"/>
  <c r="Q98" i="1061"/>
  <c r="P219" i="1061"/>
  <c r="P106" i="1061"/>
  <c r="R182" i="1059"/>
  <c r="AE23" i="1059"/>
  <c r="P219" i="1059"/>
  <c r="P106" i="1059"/>
  <c r="AD172" i="1064"/>
  <c r="AD58" i="1064"/>
  <c r="B124" i="1060"/>
  <c r="D235" i="1060"/>
  <c r="D178" i="1062"/>
  <c r="B65" i="1062"/>
  <c r="D234" i="1064"/>
  <c r="B123" i="1064"/>
  <c r="AD10" i="1060"/>
  <c r="AD174" i="1060" s="1"/>
  <c r="Q149" i="1060"/>
  <c r="P203" i="1063"/>
  <c r="P91" i="1063"/>
  <c r="P110" i="1063" s="1"/>
  <c r="P142" i="1063"/>
  <c r="P143" i="1063" s="1"/>
  <c r="AE16" i="1060"/>
  <c r="R173" i="1060"/>
  <c r="Q209" i="1057"/>
  <c r="Q97" i="1057"/>
  <c r="Q207" i="1057"/>
  <c r="Q95" i="1057"/>
  <c r="Q203" i="1057"/>
  <c r="Q91" i="1057"/>
  <c r="AE209" i="1061"/>
  <c r="AE97" i="1061"/>
  <c r="AE210" i="1057"/>
  <c r="AE98" i="1057"/>
  <c r="AD213" i="1061"/>
  <c r="AD101" i="1061"/>
  <c r="AD202" i="1061"/>
  <c r="AD89" i="1061"/>
  <c r="AD142" i="1061"/>
  <c r="AD143" i="1061" s="1"/>
  <c r="AD90" i="1061"/>
  <c r="AD118" i="1061"/>
  <c r="AC209" i="1060"/>
  <c r="AC97" i="1060"/>
  <c r="AC215" i="1064"/>
  <c r="AC103" i="1064"/>
  <c r="AC185" i="1064"/>
  <c r="AC184" i="1064"/>
  <c r="AD207" i="1063"/>
  <c r="AD95" i="1063"/>
  <c r="AC178" i="1064"/>
  <c r="AA110" i="1063"/>
  <c r="AD59" i="1062"/>
  <c r="AD173" i="1062"/>
  <c r="AA114" i="1060"/>
  <c r="AA115" i="1060" s="1"/>
  <c r="AA116" i="1060" s="1"/>
  <c r="AA126" i="1060" s="1"/>
  <c r="AA113" i="1060"/>
  <c r="AA225" i="1060" s="1"/>
  <c r="AB213" i="1063"/>
  <c r="AB101" i="1063"/>
  <c r="AB142" i="1063"/>
  <c r="AB143" i="1063" s="1"/>
  <c r="AB202" i="1063"/>
  <c r="AB90" i="1063"/>
  <c r="Z113" i="1063"/>
  <c r="Z225" i="1063" s="1"/>
  <c r="Q112" i="1064"/>
  <c r="AC209" i="1063"/>
  <c r="AC97" i="1063"/>
  <c r="O219" i="1058"/>
  <c r="O106" i="1058"/>
  <c r="O110" i="1058" s="1"/>
  <c r="AD178" i="1064"/>
  <c r="AD64" i="1064"/>
  <c r="AC208" i="1063"/>
  <c r="AC96" i="1063"/>
  <c r="B65" i="1060"/>
  <c r="D178" i="1060"/>
  <c r="Q197" i="1063"/>
  <c r="Q196" i="1063"/>
  <c r="Q198" i="1063"/>
  <c r="AD172" i="1060"/>
  <c r="AD58" i="1060"/>
  <c r="AD182" i="1060"/>
  <c r="AD68" i="1060"/>
  <c r="R173" i="1064"/>
  <c r="AE16" i="1064"/>
  <c r="R212" i="1063"/>
  <c r="R100" i="1063"/>
  <c r="AF100" i="1063" s="1"/>
  <c r="AF64" i="1063"/>
  <c r="R207" i="1063"/>
  <c r="R95" i="1063"/>
  <c r="AF95" i="1063" s="1"/>
  <c r="AF59" i="1063"/>
  <c r="O128" i="1061"/>
  <c r="O120" i="1061"/>
  <c r="O119" i="1061"/>
  <c r="O122" i="1061" s="1"/>
  <c r="R174" i="1063"/>
  <c r="AE17" i="1063"/>
  <c r="AB213" i="1062"/>
  <c r="AB101" i="1062"/>
  <c r="P89" i="1061"/>
  <c r="AE198" i="1057"/>
  <c r="AE197" i="1057"/>
  <c r="AE196" i="1057"/>
  <c r="AD182" i="1062"/>
  <c r="AD68" i="1062"/>
  <c r="Q205" i="1058"/>
  <c r="Q93" i="1058"/>
  <c r="Q110" i="1058" s="1"/>
  <c r="AE9" i="1063"/>
  <c r="AE88" i="1063" s="1"/>
  <c r="AE109" i="1063" s="1"/>
  <c r="R88" i="1063" a="1"/>
  <c r="R88" i="1063" s="1"/>
  <c r="AD57" i="1059"/>
  <c r="AD171" i="1059"/>
  <c r="AC214" i="1059"/>
  <c r="AC102" i="1059"/>
  <c r="P219" i="1060"/>
  <c r="P106" i="1060"/>
  <c r="P110" i="1060" s="1"/>
  <c r="AA117" i="1060"/>
  <c r="R213" i="1060"/>
  <c r="R101" i="1060"/>
  <c r="AF101" i="1060" s="1"/>
  <c r="AF66" i="1060"/>
  <c r="R65" i="1060"/>
  <c r="AF65" i="1060" s="1"/>
  <c r="AC98" i="1059"/>
  <c r="AC210" i="1059"/>
  <c r="Q205" i="1064"/>
  <c r="Q93" i="1064"/>
  <c r="Q211" i="1064"/>
  <c r="Q99" i="1064"/>
  <c r="Q140" i="1064"/>
  <c r="O144" i="1059"/>
  <c r="O148" i="1059"/>
  <c r="R177" i="1058"/>
  <c r="AE20" i="1058"/>
  <c r="O115" i="1057"/>
  <c r="O116" i="1057" s="1"/>
  <c r="R56" i="1058"/>
  <c r="R206" i="1058"/>
  <c r="R94" i="1058"/>
  <c r="AF94" i="1058" s="1"/>
  <c r="AF58" i="1058"/>
  <c r="O119" i="1063"/>
  <c r="O120" i="1063"/>
  <c r="O128" i="1063"/>
  <c r="AB212" i="1060"/>
  <c r="AB100" i="1060"/>
  <c r="AB111" i="1060"/>
  <c r="AB112" i="1060" s="1"/>
  <c r="AB121" i="1060"/>
  <c r="AC54" i="1062"/>
  <c r="AC125" i="1062"/>
  <c r="AC123" i="1062"/>
  <c r="AC129" i="1062"/>
  <c r="AC163" i="1062" s="1"/>
  <c r="AC53" i="1062"/>
  <c r="AC130" i="1062"/>
  <c r="AC164" i="1062" s="1"/>
  <c r="AC69" i="1062"/>
  <c r="AC181" i="1062"/>
  <c r="AC66" i="1062"/>
  <c r="AC216" i="1062"/>
  <c r="AC236" i="1062"/>
  <c r="AC104" i="1062"/>
  <c r="AC67" i="1062"/>
  <c r="AC180" i="1062"/>
  <c r="AC178" i="1062"/>
  <c r="AC64" i="1062"/>
  <c r="AC139" i="1062"/>
  <c r="AC176" i="1062"/>
  <c r="AC179" i="1062"/>
  <c r="AC168" i="1062"/>
  <c r="AC62" i="1062"/>
  <c r="AC177" i="1062"/>
  <c r="AC65" i="1062"/>
  <c r="AC63" i="1062"/>
  <c r="AC217" i="1062"/>
  <c r="AC167" i="1062"/>
  <c r="R178" i="1063"/>
  <c r="AA147" i="1062"/>
  <c r="AA148" i="1062"/>
  <c r="AA145" i="1062"/>
  <c r="AA146" i="1062" s="1"/>
  <c r="AE12" i="1060"/>
  <c r="R166" i="1060"/>
  <c r="R165" i="1060"/>
  <c r="R169" i="1060" s="1"/>
  <c r="Q221" i="1062"/>
  <c r="Q109" i="1062"/>
  <c r="Q70" i="1062"/>
  <c r="Q118" i="1062"/>
  <c r="AD176" i="1059"/>
  <c r="AD62" i="1059"/>
  <c r="R53" i="1059"/>
  <c r="AE178" i="1061"/>
  <c r="AA89" i="1064"/>
  <c r="AD217" i="1064"/>
  <c r="AD132" i="1064"/>
  <c r="AD167" i="1064"/>
  <c r="AD168" i="1064"/>
  <c r="AD169" i="1064"/>
  <c r="AD139" i="1064"/>
  <c r="AD179" i="1064"/>
  <c r="AD134" i="1064"/>
  <c r="AD133" i="1064"/>
  <c r="AD131" i="1064"/>
  <c r="AD65" i="1064"/>
  <c r="Q208" i="1062"/>
  <c r="Q96" i="1062"/>
  <c r="Q203" i="1062"/>
  <c r="Q91" i="1062"/>
  <c r="AD217" i="1063"/>
  <c r="AD139" i="1063"/>
  <c r="AD134" i="1063"/>
  <c r="AD168" i="1063"/>
  <c r="AD133" i="1063"/>
  <c r="AD132" i="1063"/>
  <c r="AD179" i="1063"/>
  <c r="AD167" i="1063"/>
  <c r="AD169" i="1063"/>
  <c r="AD131" i="1063"/>
  <c r="AD55" i="1063" s="1"/>
  <c r="AD65" i="1063"/>
  <c r="AD176" i="1063"/>
  <c r="AD62" i="1063"/>
  <c r="R111" i="1061"/>
  <c r="R121" i="1061"/>
  <c r="AF121" i="1061" s="1"/>
  <c r="AF123" i="1061"/>
  <c r="AD173" i="1058"/>
  <c r="AD59" i="1058"/>
  <c r="AC215" i="1058"/>
  <c r="AC103" i="1058"/>
  <c r="AC184" i="1058"/>
  <c r="AC185" i="1058"/>
  <c r="AB203" i="1064"/>
  <c r="AB91" i="1064"/>
  <c r="AC203" i="1063"/>
  <c r="AC91" i="1063"/>
  <c r="AC139" i="1063"/>
  <c r="Y122" i="1062"/>
  <c r="Z147" i="1052"/>
  <c r="Z114" i="1054"/>
  <c r="Z115" i="1054" s="1"/>
  <c r="Z116" i="1054" s="1"/>
  <c r="Z126" i="1054" s="1"/>
  <c r="N147" i="1055"/>
  <c r="AA89" i="1054"/>
  <c r="M115" i="1061"/>
  <c r="M116" i="1061" s="1"/>
  <c r="Q208" i="1061"/>
  <c r="Q96" i="1061"/>
  <c r="AD68" i="1059"/>
  <c r="AD182" i="1059"/>
  <c r="P146" i="1057"/>
  <c r="P141" i="1057"/>
  <c r="P148" i="1057" s="1"/>
  <c r="M122" i="1063"/>
  <c r="Q126" i="1058"/>
  <c r="AD204" i="1058"/>
  <c r="AD92" i="1058"/>
  <c r="AD55" i="1062"/>
  <c r="AE11" i="1060"/>
  <c r="R236" i="1060"/>
  <c r="R104" i="1060"/>
  <c r="AF104" i="1060" s="1"/>
  <c r="AC63" i="1064"/>
  <c r="AC112" i="1061"/>
  <c r="AA113" i="1062"/>
  <c r="AA225" i="1062" s="1"/>
  <c r="AA114" i="1062"/>
  <c r="AA115" i="1062" s="1"/>
  <c r="AA116" i="1062" s="1"/>
  <c r="Q212" i="1057"/>
  <c r="Q100" i="1057"/>
  <c r="O225" i="1061"/>
  <c r="O113" i="1061"/>
  <c r="O114" i="1061"/>
  <c r="O115" i="1061" s="1"/>
  <c r="O116" i="1061" s="1"/>
  <c r="O126" i="1061" s="1"/>
  <c r="L126" i="1062"/>
  <c r="AD112" i="1057"/>
  <c r="Z122" i="1059"/>
  <c r="AC55" i="1060"/>
  <c r="AC140" i="1059"/>
  <c r="AA148" i="1063"/>
  <c r="AA145" i="1063"/>
  <c r="AA147" i="1063" s="1"/>
  <c r="AA144" i="1063"/>
  <c r="D178" i="1058"/>
  <c r="B65" i="1058"/>
  <c r="R173" i="1062"/>
  <c r="AE16" i="1062"/>
  <c r="AB70" i="1063"/>
  <c r="AB89" i="1063" s="1"/>
  <c r="AB71" i="1063"/>
  <c r="Z148" i="1063"/>
  <c r="AE182" i="1063"/>
  <c r="AE68" i="1063"/>
  <c r="AD169" i="1060"/>
  <c r="AD179" i="1060"/>
  <c r="AD168" i="1060"/>
  <c r="AD133" i="1060"/>
  <c r="AD139" i="1060"/>
  <c r="AD65" i="1060"/>
  <c r="AD217" i="1060"/>
  <c r="AD134" i="1060"/>
  <c r="AD132" i="1060"/>
  <c r="AD131" i="1060"/>
  <c r="AD167" i="1060"/>
  <c r="AD205" i="1060"/>
  <c r="AD93" i="1060"/>
  <c r="O112" i="1058"/>
  <c r="O119" i="1062"/>
  <c r="O128" i="1062"/>
  <c r="O120" i="1062"/>
  <c r="R129" i="1059"/>
  <c r="R163" i="1059" s="1"/>
  <c r="R123" i="1059"/>
  <c r="R125" i="1059"/>
  <c r="AF125" i="1059" s="1"/>
  <c r="R130" i="1059" a="1"/>
  <c r="R130" i="1059" s="1"/>
  <c r="R164" i="1059" s="1"/>
  <c r="R216" i="1059" a="1"/>
  <c r="R216" i="1059" s="1"/>
  <c r="R181" i="1059"/>
  <c r="R180" i="1059"/>
  <c r="Q121" i="1063"/>
  <c r="Q111" i="1063"/>
  <c r="AE23" i="1060"/>
  <c r="R182" i="1060"/>
  <c r="AD173" i="1064"/>
  <c r="AD59" i="1064"/>
  <c r="R175" i="1063"/>
  <c r="AE18" i="1063"/>
  <c r="R65" i="1063"/>
  <c r="AF65" i="1063" s="1"/>
  <c r="R61" i="1063"/>
  <c r="Z114" i="1060"/>
  <c r="Z115" i="1060" s="1"/>
  <c r="Z116" i="1060" s="1"/>
  <c r="Z126" i="1060" s="1"/>
  <c r="AC203" i="1059"/>
  <c r="AC91" i="1059"/>
  <c r="AD174" i="1063"/>
  <c r="AD60" i="1063"/>
  <c r="AB212" i="1062"/>
  <c r="AB100" i="1062"/>
  <c r="AB214" i="1062"/>
  <c r="AB102" i="1062"/>
  <c r="AC61" i="1064"/>
  <c r="P110" i="1061"/>
  <c r="AD208" i="1061"/>
  <c r="AD96" i="1061"/>
  <c r="AE208" i="1061"/>
  <c r="AE96" i="1061"/>
  <c r="AC203" i="1062"/>
  <c r="AC91" i="1062"/>
  <c r="R125" i="1060"/>
  <c r="AF125" i="1060" s="1"/>
  <c r="R130" i="1060" a="1"/>
  <c r="R130" i="1060" s="1"/>
  <c r="R164" i="1060" s="1"/>
  <c r="R129" i="1060"/>
  <c r="R163" i="1060" s="1"/>
  <c r="R123" i="1060"/>
  <c r="R181" i="1060"/>
  <c r="R180" i="1060"/>
  <c r="R216" i="1060" a="1"/>
  <c r="R216" i="1060" s="1"/>
  <c r="AC213" i="1059"/>
  <c r="AC101" i="1059"/>
  <c r="AC71" i="1059"/>
  <c r="AC70" i="1059"/>
  <c r="AC89" i="1059" s="1"/>
  <c r="P146" i="1062"/>
  <c r="P141" i="1062"/>
  <c r="P144" i="1062" s="1"/>
  <c r="AD166" i="1058"/>
  <c r="AD165" i="1058"/>
  <c r="AD169" i="1058" s="1"/>
  <c r="AA110" i="1060"/>
  <c r="AB111" i="1058"/>
  <c r="AB112" i="1058" s="1"/>
  <c r="AB121" i="1058"/>
  <c r="R139" i="1059"/>
  <c r="R168" i="1059"/>
  <c r="L126" i="1059"/>
  <c r="R204" i="1060"/>
  <c r="R92" i="1060"/>
  <c r="AF92" i="1060" s="1"/>
  <c r="AF56" i="1060"/>
  <c r="R69" i="1060"/>
  <c r="AF69" i="1060" s="1"/>
  <c r="Q202" i="1064"/>
  <c r="Q142" i="1064"/>
  <c r="Q143" i="1064" s="1"/>
  <c r="Q90" i="1064"/>
  <c r="Q110" i="1064" s="1"/>
  <c r="Q89" i="1064"/>
  <c r="Q212" i="1064"/>
  <c r="Q100" i="1064"/>
  <c r="R60" i="1058"/>
  <c r="R62" i="1058"/>
  <c r="AA126" i="1059"/>
  <c r="AB198" i="1060"/>
  <c r="AB197" i="1060"/>
  <c r="AB196" i="1060"/>
  <c r="AC93" i="1058"/>
  <c r="AC205" i="1058"/>
  <c r="AC62" i="1063"/>
  <c r="R88" i="1062" a="1"/>
  <c r="R88" i="1062" s="1"/>
  <c r="AE9" i="1062"/>
  <c r="AE88" i="1062" s="1"/>
  <c r="AE109" i="1062" s="1"/>
  <c r="R54" i="1059"/>
  <c r="R108" i="1059"/>
  <c r="N126" i="1058"/>
  <c r="AD172" i="1062"/>
  <c r="AD58" i="1062"/>
  <c r="N114" i="1059"/>
  <c r="AA110" i="1064"/>
  <c r="Q211" i="1062"/>
  <c r="Q99" i="1062"/>
  <c r="Q140" i="1062"/>
  <c r="R69" i="1062"/>
  <c r="AF69" i="1062" s="1"/>
  <c r="R62" i="1062"/>
  <c r="R58" i="1062"/>
  <c r="R67" i="1062"/>
  <c r="R64" i="1062"/>
  <c r="R59" i="1062"/>
  <c r="R54" i="1062"/>
  <c r="R60" i="1062"/>
  <c r="R66" i="1062"/>
  <c r="R56" i="1062"/>
  <c r="R68" i="1062"/>
  <c r="R108" i="1062"/>
  <c r="R65" i="1062"/>
  <c r="AF65" i="1062" s="1"/>
  <c r="R61" i="1062"/>
  <c r="R55" i="1062"/>
  <c r="AE8" i="1062"/>
  <c r="R63" i="1062"/>
  <c r="R57" i="1062"/>
  <c r="R53" i="1062"/>
  <c r="AE212" i="1057"/>
  <c r="AE100" i="1057"/>
  <c r="P110" i="1059"/>
  <c r="AE20" i="1060"/>
  <c r="R177" i="1060"/>
  <c r="AE65" i="1061"/>
  <c r="R197" i="1061"/>
  <c r="R198" i="1061"/>
  <c r="R196" i="1061"/>
  <c r="AD207" i="1059"/>
  <c r="AD95" i="1059"/>
  <c r="P146" i="1064"/>
  <c r="P141" i="1064"/>
  <c r="P148" i="1064" s="1"/>
  <c r="R173" i="1058"/>
  <c r="AE16" i="1058"/>
  <c r="AE166" i="1059"/>
  <c r="AE165" i="1059"/>
  <c r="AE169" i="1059" s="1"/>
  <c r="AC205" i="1063"/>
  <c r="AC93" i="1063"/>
  <c r="AB219" i="1059"/>
  <c r="AB106" i="1059"/>
  <c r="AB110" i="1059" s="1"/>
  <c r="AE207" i="1061"/>
  <c r="AE95" i="1061"/>
  <c r="AE93" i="1057"/>
  <c r="AE205" i="1057"/>
  <c r="AE211" i="1057"/>
  <c r="AE99" i="1057"/>
  <c r="AE140" i="1057"/>
  <c r="AC139" i="1064"/>
  <c r="AC179" i="1063"/>
  <c r="P117" i="1064"/>
  <c r="AF117" i="1064" s="1"/>
  <c r="P44" i="1064" s="1"/>
  <c r="Q140" i="1060"/>
  <c r="Z120" i="1055"/>
  <c r="Z128" i="1055"/>
  <c r="Z119" i="1055"/>
  <c r="R100" i="1054"/>
  <c r="R212" i="1054"/>
  <c r="AF64" i="1054"/>
  <c r="AC96" i="1054"/>
  <c r="AC208" i="1054"/>
  <c r="N115" i="1055"/>
  <c r="N116" i="1055" s="1"/>
  <c r="Z119" i="1054"/>
  <c r="Z120" i="1054"/>
  <c r="Z128" i="1054"/>
  <c r="R205" i="1054"/>
  <c r="R93" i="1054"/>
  <c r="AF93" i="1054" s="1"/>
  <c r="AF57" i="1054"/>
  <c r="AA113" i="1056"/>
  <c r="AA225" i="1056" s="1"/>
  <c r="AA114" i="1056"/>
  <c r="AA115" i="1056" s="1"/>
  <c r="AA116" i="1056" s="1"/>
  <c r="R215" i="1054"/>
  <c r="R103" i="1054"/>
  <c r="AF103" i="1054" s="1"/>
  <c r="R184" i="1054"/>
  <c r="R185" i="1054"/>
  <c r="AF68" i="1054"/>
  <c r="AC44" i="1054"/>
  <c r="AC86" i="1054" s="1"/>
  <c r="P86" i="1054"/>
  <c r="P89" i="1054" s="1"/>
  <c r="R207" i="1054"/>
  <c r="R95" i="1054"/>
  <c r="AF95" i="1054" s="1"/>
  <c r="AF59" i="1054"/>
  <c r="O128" i="1053"/>
  <c r="O120" i="1053"/>
  <c r="O119" i="1053"/>
  <c r="Q141" i="1055"/>
  <c r="AC44" i="1056"/>
  <c r="AC86" i="1056" s="1"/>
  <c r="P86" i="1056"/>
  <c r="P89" i="1056" s="1"/>
  <c r="Q219" i="1056"/>
  <c r="Q106" i="1056"/>
  <c r="O128" i="1054"/>
  <c r="O120" i="1054"/>
  <c r="O119" i="1054"/>
  <c r="R207" i="1055"/>
  <c r="R95" i="1055"/>
  <c r="AF95" i="1055" s="1"/>
  <c r="AF59" i="1055"/>
  <c r="Q145" i="1054"/>
  <c r="Q147" i="1054" s="1"/>
  <c r="AB210" i="1054"/>
  <c r="AB98" i="1054"/>
  <c r="AC214" i="1056"/>
  <c r="AC102" i="1056"/>
  <c r="AC202" i="1056"/>
  <c r="AC90" i="1056"/>
  <c r="B65" i="1054"/>
  <c r="D178" i="1054"/>
  <c r="R177" i="1055"/>
  <c r="AE20" i="1055"/>
  <c r="R172" i="1053"/>
  <c r="AE15" i="1053"/>
  <c r="R205" i="1055"/>
  <c r="R93" i="1055"/>
  <c r="AF93" i="1055" s="1"/>
  <c r="AF57" i="1055"/>
  <c r="R214" i="1055"/>
  <c r="R102" i="1055"/>
  <c r="AF102" i="1055" s="1"/>
  <c r="AF67" i="1055"/>
  <c r="R63" i="1055"/>
  <c r="AB203" i="1056"/>
  <c r="AB91" i="1056"/>
  <c r="AD173" i="1055"/>
  <c r="AD59" i="1055"/>
  <c r="AF111" i="1055"/>
  <c r="R176" i="1056"/>
  <c r="AE19" i="1056"/>
  <c r="Q213" i="1056"/>
  <c r="Q101" i="1056"/>
  <c r="AB203" i="1053"/>
  <c r="AB91" i="1053"/>
  <c r="R177" i="1054"/>
  <c r="AE20" i="1054"/>
  <c r="R172" i="1055"/>
  <c r="AE15" i="1055"/>
  <c r="AD215" i="1055"/>
  <c r="AD103" i="1055"/>
  <c r="AD185" i="1055"/>
  <c r="AD184" i="1055"/>
  <c r="AB70" i="1054"/>
  <c r="AB71" i="1054"/>
  <c r="AD10" i="1053"/>
  <c r="Q149" i="1053"/>
  <c r="AD171" i="1054"/>
  <c r="AD57" i="1054"/>
  <c r="R176" i="1054"/>
  <c r="AE19" i="1054"/>
  <c r="R221" i="1056"/>
  <c r="R109" i="1056"/>
  <c r="P147" i="1054"/>
  <c r="P145" i="1054"/>
  <c r="Q70" i="1054"/>
  <c r="R217" i="1054"/>
  <c r="R179" i="1054"/>
  <c r="R168" i="1054"/>
  <c r="R132" i="1054"/>
  <c r="R133" i="1054"/>
  <c r="R167" i="1054"/>
  <c r="R139" i="1054"/>
  <c r="R131" i="1054"/>
  <c r="AE4" i="1054"/>
  <c r="R134" i="1054"/>
  <c r="Q206" i="1053"/>
  <c r="Q94" i="1053"/>
  <c r="Q211" i="1053"/>
  <c r="Q99" i="1053"/>
  <c r="Q140" i="1053"/>
  <c r="AA89" i="1055"/>
  <c r="R63" i="1054"/>
  <c r="AE11" i="1054"/>
  <c r="R104" i="1054"/>
  <c r="AF104" i="1054" s="1"/>
  <c r="R236" i="1054"/>
  <c r="AA112" i="1054"/>
  <c r="AE204" i="1054"/>
  <c r="AE92" i="1054"/>
  <c r="AC139" i="1054"/>
  <c r="AC60" i="1055"/>
  <c r="AB212" i="1054"/>
  <c r="AB100" i="1054"/>
  <c r="D235" i="1053"/>
  <c r="B124" i="1053"/>
  <c r="AC213" i="1056"/>
  <c r="AC101" i="1056"/>
  <c r="R215" i="1055"/>
  <c r="R103" i="1055"/>
  <c r="AF103" i="1055" s="1"/>
  <c r="R185" i="1055"/>
  <c r="R184" i="1055"/>
  <c r="AF68" i="1055"/>
  <c r="R206" i="1055"/>
  <c r="R94" i="1055"/>
  <c r="AF94" i="1055" s="1"/>
  <c r="AF58" i="1055"/>
  <c r="R130" i="1056" a="1"/>
  <c r="R130" i="1056" s="1"/>
  <c r="R164" i="1056" s="1"/>
  <c r="R129" i="1056"/>
  <c r="R163" i="1056" s="1"/>
  <c r="R123" i="1056"/>
  <c r="R125" i="1056"/>
  <c r="AF125" i="1056" s="1"/>
  <c r="R216" i="1056" a="1"/>
  <c r="R216" i="1056" s="1"/>
  <c r="R180" i="1056"/>
  <c r="R181" i="1056"/>
  <c r="Q203" i="1056"/>
  <c r="Q91" i="1056"/>
  <c r="Q215" i="1056"/>
  <c r="Q103" i="1056"/>
  <c r="Q184" i="1056"/>
  <c r="Q185" i="1056"/>
  <c r="Q212" i="1054"/>
  <c r="Q100" i="1054"/>
  <c r="AD177" i="1054"/>
  <c r="AC203" i="1055"/>
  <c r="AC91" i="1055"/>
  <c r="AD172" i="1055"/>
  <c r="AD58" i="1055"/>
  <c r="AB111" i="1054"/>
  <c r="AB112" i="1054" s="1"/>
  <c r="AB121" i="1054"/>
  <c r="AE11" i="1053"/>
  <c r="R236" i="1053"/>
  <c r="R104" i="1053"/>
  <c r="AF104" i="1053" s="1"/>
  <c r="AC210" i="1056"/>
  <c r="AC98" i="1056"/>
  <c r="AC215" i="1054"/>
  <c r="AC103" i="1054"/>
  <c r="AC184" i="1054"/>
  <c r="AC185" i="1054"/>
  <c r="AB212" i="1053"/>
  <c r="AB100" i="1053"/>
  <c r="AB213" i="1053"/>
  <c r="AB101" i="1053"/>
  <c r="D178" i="1053"/>
  <c r="B65" i="1053"/>
  <c r="Q210" i="1053"/>
  <c r="Q98" i="1053"/>
  <c r="Q204" i="1053"/>
  <c r="Q92" i="1053"/>
  <c r="AC210" i="1055"/>
  <c r="AC98" i="1055"/>
  <c r="AA145" i="1055"/>
  <c r="AA147" i="1055" s="1"/>
  <c r="R202" i="1054"/>
  <c r="R90" i="1054"/>
  <c r="AF53" i="1054"/>
  <c r="R217" i="1056"/>
  <c r="R169" i="1056"/>
  <c r="R131" i="1056"/>
  <c r="R179" i="1056"/>
  <c r="R168" i="1056"/>
  <c r="R139" i="1056"/>
  <c r="R167" i="1056"/>
  <c r="R134" i="1056"/>
  <c r="R133" i="1056"/>
  <c r="R132" i="1056"/>
  <c r="AE4" i="1056"/>
  <c r="P203" i="1055"/>
  <c r="P91" i="1055"/>
  <c r="P142" i="1055"/>
  <c r="P143" i="1055" s="1"/>
  <c r="P70" i="1055"/>
  <c r="P219" i="1054"/>
  <c r="P106" i="1054"/>
  <c r="P110" i="1054" s="1"/>
  <c r="AD10" i="1054"/>
  <c r="Q149" i="1054"/>
  <c r="AD203" i="1053"/>
  <c r="AD91" i="1053"/>
  <c r="AC209" i="1054"/>
  <c r="AC97" i="1054"/>
  <c r="R176" i="1055"/>
  <c r="AE19" i="1055"/>
  <c r="AE165" i="1056"/>
  <c r="AE166" i="1056"/>
  <c r="AD92" i="1054"/>
  <c r="AD204" i="1054"/>
  <c r="AC209" i="1055"/>
  <c r="AC97" i="1055"/>
  <c r="Z113" i="1055"/>
  <c r="Z225" i="1055" s="1"/>
  <c r="AB111" i="1055"/>
  <c r="AB121" i="1055"/>
  <c r="O144" i="1051"/>
  <c r="O147" i="1051"/>
  <c r="Z147" i="1055"/>
  <c r="Z148" i="1055" s="1"/>
  <c r="AC207" i="1054"/>
  <c r="AC95" i="1054"/>
  <c r="AE204" i="1055"/>
  <c r="AE92" i="1055"/>
  <c r="AD182" i="1056"/>
  <c r="AD68" i="1056"/>
  <c r="R208" i="1055"/>
  <c r="R96" i="1055"/>
  <c r="AF60" i="1055"/>
  <c r="R210" i="1055"/>
  <c r="R98" i="1055"/>
  <c r="AF98" i="1055" s="1"/>
  <c r="AF62" i="1055"/>
  <c r="R171" i="1055"/>
  <c r="AE14" i="1055"/>
  <c r="Q71" i="1056"/>
  <c r="Q118" i="1056" s="1"/>
  <c r="AB214" i="1054"/>
  <c r="AB102" i="1054"/>
  <c r="AA147" i="1056"/>
  <c r="AE171" i="1053"/>
  <c r="AE57" i="1053"/>
  <c r="AE12" i="1055"/>
  <c r="R166" i="1055"/>
  <c r="R165" i="1055"/>
  <c r="AB208" i="1053"/>
  <c r="AB96" i="1053"/>
  <c r="P141" i="1056"/>
  <c r="P148" i="1056" s="1"/>
  <c r="AC215" i="1053"/>
  <c r="AC103" i="1053"/>
  <c r="AC184" i="1053"/>
  <c r="AC185" i="1053"/>
  <c r="Q71" i="1053"/>
  <c r="Q70" i="1053"/>
  <c r="Q118" i="1053" s="1"/>
  <c r="Q208" i="1053"/>
  <c r="Q96" i="1053"/>
  <c r="AD217" i="1056"/>
  <c r="AD179" i="1056"/>
  <c r="AD168" i="1056"/>
  <c r="AD167" i="1056"/>
  <c r="AD169" i="1056"/>
  <c r="AD131" i="1056"/>
  <c r="AD139" i="1056"/>
  <c r="AD134" i="1056"/>
  <c r="AD133" i="1056"/>
  <c r="AD132" i="1056"/>
  <c r="AD65" i="1056"/>
  <c r="AD173" i="1056"/>
  <c r="AD59" i="1056"/>
  <c r="O114" i="1053"/>
  <c r="AC175" i="1054"/>
  <c r="P112" i="1054"/>
  <c r="Q204" i="1054"/>
  <c r="Q92" i="1054"/>
  <c r="Z114" i="1053"/>
  <c r="Z115" i="1053" s="1"/>
  <c r="Z116" i="1053" s="1"/>
  <c r="Z126" i="1053" s="1"/>
  <c r="R178" i="1055"/>
  <c r="AE21" i="1055"/>
  <c r="Z148" i="1054"/>
  <c r="AC175" i="1055"/>
  <c r="AC209" i="1053"/>
  <c r="AC97" i="1053"/>
  <c r="AE12" i="1053"/>
  <c r="R166" i="1053"/>
  <c r="R165" i="1053"/>
  <c r="R169" i="1053" s="1"/>
  <c r="AA145" i="1054"/>
  <c r="AA147" i="1054" s="1"/>
  <c r="R174" i="1055"/>
  <c r="AE17" i="1055"/>
  <c r="Y122" i="1053"/>
  <c r="P219" i="1056"/>
  <c r="P106" i="1056"/>
  <c r="P110" i="1056" s="1"/>
  <c r="Z144" i="1051"/>
  <c r="AA146" i="1054"/>
  <c r="AA141" i="1054"/>
  <c r="AA144" i="1054" s="1"/>
  <c r="AC111" i="1056"/>
  <c r="AC121" i="1056"/>
  <c r="Z144" i="1055"/>
  <c r="AF111" i="1054"/>
  <c r="AC207" i="1055"/>
  <c r="AC95" i="1055"/>
  <c r="AD204" i="1055"/>
  <c r="AD92" i="1055"/>
  <c r="R182" i="1056"/>
  <c r="AE23" i="1056"/>
  <c r="R204" i="1055"/>
  <c r="R92" i="1055"/>
  <c r="AF92" i="1055" s="1"/>
  <c r="AF56" i="1055"/>
  <c r="D235" i="1055"/>
  <c r="B124" i="1055"/>
  <c r="AE133" i="1053"/>
  <c r="AE132" i="1053"/>
  <c r="AE134" i="1053"/>
  <c r="AE131" i="1053"/>
  <c r="Q121" i="1056"/>
  <c r="Q111" i="1056"/>
  <c r="AD171" i="1055"/>
  <c r="AD57" i="1055"/>
  <c r="O225" i="1056"/>
  <c r="O114" i="1056"/>
  <c r="O115" i="1056" s="1"/>
  <c r="O116" i="1056" s="1"/>
  <c r="O126" i="1056" s="1"/>
  <c r="O113" i="1056"/>
  <c r="Q205" i="1056"/>
  <c r="Q93" i="1056"/>
  <c r="Q207" i="1056"/>
  <c r="Q95" i="1056"/>
  <c r="AD174" i="1056"/>
  <c r="AD60" i="1056"/>
  <c r="AC203" i="1053"/>
  <c r="AC91" i="1053"/>
  <c r="AB210" i="1055"/>
  <c r="AB98" i="1055"/>
  <c r="AD166" i="1055"/>
  <c r="AD165" i="1055"/>
  <c r="AA145" i="1053"/>
  <c r="AA146" i="1053" s="1"/>
  <c r="AA147" i="1053"/>
  <c r="AA148" i="1053"/>
  <c r="AD182" i="1053"/>
  <c r="AD68" i="1053"/>
  <c r="AC212" i="1056"/>
  <c r="AC100" i="1056"/>
  <c r="AB71" i="1053"/>
  <c r="AB70" i="1053"/>
  <c r="AB89" i="1053" s="1"/>
  <c r="AB70" i="1056"/>
  <c r="Q207" i="1053"/>
  <c r="Q95" i="1053"/>
  <c r="Q213" i="1053"/>
  <c r="Q101" i="1053"/>
  <c r="AC130" i="1054"/>
  <c r="AC164" i="1054" s="1"/>
  <c r="AC53" i="1054"/>
  <c r="AC54" i="1054"/>
  <c r="AC129" i="1054"/>
  <c r="AC163" i="1054" s="1"/>
  <c r="AC69" i="1054"/>
  <c r="AC104" i="1054"/>
  <c r="AC123" i="1054"/>
  <c r="AC125" i="1054"/>
  <c r="AC216" i="1054"/>
  <c r="AC180" i="1054"/>
  <c r="AC236" i="1054"/>
  <c r="AC67" i="1054"/>
  <c r="AC181" i="1054"/>
  <c r="AC66" i="1054"/>
  <c r="R130" i="1053" a="1"/>
  <c r="R130" i="1053" s="1"/>
  <c r="R164" i="1053" s="1"/>
  <c r="R125" i="1053"/>
  <c r="AF125" i="1053" s="1"/>
  <c r="R129" i="1053"/>
  <c r="R163" i="1053" s="1"/>
  <c r="R123" i="1053"/>
  <c r="R216" i="1053" a="1"/>
  <c r="R216" i="1053" s="1"/>
  <c r="R181" i="1053"/>
  <c r="R180" i="1053"/>
  <c r="R174" i="1053"/>
  <c r="AC205" i="1056"/>
  <c r="AC93" i="1056"/>
  <c r="P145" i="1056"/>
  <c r="P144" i="1056" s="1"/>
  <c r="R173" i="1056"/>
  <c r="AE16" i="1056"/>
  <c r="O147" i="1053"/>
  <c r="Q118" i="1054"/>
  <c r="D234" i="1054"/>
  <c r="B123" i="1054"/>
  <c r="AC167" i="1054"/>
  <c r="AD165" i="1053"/>
  <c r="AD169" i="1053" s="1"/>
  <c r="AD166" i="1053"/>
  <c r="Y114" i="1055"/>
  <c r="Y115" i="1055" s="1"/>
  <c r="Y116" i="1055" s="1"/>
  <c r="Y126" i="1055" s="1"/>
  <c r="AC174" i="1054"/>
  <c r="AE11" i="1055"/>
  <c r="R104" i="1055"/>
  <c r="AF104" i="1055" s="1"/>
  <c r="R236" i="1055"/>
  <c r="AC63" i="1055"/>
  <c r="AD174" i="1055"/>
  <c r="AD60" i="1055"/>
  <c r="AC209" i="1056"/>
  <c r="AC97" i="1056"/>
  <c r="AC197" i="1056"/>
  <c r="AC198" i="1056"/>
  <c r="AC196" i="1056"/>
  <c r="Q141" i="1054"/>
  <c r="Q148" i="1054" s="1"/>
  <c r="Q146" i="1054"/>
  <c r="AC205" i="1054"/>
  <c r="AC93" i="1054"/>
  <c r="R213" i="1055"/>
  <c r="R101" i="1055"/>
  <c r="AF101" i="1055" s="1"/>
  <c r="AF66" i="1055"/>
  <c r="Q196" i="1056"/>
  <c r="Q197" i="1056"/>
  <c r="Q198" i="1056"/>
  <c r="Q202" i="1056"/>
  <c r="Q142" i="1056"/>
  <c r="Q143" i="1056" s="1"/>
  <c r="Q90" i="1056"/>
  <c r="Q89" i="1056"/>
  <c r="Q212" i="1056"/>
  <c r="Q100" i="1056"/>
  <c r="AA219" i="1054"/>
  <c r="AA106" i="1054"/>
  <c r="AA110" i="1054" s="1"/>
  <c r="AB213" i="1054"/>
  <c r="AB101" i="1054"/>
  <c r="AB141" i="1056"/>
  <c r="R174" i="1056"/>
  <c r="AE17" i="1056"/>
  <c r="R172" i="1054"/>
  <c r="AE15" i="1054"/>
  <c r="R182" i="1053"/>
  <c r="AE23" i="1053"/>
  <c r="AD64" i="1054"/>
  <c r="AD178" i="1054"/>
  <c r="Q214" i="1053"/>
  <c r="Q102" i="1053"/>
  <c r="Q205" i="1053"/>
  <c r="Q93" i="1053"/>
  <c r="AC212" i="1054"/>
  <c r="AC100" i="1054"/>
  <c r="Q121" i="1053"/>
  <c r="Q111" i="1053"/>
  <c r="AD175" i="1054"/>
  <c r="AD61" i="1054"/>
  <c r="D234" i="1056"/>
  <c r="B123" i="1056"/>
  <c r="R204" i="1054"/>
  <c r="R92" i="1054"/>
  <c r="AF92" i="1054" s="1"/>
  <c r="AF56" i="1054"/>
  <c r="R58" i="1054"/>
  <c r="AB89" i="1056"/>
  <c r="AB203" i="1055"/>
  <c r="AB91" i="1055"/>
  <c r="AD175" i="1053"/>
  <c r="AD61" i="1053"/>
  <c r="AB203" i="1054"/>
  <c r="AB91" i="1054"/>
  <c r="AC217" i="1054"/>
  <c r="AC207" i="1056"/>
  <c r="AC95" i="1056"/>
  <c r="AD177" i="1056"/>
  <c r="AD63" i="1056"/>
  <c r="AD175" i="1056"/>
  <c r="AD61" i="1056"/>
  <c r="Z144" i="1054"/>
  <c r="AB211" i="1053"/>
  <c r="AB99" i="1053"/>
  <c r="AB140" i="1053"/>
  <c r="AD172" i="1056"/>
  <c r="AD58" i="1056"/>
  <c r="AD10" i="1055"/>
  <c r="Q149" i="1055"/>
  <c r="M115" i="1056"/>
  <c r="M116" i="1056" s="1"/>
  <c r="AB214" i="1055"/>
  <c r="AB102" i="1055"/>
  <c r="AB196" i="1055"/>
  <c r="AB197" i="1055"/>
  <c r="AB198" i="1055"/>
  <c r="AC211" i="1056"/>
  <c r="AC99" i="1056"/>
  <c r="AC140" i="1056"/>
  <c r="AC129" i="1053"/>
  <c r="AC163" i="1053" s="1"/>
  <c r="AC123" i="1053"/>
  <c r="AC69" i="1053"/>
  <c r="AC130" i="1053"/>
  <c r="AC164" i="1053" s="1"/>
  <c r="AC125" i="1053"/>
  <c r="AC54" i="1053"/>
  <c r="AC53" i="1053"/>
  <c r="AC104" i="1053"/>
  <c r="AC216" i="1053"/>
  <c r="AC181" i="1053"/>
  <c r="AC236" i="1053"/>
  <c r="AC180" i="1053"/>
  <c r="AC67" i="1053"/>
  <c r="AC66" i="1053"/>
  <c r="AC174" i="1053"/>
  <c r="AC60" i="1053"/>
  <c r="AC179" i="1053"/>
  <c r="AC167" i="1053"/>
  <c r="AC65" i="1053"/>
  <c r="AC176" i="1053"/>
  <c r="AC217" i="1053"/>
  <c r="AC62" i="1053"/>
  <c r="AC168" i="1053"/>
  <c r="AC139" i="1053"/>
  <c r="AC178" i="1053"/>
  <c r="AC64" i="1053"/>
  <c r="Y122" i="1055"/>
  <c r="Z148" i="1052"/>
  <c r="Y114" i="1052"/>
  <c r="Y115" i="1052" s="1"/>
  <c r="Y116" i="1052" s="1"/>
  <c r="Y126" i="1052" s="1"/>
  <c r="Z148" i="1056"/>
  <c r="AE10" i="1056"/>
  <c r="R149" i="1056"/>
  <c r="AD129" i="1056"/>
  <c r="AD163" i="1056" s="1"/>
  <c r="AD123" i="1056"/>
  <c r="AD125" i="1056"/>
  <c r="AD130" i="1056"/>
  <c r="AD164" i="1056" s="1"/>
  <c r="AD53" i="1056"/>
  <c r="AD69" i="1056"/>
  <c r="AD54" i="1056"/>
  <c r="AD216" i="1056"/>
  <c r="AD104" i="1056"/>
  <c r="AD236" i="1056"/>
  <c r="AD181" i="1056"/>
  <c r="AD180" i="1056"/>
  <c r="AD66" i="1056"/>
  <c r="AD67" i="1056"/>
  <c r="AB208" i="1054"/>
  <c r="AB96" i="1054"/>
  <c r="R71" i="1055"/>
  <c r="AF54" i="1055"/>
  <c r="AD217" i="1055"/>
  <c r="AD179" i="1055"/>
  <c r="AD168" i="1055"/>
  <c r="AD131" i="1055"/>
  <c r="AD169" i="1055"/>
  <c r="AD134" i="1055"/>
  <c r="AD167" i="1055"/>
  <c r="AD133" i="1055"/>
  <c r="AD139" i="1055"/>
  <c r="AD132" i="1055"/>
  <c r="AD65" i="1055"/>
  <c r="AC206" i="1055"/>
  <c r="AC94" i="1055"/>
  <c r="Z120" i="1053"/>
  <c r="Z119" i="1053"/>
  <c r="Z122" i="1053" s="1"/>
  <c r="Z128" i="1053"/>
  <c r="AD205" i="1053"/>
  <c r="AD93" i="1053"/>
  <c r="AC206" i="1053"/>
  <c r="AC94" i="1053"/>
  <c r="AC215" i="1056"/>
  <c r="AC103" i="1056"/>
  <c r="AC185" i="1056"/>
  <c r="AC184" i="1056"/>
  <c r="Q211" i="1056"/>
  <c r="Q99" i="1056"/>
  <c r="Q140" i="1056"/>
  <c r="Q214" i="1056"/>
  <c r="Q102" i="1056"/>
  <c r="D178" i="1055"/>
  <c r="B65" i="1055"/>
  <c r="AD178" i="1056"/>
  <c r="AD64" i="1056"/>
  <c r="AE182" i="1055"/>
  <c r="AE68" i="1055"/>
  <c r="AB111" i="1053"/>
  <c r="AB112" i="1053" s="1"/>
  <c r="AB121" i="1053"/>
  <c r="AE21" i="1054"/>
  <c r="R178" i="1054"/>
  <c r="AC55" i="1056"/>
  <c r="AD217" i="1054"/>
  <c r="AD179" i="1054"/>
  <c r="AD168" i="1054"/>
  <c r="AD133" i="1054"/>
  <c r="AD132" i="1054"/>
  <c r="AD167" i="1054"/>
  <c r="AD139" i="1054"/>
  <c r="AD131" i="1054"/>
  <c r="AD134" i="1054"/>
  <c r="AD65" i="1054"/>
  <c r="R66" i="1053"/>
  <c r="R60" i="1053"/>
  <c r="R56" i="1053"/>
  <c r="R63" i="1053"/>
  <c r="R53" i="1053"/>
  <c r="R108" i="1053"/>
  <c r="R61" i="1053"/>
  <c r="R57" i="1053"/>
  <c r="R65" i="1053"/>
  <c r="AF65" i="1053" s="1"/>
  <c r="R55" i="1053"/>
  <c r="R69" i="1053"/>
  <c r="AF69" i="1053" s="1"/>
  <c r="R67" i="1053"/>
  <c r="R64" i="1053"/>
  <c r="R58" i="1053"/>
  <c r="AE8" i="1053"/>
  <c r="R62" i="1053"/>
  <c r="R59" i="1053"/>
  <c r="R54" i="1053"/>
  <c r="R68" i="1053"/>
  <c r="Q209" i="1053"/>
  <c r="Q97" i="1053"/>
  <c r="Q215" i="1053"/>
  <c r="Q103" i="1053"/>
  <c r="Q185" i="1053"/>
  <c r="Q184" i="1053"/>
  <c r="Q198" i="1053"/>
  <c r="Q197" i="1053"/>
  <c r="Q196" i="1053"/>
  <c r="R175" i="1054"/>
  <c r="AE18" i="1054"/>
  <c r="AD174" i="1054"/>
  <c r="AD60" i="1054"/>
  <c r="R62" i="1054"/>
  <c r="R65" i="1054"/>
  <c r="AF65" i="1054" s="1"/>
  <c r="AB142" i="1056"/>
  <c r="AB143" i="1056" s="1"/>
  <c r="P219" i="1053"/>
  <c r="P106" i="1053"/>
  <c r="AE12" i="1054"/>
  <c r="R165" i="1054"/>
  <c r="R169" i="1054" s="1"/>
  <c r="R166" i="1054"/>
  <c r="R175" i="1053"/>
  <c r="AE18" i="1053"/>
  <c r="Q89" i="1054"/>
  <c r="AD173" i="1053"/>
  <c r="AD59" i="1053"/>
  <c r="AB211" i="1054"/>
  <c r="AB99" i="1054"/>
  <c r="AB140" i="1054"/>
  <c r="AC55" i="1054"/>
  <c r="AC168" i="1054"/>
  <c r="R177" i="1056"/>
  <c r="AE20" i="1056"/>
  <c r="R175" i="1056"/>
  <c r="AE18" i="1056"/>
  <c r="AC211" i="1053"/>
  <c r="AC99" i="1053"/>
  <c r="AC140" i="1053"/>
  <c r="R172" i="1056"/>
  <c r="AE15" i="1056"/>
  <c r="Z119" i="1056"/>
  <c r="Z120" i="1056"/>
  <c r="Z128" i="1056"/>
  <c r="AF117" i="1053"/>
  <c r="P44" i="1053" s="1"/>
  <c r="AB213" i="1055"/>
  <c r="AB101" i="1055"/>
  <c r="AA219" i="1053"/>
  <c r="AA106" i="1053"/>
  <c r="AA110" i="1053" s="1"/>
  <c r="AC207" i="1053"/>
  <c r="AC95" i="1053"/>
  <c r="P146" i="1054"/>
  <c r="P141" i="1054"/>
  <c r="P148" i="1054" s="1"/>
  <c r="Z122" i="1051"/>
  <c r="AC71" i="1056"/>
  <c r="AC70" i="1056"/>
  <c r="Q70" i="1055"/>
  <c r="Q89" i="1055" s="1"/>
  <c r="AC205" i="1055"/>
  <c r="AC93" i="1055"/>
  <c r="R167" i="1055"/>
  <c r="R134" i="1055"/>
  <c r="R217" i="1055"/>
  <c r="R168" i="1055"/>
  <c r="R131" i="1055"/>
  <c r="R179" i="1055"/>
  <c r="R133" i="1055"/>
  <c r="R169" i="1055"/>
  <c r="R139" i="1055"/>
  <c r="R132" i="1055"/>
  <c r="AE4" i="1055"/>
  <c r="R173" i="1054"/>
  <c r="AE16" i="1054"/>
  <c r="Q209" i="1056"/>
  <c r="Q97" i="1056"/>
  <c r="Q204" i="1056"/>
  <c r="Q92" i="1056"/>
  <c r="Q206" i="1056"/>
  <c r="Q94" i="1056"/>
  <c r="R182" i="1054"/>
  <c r="AE23" i="1054"/>
  <c r="R178" i="1056"/>
  <c r="AE21" i="1056"/>
  <c r="AB197" i="1054"/>
  <c r="AB196" i="1054"/>
  <c r="AB198" i="1054"/>
  <c r="AD172" i="1054"/>
  <c r="AD58" i="1054"/>
  <c r="AC211" i="1054"/>
  <c r="AC99" i="1054"/>
  <c r="AC140" i="1054"/>
  <c r="AB112" i="1056"/>
  <c r="M122" i="1055"/>
  <c r="P141" i="1053"/>
  <c r="AB214" i="1053"/>
  <c r="AB102" i="1053"/>
  <c r="AB196" i="1053"/>
  <c r="AB197" i="1053"/>
  <c r="AB198" i="1053"/>
  <c r="AC210" i="1054"/>
  <c r="AC98" i="1054"/>
  <c r="AD171" i="1056"/>
  <c r="AD57" i="1056"/>
  <c r="Q208" i="1055"/>
  <c r="Q96" i="1055"/>
  <c r="M126" i="1054"/>
  <c r="P110" i="1053"/>
  <c r="Q212" i="1053"/>
  <c r="Q100" i="1053"/>
  <c r="Z114" i="1056"/>
  <c r="Z115" i="1056" s="1"/>
  <c r="Z116" i="1056" s="1"/>
  <c r="Z126" i="1056" s="1"/>
  <c r="R174" i="1054"/>
  <c r="AE17" i="1054"/>
  <c r="R60" i="1054"/>
  <c r="R213" i="1054"/>
  <c r="R101" i="1054"/>
  <c r="AF101" i="1054" s="1"/>
  <c r="AF66" i="1054"/>
  <c r="AA113" i="1053"/>
  <c r="AA225" i="1053" s="1"/>
  <c r="AB140" i="1055"/>
  <c r="AC212" i="1055"/>
  <c r="AC100" i="1055"/>
  <c r="AD177" i="1053"/>
  <c r="AD63" i="1053"/>
  <c r="AD166" i="1054"/>
  <c r="AD165" i="1054"/>
  <c r="AD169" i="1054" s="1"/>
  <c r="R173" i="1053"/>
  <c r="AE16" i="1053"/>
  <c r="AC65" i="1054"/>
  <c r="AC179" i="1054"/>
  <c r="AB202" i="1055"/>
  <c r="AB142" i="1055"/>
  <c r="AB143" i="1055" s="1"/>
  <c r="AB90" i="1055"/>
  <c r="N122" i="1054"/>
  <c r="Y122" i="1054"/>
  <c r="AC206" i="1056"/>
  <c r="AC94" i="1056"/>
  <c r="AA219" i="1055"/>
  <c r="AA106" i="1055"/>
  <c r="AA110" i="1055" s="1"/>
  <c r="AD177" i="1055"/>
  <c r="AD63" i="1055"/>
  <c r="AC206" i="1054"/>
  <c r="AC94" i="1054"/>
  <c r="AD172" i="1053"/>
  <c r="AD58" i="1053"/>
  <c r="R209" i="1055"/>
  <c r="R97" i="1055"/>
  <c r="AF97" i="1055" s="1"/>
  <c r="AF61" i="1055"/>
  <c r="R212" i="1055"/>
  <c r="R100" i="1055"/>
  <c r="AF100" i="1055" s="1"/>
  <c r="AF64" i="1055"/>
  <c r="R202" i="1055"/>
  <c r="R90" i="1055"/>
  <c r="AF53" i="1055"/>
  <c r="Q203" i="1055"/>
  <c r="Q91" i="1055"/>
  <c r="R175" i="1055"/>
  <c r="AE18" i="1055"/>
  <c r="AD59" i="1054"/>
  <c r="AD173" i="1054"/>
  <c r="R173" i="1055"/>
  <c r="AE16" i="1055"/>
  <c r="AD176" i="1056"/>
  <c r="AD62" i="1056"/>
  <c r="R108" i="1056"/>
  <c r="R67" i="1056"/>
  <c r="R64" i="1056"/>
  <c r="R59" i="1056"/>
  <c r="R54" i="1056"/>
  <c r="R70" i="1056" s="1"/>
  <c r="R68" i="1056"/>
  <c r="R66" i="1056"/>
  <c r="R60" i="1056"/>
  <c r="R56" i="1056"/>
  <c r="R63" i="1056"/>
  <c r="R53" i="1056"/>
  <c r="R61" i="1056"/>
  <c r="R57" i="1056"/>
  <c r="R65" i="1056"/>
  <c r="AF65" i="1056" s="1"/>
  <c r="R55" i="1056"/>
  <c r="AE8" i="1056"/>
  <c r="R69" i="1056"/>
  <c r="AF69" i="1056" s="1"/>
  <c r="R62" i="1056"/>
  <c r="R58" i="1056"/>
  <c r="Q208" i="1056"/>
  <c r="Q96" i="1056"/>
  <c r="Q210" i="1056"/>
  <c r="Q98" i="1056"/>
  <c r="AD182" i="1054"/>
  <c r="AD68" i="1054"/>
  <c r="AB142" i="1054"/>
  <c r="AB143" i="1054" s="1"/>
  <c r="AB202" i="1054"/>
  <c r="AB90" i="1054"/>
  <c r="AB89" i="1054"/>
  <c r="AB117" i="1054"/>
  <c r="R171" i="1054"/>
  <c r="AE14" i="1054"/>
  <c r="AA219" i="1056"/>
  <c r="AA106" i="1056"/>
  <c r="AA110" i="1056" s="1"/>
  <c r="AA89" i="1056"/>
  <c r="AA117" i="1056"/>
  <c r="AA112" i="1055"/>
  <c r="AB210" i="1053"/>
  <c r="AB98" i="1053"/>
  <c r="AB202" i="1053"/>
  <c r="AB142" i="1053"/>
  <c r="AB143" i="1053" s="1"/>
  <c r="AB90" i="1053"/>
  <c r="AB117" i="1053"/>
  <c r="O128" i="1056"/>
  <c r="O120" i="1056"/>
  <c r="O119" i="1056"/>
  <c r="AC208" i="1056"/>
  <c r="AC96" i="1056"/>
  <c r="R171" i="1056"/>
  <c r="AE14" i="1056"/>
  <c r="Q71" i="1055"/>
  <c r="D178" i="1056"/>
  <c r="B65" i="1056"/>
  <c r="Q203" i="1054"/>
  <c r="Q91" i="1054"/>
  <c r="P145" i="1053"/>
  <c r="P146" i="1053" s="1"/>
  <c r="P148" i="1053"/>
  <c r="Q203" i="1053"/>
  <c r="Q91" i="1053"/>
  <c r="Q202" i="1053"/>
  <c r="Q142" i="1053"/>
  <c r="Q143" i="1053" s="1"/>
  <c r="Q90" i="1053"/>
  <c r="Q89" i="1053"/>
  <c r="AA146" i="1055"/>
  <c r="AA141" i="1055"/>
  <c r="AA148" i="1055" s="1"/>
  <c r="Q142" i="1055"/>
  <c r="Q143" i="1055" s="1"/>
  <c r="R97" i="1054"/>
  <c r="AF97" i="1054" s="1"/>
  <c r="R209" i="1054"/>
  <c r="AF61" i="1054"/>
  <c r="R214" i="1054"/>
  <c r="R102" i="1054"/>
  <c r="AF102" i="1054" s="1"/>
  <c r="AF67" i="1054"/>
  <c r="R177" i="1053"/>
  <c r="AE20" i="1053"/>
  <c r="AC125" i="1055"/>
  <c r="AC130" i="1055"/>
  <c r="AC164" i="1055" s="1"/>
  <c r="AC123" i="1055"/>
  <c r="AC69" i="1055"/>
  <c r="AC129" i="1055"/>
  <c r="AC163" i="1055" s="1"/>
  <c r="AC54" i="1055"/>
  <c r="AC53" i="1055"/>
  <c r="AC216" i="1055"/>
  <c r="AC104" i="1055"/>
  <c r="AC236" i="1055"/>
  <c r="AC66" i="1055"/>
  <c r="AC180" i="1055"/>
  <c r="AC181" i="1055"/>
  <c r="AC67" i="1055"/>
  <c r="AB70" i="1055"/>
  <c r="AB71" i="1055"/>
  <c r="AA117" i="1054"/>
  <c r="R178" i="1053"/>
  <c r="P117" i="1055"/>
  <c r="AF117" i="1055" s="1"/>
  <c r="P44" i="1055" s="1"/>
  <c r="N122" i="1053"/>
  <c r="N120" i="1052"/>
  <c r="N119" i="1052"/>
  <c r="N128" i="1052"/>
  <c r="O115" i="1052"/>
  <c r="O116" i="1052" s="1"/>
  <c r="O126" i="1052" s="1"/>
  <c r="AD212" i="1051"/>
  <c r="AD100" i="1051"/>
  <c r="O120" i="1052"/>
  <c r="O128" i="1052"/>
  <c r="O119" i="1052"/>
  <c r="O122" i="1052" s="1"/>
  <c r="Q141" i="1052"/>
  <c r="R211" i="1052"/>
  <c r="R99" i="1052"/>
  <c r="AF99" i="1052" s="1"/>
  <c r="AF63" i="1052"/>
  <c r="R210" i="1052"/>
  <c r="R98" i="1052"/>
  <c r="AF98" i="1052" s="1"/>
  <c r="AF62" i="1052"/>
  <c r="AB209" i="1052"/>
  <c r="AB97" i="1052"/>
  <c r="AD207" i="1051"/>
  <c r="AD95" i="1051"/>
  <c r="O128" i="1051"/>
  <c r="O120" i="1051"/>
  <c r="O119" i="1051"/>
  <c r="AC211" i="1051"/>
  <c r="AC99" i="1051"/>
  <c r="AC140" i="1051"/>
  <c r="AE173" i="1051"/>
  <c r="AE59" i="1051"/>
  <c r="R204" i="1052"/>
  <c r="R92" i="1052"/>
  <c r="AF92" i="1052" s="1"/>
  <c r="AF56" i="1052"/>
  <c r="R205" i="1052"/>
  <c r="R93" i="1052"/>
  <c r="AF93" i="1052" s="1"/>
  <c r="AF57" i="1052"/>
  <c r="AA219" i="1052"/>
  <c r="AA106" i="1052"/>
  <c r="AA110" i="1052" s="1"/>
  <c r="AD63" i="1051"/>
  <c r="R171" i="1052"/>
  <c r="AE14" i="1052"/>
  <c r="AE12" i="1052"/>
  <c r="R166" i="1052"/>
  <c r="R165" i="1052"/>
  <c r="R169" i="1052" s="1"/>
  <c r="AD165" i="1051"/>
  <c r="AD169" i="1051" s="1"/>
  <c r="AD166" i="1051"/>
  <c r="AD132" i="1051"/>
  <c r="AD131" i="1051"/>
  <c r="AD55" i="1051" s="1"/>
  <c r="AD134" i="1051"/>
  <c r="AD133" i="1051"/>
  <c r="AE11" i="1052"/>
  <c r="R104" i="1052"/>
  <c r="AF104" i="1052" s="1"/>
  <c r="R236" i="1052"/>
  <c r="AA141" i="1052"/>
  <c r="AB71" i="1052"/>
  <c r="AB70" i="1052"/>
  <c r="AE61" i="1051"/>
  <c r="AC206" i="1051"/>
  <c r="AC94" i="1051"/>
  <c r="AC209" i="1051"/>
  <c r="AC97" i="1051"/>
  <c r="AC215" i="1052"/>
  <c r="AC103" i="1052"/>
  <c r="AC184" i="1052"/>
  <c r="AC185" i="1052"/>
  <c r="D178" i="1051"/>
  <c r="B65" i="1051"/>
  <c r="R129" i="1051"/>
  <c r="R163" i="1051" s="1"/>
  <c r="R125" i="1051"/>
  <c r="AF125" i="1051" s="1"/>
  <c r="R130" i="1051" a="1"/>
  <c r="R130" i="1051" s="1"/>
  <c r="R164" i="1051" s="1"/>
  <c r="R123" i="1051"/>
  <c r="R216" i="1051" a="1"/>
  <c r="R216" i="1051" s="1"/>
  <c r="R181" i="1051"/>
  <c r="R180" i="1051"/>
  <c r="R168" i="1051"/>
  <c r="R139" i="1051"/>
  <c r="R179" i="1051"/>
  <c r="R167" i="1051"/>
  <c r="R217" i="1051"/>
  <c r="AE68" i="1051"/>
  <c r="AE182" i="1051"/>
  <c r="R71" i="1052"/>
  <c r="AF71" i="1052" s="1"/>
  <c r="AF54" i="1052"/>
  <c r="N122" i="1051"/>
  <c r="AD177" i="1051"/>
  <c r="AD171" i="1052"/>
  <c r="AD57" i="1052"/>
  <c r="AC125" i="1052"/>
  <c r="AC130" i="1052"/>
  <c r="AC164" i="1052" s="1"/>
  <c r="AC129" i="1052"/>
  <c r="AC163" i="1052" s="1"/>
  <c r="AC123" i="1052"/>
  <c r="AC69" i="1052"/>
  <c r="AC53" i="1052"/>
  <c r="AC54" i="1052"/>
  <c r="AC236" i="1052"/>
  <c r="AC66" i="1052"/>
  <c r="AC67" i="1052"/>
  <c r="AC181" i="1052"/>
  <c r="AC180" i="1052"/>
  <c r="AC104" i="1052"/>
  <c r="AC216" i="1052"/>
  <c r="AD166" i="1052"/>
  <c r="AD165" i="1052"/>
  <c r="AB212" i="1052"/>
  <c r="AB100" i="1052"/>
  <c r="AD10" i="1052"/>
  <c r="AD60" i="1052" s="1"/>
  <c r="Q149" i="1052"/>
  <c r="AC179" i="1052"/>
  <c r="Q70" i="1052"/>
  <c r="Q211" i="1051"/>
  <c r="Q99" i="1051"/>
  <c r="Q140" i="1051"/>
  <c r="AA148" i="1051"/>
  <c r="AA145" i="1051"/>
  <c r="AA146" i="1051" s="1"/>
  <c r="Q121" i="1051"/>
  <c r="Q111" i="1051"/>
  <c r="R202" i="1052"/>
  <c r="R90" i="1052"/>
  <c r="AF53" i="1052"/>
  <c r="R208" i="1052"/>
  <c r="R96" i="1052"/>
  <c r="AF96" i="1052" s="1"/>
  <c r="AF60" i="1052"/>
  <c r="Z113" i="1052"/>
  <c r="Z225" i="1052" s="1"/>
  <c r="AB208" i="1052"/>
  <c r="AB96" i="1052"/>
  <c r="M126" i="1052"/>
  <c r="R217" i="1052"/>
  <c r="R179" i="1052"/>
  <c r="R134" i="1052"/>
  <c r="R132" i="1052"/>
  <c r="R167" i="1052"/>
  <c r="R168" i="1052"/>
  <c r="R139" i="1052"/>
  <c r="R133" i="1052"/>
  <c r="R131" i="1052"/>
  <c r="AE4" i="1052"/>
  <c r="AC111" i="1051"/>
  <c r="AC121" i="1051"/>
  <c r="R172" i="1052"/>
  <c r="AE15" i="1052"/>
  <c r="P117" i="1051"/>
  <c r="AF117" i="1051" s="1"/>
  <c r="P44" i="1051" s="1"/>
  <c r="AE63" i="1051"/>
  <c r="AC207" i="1052"/>
  <c r="AC95" i="1052"/>
  <c r="AB219" i="1051"/>
  <c r="AB106" i="1051"/>
  <c r="AC208" i="1051"/>
  <c r="AC96" i="1051"/>
  <c r="D234" i="1051"/>
  <c r="B123" i="1051"/>
  <c r="Z147" i="1051"/>
  <c r="Z148" i="1051" s="1"/>
  <c r="AC210" i="1051"/>
  <c r="AC98" i="1051"/>
  <c r="R178" i="1052"/>
  <c r="AE21" i="1052"/>
  <c r="Q206" i="1052"/>
  <c r="Q94" i="1052"/>
  <c r="AD178" i="1051"/>
  <c r="AA144" i="1050"/>
  <c r="AA114" i="1050"/>
  <c r="AA115" i="1050" s="1"/>
  <c r="AA116" i="1050" s="1"/>
  <c r="AA126" i="1050" s="1"/>
  <c r="AD61" i="1051"/>
  <c r="Q213" i="1051"/>
  <c r="Q101" i="1051"/>
  <c r="AB145" i="1051"/>
  <c r="AB147" i="1051" s="1"/>
  <c r="AB144" i="1051"/>
  <c r="R175" i="1052"/>
  <c r="AE18" i="1052"/>
  <c r="AE10" i="1051"/>
  <c r="AE177" i="1051" s="1"/>
  <c r="R149" i="1051"/>
  <c r="AC212" i="1051"/>
  <c r="AC100" i="1051"/>
  <c r="M115" i="1051"/>
  <c r="M116" i="1051" s="1"/>
  <c r="AD178" i="1052"/>
  <c r="AB112" i="1051"/>
  <c r="AA117" i="1052"/>
  <c r="R172" i="1051"/>
  <c r="AE15" i="1051"/>
  <c r="Q197" i="1051"/>
  <c r="Q196" i="1051"/>
  <c r="Q198" i="1051"/>
  <c r="R58" i="1052"/>
  <c r="AC205" i="1052"/>
  <c r="AC93" i="1052"/>
  <c r="Z128" i="1052"/>
  <c r="Z119" i="1052"/>
  <c r="Z120" i="1052"/>
  <c r="AB211" i="1052"/>
  <c r="AB99" i="1052"/>
  <c r="AB140" i="1052"/>
  <c r="AB203" i="1052"/>
  <c r="AB91" i="1052"/>
  <c r="AD169" i="1052"/>
  <c r="AD167" i="1052"/>
  <c r="AD134" i="1052"/>
  <c r="AD131" i="1052"/>
  <c r="AD133" i="1052"/>
  <c r="AD132" i="1052"/>
  <c r="AC213" i="1051"/>
  <c r="AC101" i="1051"/>
  <c r="AC197" i="1051"/>
  <c r="AC196" i="1051"/>
  <c r="AC198" i="1051"/>
  <c r="AD172" i="1052"/>
  <c r="AD58" i="1052"/>
  <c r="R177" i="1051"/>
  <c r="AC167" i="1052"/>
  <c r="AD125" i="1051"/>
  <c r="AD130" i="1051"/>
  <c r="AD164" i="1051" s="1"/>
  <c r="AD123" i="1051"/>
  <c r="AD129" i="1051"/>
  <c r="AD163" i="1051" s="1"/>
  <c r="AD54" i="1051"/>
  <c r="AD53" i="1051"/>
  <c r="AD69" i="1051"/>
  <c r="AD104" i="1051"/>
  <c r="AD216" i="1051"/>
  <c r="AD180" i="1051"/>
  <c r="AD236" i="1051"/>
  <c r="AD181" i="1051"/>
  <c r="AD67" i="1051"/>
  <c r="AD66" i="1051"/>
  <c r="AD179" i="1051"/>
  <c r="AD168" i="1051"/>
  <c r="AD217" i="1051"/>
  <c r="AD65" i="1051"/>
  <c r="AD167" i="1051"/>
  <c r="AD139" i="1051"/>
  <c r="Q215" i="1051"/>
  <c r="Q103" i="1051"/>
  <c r="Q184" i="1051"/>
  <c r="Q185" i="1051"/>
  <c r="AB89" i="1051"/>
  <c r="R171" i="1051"/>
  <c r="AE14" i="1051"/>
  <c r="AA89" i="1052"/>
  <c r="AD172" i="1051"/>
  <c r="AD58" i="1051"/>
  <c r="N126" i="1052"/>
  <c r="R214" i="1052"/>
  <c r="R102" i="1052"/>
  <c r="AF102" i="1052" s="1"/>
  <c r="AF67" i="1052"/>
  <c r="AE178" i="1051"/>
  <c r="AE64" i="1051"/>
  <c r="AC55" i="1051"/>
  <c r="AE204" i="1052"/>
  <c r="AE92" i="1052"/>
  <c r="Z114" i="1051"/>
  <c r="Z115" i="1051" s="1"/>
  <c r="Z116" i="1051" s="1"/>
  <c r="Z126" i="1051" s="1"/>
  <c r="AC214" i="1051"/>
  <c r="AC102" i="1051"/>
  <c r="P219" i="1051"/>
  <c r="P106" i="1051"/>
  <c r="P110" i="1051" s="1"/>
  <c r="AC65" i="1052"/>
  <c r="AC168" i="1052"/>
  <c r="Q204" i="1051"/>
  <c r="Q92" i="1051"/>
  <c r="AB117" i="1051"/>
  <c r="Q204" i="1052"/>
  <c r="Q92" i="1052"/>
  <c r="AC211" i="1052"/>
  <c r="AC99" i="1052"/>
  <c r="AB213" i="1052"/>
  <c r="AB101" i="1052"/>
  <c r="AB110" i="1051"/>
  <c r="AB121" i="1052"/>
  <c r="AB111" i="1052"/>
  <c r="AB112" i="1052" s="1"/>
  <c r="AD173" i="1052"/>
  <c r="AD59" i="1052"/>
  <c r="Q207" i="1051"/>
  <c r="Q95" i="1051"/>
  <c r="R108" i="1051"/>
  <c r="R65" i="1051"/>
  <c r="AF65" i="1051" s="1"/>
  <c r="R61" i="1051"/>
  <c r="R57" i="1051"/>
  <c r="R67" i="1051"/>
  <c r="R66" i="1051"/>
  <c r="R62" i="1051"/>
  <c r="R58" i="1051"/>
  <c r="R64" i="1051"/>
  <c r="R59" i="1051"/>
  <c r="R54" i="1051"/>
  <c r="R69" i="1051"/>
  <c r="AF69" i="1051" s="1"/>
  <c r="R68" i="1051"/>
  <c r="R60" i="1051"/>
  <c r="R56" i="1051"/>
  <c r="R63" i="1051"/>
  <c r="AE8" i="1051"/>
  <c r="R53" i="1051"/>
  <c r="AC205" i="1051"/>
  <c r="AC93" i="1051"/>
  <c r="AD171" i="1051"/>
  <c r="AD57" i="1051"/>
  <c r="D178" i="1052"/>
  <c r="B65" i="1052"/>
  <c r="P141" i="1052"/>
  <c r="R215" i="1052"/>
  <c r="R103" i="1052"/>
  <c r="AF103" i="1052" s="1"/>
  <c r="R184" i="1052"/>
  <c r="R185" i="1052"/>
  <c r="AF68" i="1052"/>
  <c r="O147" i="1052"/>
  <c r="R182" i="1052"/>
  <c r="AE23" i="1052"/>
  <c r="AE204" i="1051"/>
  <c r="AE92" i="1051"/>
  <c r="R178" i="1051"/>
  <c r="P144" i="1051"/>
  <c r="P145" i="1051"/>
  <c r="P147" i="1051" s="1"/>
  <c r="AD62" i="1051"/>
  <c r="AD204" i="1052"/>
  <c r="AD92" i="1052"/>
  <c r="Q55" i="1052"/>
  <c r="AD174" i="1051"/>
  <c r="AC55" i="1052"/>
  <c r="Q210" i="1051"/>
  <c r="Q98" i="1051"/>
  <c r="Q202" i="1051"/>
  <c r="Q142" i="1051"/>
  <c r="Q143" i="1051" s="1"/>
  <c r="Q90" i="1051"/>
  <c r="R88" i="1051" a="1"/>
  <c r="R88" i="1051" s="1"/>
  <c r="AE9" i="1051"/>
  <c r="AE88" i="1051" s="1"/>
  <c r="AE109" i="1051" s="1"/>
  <c r="P117" i="1050"/>
  <c r="AF117" i="1050" s="1"/>
  <c r="P44" i="1050" s="1"/>
  <c r="AA146" i="1050"/>
  <c r="AA219" i="1051"/>
  <c r="AA106" i="1051"/>
  <c r="AA110" i="1051" s="1"/>
  <c r="AA117" i="1051"/>
  <c r="AB202" i="1052"/>
  <c r="AB142" i="1052"/>
  <c r="AB143" i="1052" s="1"/>
  <c r="AB90" i="1052"/>
  <c r="AB89" i="1052"/>
  <c r="AB117" i="1052"/>
  <c r="R173" i="1052"/>
  <c r="AE16" i="1052"/>
  <c r="Q71" i="1051"/>
  <c r="Q214" i="1051"/>
  <c r="Q102" i="1051"/>
  <c r="AC208" i="1052"/>
  <c r="AC96" i="1052"/>
  <c r="AC61" i="1052"/>
  <c r="AC174" i="1052"/>
  <c r="AB214" i="1052"/>
  <c r="AB102" i="1052"/>
  <c r="AB198" i="1052"/>
  <c r="AB196" i="1052"/>
  <c r="AB197" i="1052"/>
  <c r="Q212" i="1051"/>
  <c r="Q100" i="1051"/>
  <c r="Q205" i="1051"/>
  <c r="Q93" i="1051"/>
  <c r="R174" i="1052"/>
  <c r="AE17" i="1052"/>
  <c r="AC64" i="1052"/>
  <c r="Y122" i="1052"/>
  <c r="AD215" i="1051"/>
  <c r="AD103" i="1051"/>
  <c r="AD184" i="1051"/>
  <c r="AD185" i="1051"/>
  <c r="AA145" i="1052"/>
  <c r="AA146" i="1052" s="1"/>
  <c r="AA148" i="1052"/>
  <c r="AA147" i="1052"/>
  <c r="P141" i="1051"/>
  <c r="P148" i="1051" s="1"/>
  <c r="R61" i="1052"/>
  <c r="R65" i="1052"/>
  <c r="AF65" i="1052" s="1"/>
  <c r="R59" i="1052"/>
  <c r="O144" i="1052"/>
  <c r="AD182" i="1052"/>
  <c r="AD68" i="1052"/>
  <c r="AD204" i="1051"/>
  <c r="AD92" i="1051"/>
  <c r="AF111" i="1052"/>
  <c r="AD176" i="1051"/>
  <c r="AA112" i="1051"/>
  <c r="AC202" i="1051"/>
  <c r="AC90" i="1051"/>
  <c r="AD60" i="1051"/>
  <c r="AC139" i="1052"/>
  <c r="AC217" i="1052"/>
  <c r="Q203" i="1051"/>
  <c r="Q91" i="1051"/>
  <c r="AD175" i="1051"/>
  <c r="N122" i="1050"/>
  <c r="D234" i="1052"/>
  <c r="B123" i="1052"/>
  <c r="Q208" i="1051"/>
  <c r="Q96" i="1051"/>
  <c r="Q206" i="1051"/>
  <c r="Q94" i="1051"/>
  <c r="Q209" i="1051"/>
  <c r="Q97" i="1051"/>
  <c r="Q221" i="1051"/>
  <c r="Q70" i="1051"/>
  <c r="Q109" i="1051"/>
  <c r="AC62" i="1052"/>
  <c r="AC178" i="1052"/>
  <c r="AA112" i="1052"/>
  <c r="R177" i="1052"/>
  <c r="AE20" i="1052"/>
  <c r="R176" i="1052"/>
  <c r="AE19" i="1052"/>
  <c r="P203" i="1052"/>
  <c r="P91" i="1052"/>
  <c r="P70" i="1052"/>
  <c r="P142" i="1052"/>
  <c r="P143" i="1052" s="1"/>
  <c r="R213" i="1052"/>
  <c r="R101" i="1052"/>
  <c r="AF101" i="1052" s="1"/>
  <c r="AF66" i="1052"/>
  <c r="R64" i="1052"/>
  <c r="AC206" i="1052"/>
  <c r="AC94" i="1052"/>
  <c r="AB141" i="1051"/>
  <c r="AC71" i="1051"/>
  <c r="AE12" i="1051"/>
  <c r="R165" i="1051"/>
  <c r="R169" i="1051" s="1"/>
  <c r="R166" i="1051"/>
  <c r="R133" i="1051"/>
  <c r="R134" i="1051"/>
  <c r="R132" i="1051"/>
  <c r="R131" i="1051"/>
  <c r="R55" i="1051" s="1"/>
  <c r="AE176" i="1051"/>
  <c r="AE62" i="1051"/>
  <c r="Q203" i="1050"/>
  <c r="Q91" i="1050"/>
  <c r="P86" i="1050"/>
  <c r="P112" i="1050" s="1"/>
  <c r="AC44" i="1050"/>
  <c r="AC86" i="1050" s="1"/>
  <c r="AB219" i="1050"/>
  <c r="AB106" i="1050"/>
  <c r="O120" i="1050"/>
  <c r="O119" i="1050"/>
  <c r="O128" i="1050"/>
  <c r="R175" i="1050"/>
  <c r="M115" i="1050"/>
  <c r="M116" i="1050" s="1"/>
  <c r="AC121" i="1050"/>
  <c r="AC111" i="1050"/>
  <c r="AB117" i="1050"/>
  <c r="AD166" i="1050"/>
  <c r="AD165" i="1050"/>
  <c r="Q209" i="1050"/>
  <c r="Q97" i="1050"/>
  <c r="Q207" i="1050"/>
  <c r="Q95" i="1050"/>
  <c r="AE215" i="1050"/>
  <c r="AE103" i="1050"/>
  <c r="AE185" i="1050"/>
  <c r="AE184" i="1050"/>
  <c r="AB141" i="1050"/>
  <c r="Q205" i="1050"/>
  <c r="Q93" i="1050"/>
  <c r="P141" i="1050"/>
  <c r="P148" i="1050" s="1"/>
  <c r="P145" i="1050"/>
  <c r="P147" i="1050" s="1"/>
  <c r="AB112" i="1050"/>
  <c r="Q121" i="1050"/>
  <c r="Q111" i="1050"/>
  <c r="AC196" i="1050"/>
  <c r="AC197" i="1050"/>
  <c r="AC198" i="1050"/>
  <c r="AD129" i="1050"/>
  <c r="AD163" i="1050" s="1"/>
  <c r="AD123" i="1050"/>
  <c r="AD125" i="1050"/>
  <c r="AD53" i="1050"/>
  <c r="AD130" i="1050"/>
  <c r="AD164" i="1050" s="1"/>
  <c r="AD69" i="1050"/>
  <c r="AD54" i="1050"/>
  <c r="AD236" i="1050"/>
  <c r="AD216" i="1050"/>
  <c r="AD104" i="1050"/>
  <c r="AD66" i="1050"/>
  <c r="AD181" i="1050"/>
  <c r="AD180" i="1050"/>
  <c r="AD67" i="1050"/>
  <c r="AD64" i="1050"/>
  <c r="AD177" i="1050"/>
  <c r="AD63" i="1050"/>
  <c r="AD178" i="1050"/>
  <c r="AB89" i="1050"/>
  <c r="AE12" i="1050"/>
  <c r="R166" i="1050"/>
  <c r="R165" i="1050"/>
  <c r="Q202" i="1050"/>
  <c r="Q142" i="1050"/>
  <c r="Q143" i="1050" s="1"/>
  <c r="Q90" i="1050"/>
  <c r="Q212" i="1050"/>
  <c r="Q100" i="1050"/>
  <c r="O146" i="1050"/>
  <c r="Q198" i="1050"/>
  <c r="Q196" i="1050"/>
  <c r="Q197" i="1050"/>
  <c r="AC212" i="1050"/>
  <c r="AC100" i="1050"/>
  <c r="AD208" i="1050"/>
  <c r="AD96" i="1050"/>
  <c r="AB110" i="1050"/>
  <c r="D234" i="1050"/>
  <c r="B123" i="1050"/>
  <c r="AE204" i="1050"/>
  <c r="AE92" i="1050"/>
  <c r="R108" i="1050"/>
  <c r="R64" i="1050"/>
  <c r="R59" i="1050"/>
  <c r="R54" i="1050"/>
  <c r="R68" i="1050"/>
  <c r="R66" i="1050"/>
  <c r="R60" i="1050"/>
  <c r="R56" i="1050"/>
  <c r="R63" i="1050"/>
  <c r="R53" i="1050"/>
  <c r="R61" i="1050"/>
  <c r="R57" i="1050"/>
  <c r="R65" i="1050"/>
  <c r="AF65" i="1050" s="1"/>
  <c r="R58" i="1050"/>
  <c r="R62" i="1050"/>
  <c r="AE8" i="1050"/>
  <c r="R69" i="1050"/>
  <c r="AF69" i="1050" s="1"/>
  <c r="R67" i="1050"/>
  <c r="Q211" i="1050"/>
  <c r="Q99" i="1050"/>
  <c r="Q140" i="1050"/>
  <c r="Q214" i="1050"/>
  <c r="Q102" i="1050"/>
  <c r="R172" i="1050"/>
  <c r="AE15" i="1050"/>
  <c r="R88" i="1050" a="1"/>
  <c r="R88" i="1050" s="1"/>
  <c r="AE9" i="1050"/>
  <c r="AE88" i="1050" s="1"/>
  <c r="AE109" i="1050" s="1"/>
  <c r="AC211" i="1050"/>
  <c r="AC99" i="1050"/>
  <c r="AC140" i="1050"/>
  <c r="R171" i="1050"/>
  <c r="AE14" i="1050"/>
  <c r="AD204" i="1050"/>
  <c r="AD92" i="1050"/>
  <c r="Q204" i="1050"/>
  <c r="Q92" i="1050"/>
  <c r="AC55" i="1050"/>
  <c r="AD172" i="1050"/>
  <c r="AD58" i="1050"/>
  <c r="AD217" i="1050"/>
  <c r="AD179" i="1050"/>
  <c r="AD168" i="1050"/>
  <c r="AD133" i="1050"/>
  <c r="AD169" i="1050"/>
  <c r="AD167" i="1050"/>
  <c r="AD132" i="1050"/>
  <c r="AD139" i="1050"/>
  <c r="AD131" i="1050"/>
  <c r="AD134" i="1050"/>
  <c r="AD65" i="1050"/>
  <c r="O147" i="1050"/>
  <c r="AD173" i="1050"/>
  <c r="AD59" i="1050"/>
  <c r="AE10" i="1050"/>
  <c r="R149" i="1050"/>
  <c r="AB142" i="1050"/>
  <c r="AB143" i="1050" s="1"/>
  <c r="AD171" i="1050"/>
  <c r="AD57" i="1050"/>
  <c r="AC205" i="1050"/>
  <c r="AC93" i="1050"/>
  <c r="Q206" i="1050"/>
  <c r="Q94" i="1050"/>
  <c r="Q208" i="1050"/>
  <c r="Q96" i="1050"/>
  <c r="AD61" i="1050"/>
  <c r="R217" i="1050"/>
  <c r="R179" i="1050"/>
  <c r="R167" i="1050"/>
  <c r="R133" i="1050"/>
  <c r="R168" i="1050"/>
  <c r="R139" i="1050"/>
  <c r="R132" i="1050"/>
  <c r="R169" i="1050"/>
  <c r="R131" i="1050"/>
  <c r="R55" i="1050" s="1"/>
  <c r="AE4" i="1050"/>
  <c r="R134" i="1050"/>
  <c r="Q221" i="1050"/>
  <c r="Q109" i="1050"/>
  <c r="Q70" i="1050"/>
  <c r="Q118" i="1050" s="1"/>
  <c r="D178" i="1050"/>
  <c r="B65" i="1050"/>
  <c r="AB203" i="1050"/>
  <c r="AB91" i="1050"/>
  <c r="AA120" i="1050"/>
  <c r="AA128" i="1050"/>
  <c r="AA119" i="1050"/>
  <c r="AD175" i="1050"/>
  <c r="R129" i="1050"/>
  <c r="R163" i="1050" s="1"/>
  <c r="R123" i="1050"/>
  <c r="R130" i="1050" a="1"/>
  <c r="R130" i="1050" s="1"/>
  <c r="R164" i="1050" s="1"/>
  <c r="R125" i="1050"/>
  <c r="AF125" i="1050" s="1"/>
  <c r="R216" i="1050" a="1"/>
  <c r="R216" i="1050" s="1"/>
  <c r="R181" i="1050"/>
  <c r="R180" i="1050"/>
  <c r="R177" i="1050"/>
  <c r="R178" i="1050"/>
  <c r="AC213" i="1050"/>
  <c r="AC101" i="1050"/>
  <c r="AC202" i="1050"/>
  <c r="AC142" i="1050"/>
  <c r="AC143" i="1050" s="1"/>
  <c r="AC90" i="1050"/>
  <c r="O225" i="1050"/>
  <c r="O113" i="1050"/>
  <c r="O114" i="1050" s="1"/>
  <c r="AC71" i="1050"/>
  <c r="AC70" i="1050"/>
  <c r="R173" i="1050"/>
  <c r="AE16" i="1050"/>
  <c r="AE174" i="1050"/>
  <c r="AE60" i="1050"/>
  <c r="Q210" i="1050"/>
  <c r="Q98" i="1050"/>
  <c r="Q213" i="1050"/>
  <c r="Q101" i="1050"/>
  <c r="AC207" i="1050"/>
  <c r="AC95" i="1050"/>
  <c r="AC214" i="1050"/>
  <c r="AC102" i="1050"/>
  <c r="R174" i="1050"/>
  <c r="AD62" i="1050"/>
  <c r="AE176" i="1050"/>
  <c r="AE62" i="1050"/>
  <c r="Q215" i="1050"/>
  <c r="Q103" i="1050"/>
  <c r="Q185" i="1050"/>
  <c r="Q184" i="1050"/>
  <c r="P219" i="1050"/>
  <c r="P106" i="1050"/>
  <c r="P110" i="1050" s="1"/>
  <c r="AE175" i="1050"/>
  <c r="AE61" i="1050"/>
  <c r="AC206" i="1050"/>
  <c r="AC94" i="1050"/>
  <c r="Z122" i="1050"/>
  <c r="O128" i="1058" l="1"/>
  <c r="O119" i="1058"/>
  <c r="O120" i="1058"/>
  <c r="P86" i="1058"/>
  <c r="P112" i="1058" s="1"/>
  <c r="AC44" i="1058"/>
  <c r="AC86" i="1058" s="1"/>
  <c r="AA119" i="1062"/>
  <c r="AA128" i="1062"/>
  <c r="AA120" i="1062"/>
  <c r="R141" i="1058"/>
  <c r="AD208" i="1062"/>
  <c r="AD96" i="1062"/>
  <c r="AC141" i="1060"/>
  <c r="O115" i="1062"/>
  <c r="O116" i="1062" s="1"/>
  <c r="Q128" i="1064"/>
  <c r="P128" i="1064"/>
  <c r="P119" i="1064"/>
  <c r="P122" i="1064" s="1"/>
  <c r="P120" i="1064"/>
  <c r="P86" i="1063"/>
  <c r="AC44" i="1063"/>
  <c r="AC86" i="1063" s="1"/>
  <c r="AB128" i="1059"/>
  <c r="AB119" i="1059"/>
  <c r="AB122" i="1059" s="1"/>
  <c r="AB120" i="1059"/>
  <c r="Q120" i="1058"/>
  <c r="Q119" i="1058"/>
  <c r="Q128" i="1058"/>
  <c r="R203" i="1064"/>
  <c r="R91" i="1064"/>
  <c r="AF91" i="1064" s="1"/>
  <c r="AF55" i="1064"/>
  <c r="R70" i="1064"/>
  <c r="P128" i="1062"/>
  <c r="P120" i="1062"/>
  <c r="P119" i="1062"/>
  <c r="Q219" i="1060"/>
  <c r="Q106" i="1060"/>
  <c r="Q89" i="1060"/>
  <c r="AD141" i="1059"/>
  <c r="P128" i="1059"/>
  <c r="P120" i="1059"/>
  <c r="P119" i="1059"/>
  <c r="R209" i="1062"/>
  <c r="R97" i="1062"/>
  <c r="AF97" i="1062" s="1"/>
  <c r="AF61" i="1062"/>
  <c r="R207" i="1062"/>
  <c r="R95" i="1062"/>
  <c r="AF95" i="1062" s="1"/>
  <c r="AF59" i="1062"/>
  <c r="Q120" i="1064"/>
  <c r="Q119" i="1064"/>
  <c r="AC113" i="1061"/>
  <c r="AC225" i="1061" s="1"/>
  <c r="AB114" i="1060"/>
  <c r="AB115" i="1060" s="1"/>
  <c r="AB116" i="1060" s="1"/>
  <c r="AB113" i="1060"/>
  <c r="AB225" i="1060" s="1"/>
  <c r="Q141" i="1064"/>
  <c r="AB117" i="1063"/>
  <c r="B66" i="1062"/>
  <c r="D179" i="1062"/>
  <c r="AE182" i="1059"/>
  <c r="AE68" i="1059"/>
  <c r="D179" i="1057"/>
  <c r="B66" i="1057"/>
  <c r="R98" i="1060"/>
  <c r="AF98" i="1060" s="1"/>
  <c r="R210" i="1060"/>
  <c r="AF62" i="1060"/>
  <c r="R71" i="1063"/>
  <c r="AF71" i="1063" s="1"/>
  <c r="AF54" i="1063"/>
  <c r="N122" i="1058"/>
  <c r="D237" i="1062"/>
  <c r="B126" i="1062"/>
  <c r="AC198" i="1060"/>
  <c r="AC196" i="1060"/>
  <c r="AC197" i="1060"/>
  <c r="R100" i="1060"/>
  <c r="AF100" i="1060" s="1"/>
  <c r="R212" i="1060"/>
  <c r="AF64" i="1060"/>
  <c r="R211" i="1057"/>
  <c r="R99" i="1057"/>
  <c r="AF99" i="1057" s="1"/>
  <c r="R140" i="1057"/>
  <c r="AF63" i="1057"/>
  <c r="R94" i="1057"/>
  <c r="AF94" i="1057" s="1"/>
  <c r="R206" i="1057"/>
  <c r="AF58" i="1057"/>
  <c r="AC128" i="1061"/>
  <c r="AC120" i="1061"/>
  <c r="AC119" i="1061"/>
  <c r="AE211" i="1061"/>
  <c r="AE99" i="1061"/>
  <c r="AE140" i="1061"/>
  <c r="AF90" i="1058"/>
  <c r="AC70" i="1058"/>
  <c r="AC71" i="1058"/>
  <c r="R55" i="1063"/>
  <c r="AD148" i="1057"/>
  <c r="R215" i="1064"/>
  <c r="R103" i="1064"/>
  <c r="AF103" i="1064" s="1"/>
  <c r="R184" i="1064"/>
  <c r="R185" i="1064"/>
  <c r="AF68" i="1064"/>
  <c r="AD62" i="1058"/>
  <c r="AE55" i="1059"/>
  <c r="R211" i="1061"/>
  <c r="R99" i="1061"/>
  <c r="AF99" i="1061" s="1"/>
  <c r="R140" i="1061"/>
  <c r="AF63" i="1061"/>
  <c r="R212" i="1061"/>
  <c r="R100" i="1061"/>
  <c r="AF100" i="1061" s="1"/>
  <c r="AF64" i="1061"/>
  <c r="AA147" i="1064"/>
  <c r="AD176" i="1064"/>
  <c r="AD205" i="1063"/>
  <c r="AD93" i="1063"/>
  <c r="AE182" i="1062"/>
  <c r="AE68" i="1062"/>
  <c r="P147" i="1061"/>
  <c r="AD61" i="1063"/>
  <c r="AA146" i="1063"/>
  <c r="Q141" i="1060"/>
  <c r="R212" i="1062"/>
  <c r="R100" i="1062"/>
  <c r="AF100" i="1062" s="1"/>
  <c r="AF64" i="1062"/>
  <c r="AA119" i="1064"/>
  <c r="AA122" i="1064" s="1"/>
  <c r="AA128" i="1064"/>
  <c r="AA120" i="1064"/>
  <c r="R71" i="1059"/>
  <c r="AF71" i="1059" s="1"/>
  <c r="AF54" i="1059"/>
  <c r="Q148" i="1064"/>
  <c r="Q145" i="1064"/>
  <c r="Q144" i="1064" s="1"/>
  <c r="Q147" i="1064"/>
  <c r="R121" i="1060"/>
  <c r="AF121" i="1060" s="1"/>
  <c r="R111" i="1060"/>
  <c r="AF123" i="1060"/>
  <c r="AD208" i="1063"/>
  <c r="AD96" i="1063"/>
  <c r="O122" i="1062"/>
  <c r="AE215" i="1063"/>
  <c r="AE103" i="1063"/>
  <c r="AE185" i="1063"/>
  <c r="AE184" i="1063"/>
  <c r="AC141" i="1059"/>
  <c r="AC211" i="1064"/>
  <c r="AC99" i="1064"/>
  <c r="AC140" i="1064"/>
  <c r="AD55" i="1064"/>
  <c r="R204" i="1058"/>
  <c r="R92" i="1058"/>
  <c r="AF92" i="1058" s="1"/>
  <c r="AF56" i="1058"/>
  <c r="AD205" i="1059"/>
  <c r="AD93" i="1059"/>
  <c r="P145" i="1063"/>
  <c r="P146" i="1063" s="1"/>
  <c r="P148" i="1063"/>
  <c r="P144" i="1063"/>
  <c r="AE125" i="1059"/>
  <c r="AE130" i="1059"/>
  <c r="AE164" i="1059" s="1"/>
  <c r="AE53" i="1059"/>
  <c r="AE54" i="1059"/>
  <c r="AE129" i="1059"/>
  <c r="AE163" i="1059" s="1"/>
  <c r="AE123" i="1059"/>
  <c r="AE69" i="1059"/>
  <c r="AE104" i="1059"/>
  <c r="AE216" i="1059"/>
  <c r="AE180" i="1059"/>
  <c r="AE66" i="1059"/>
  <c r="AE67" i="1059"/>
  <c r="AE181" i="1059"/>
  <c r="AE236" i="1059"/>
  <c r="AD211" i="1058"/>
  <c r="AD99" i="1058"/>
  <c r="AE64" i="1059"/>
  <c r="AC202" i="1060"/>
  <c r="AC90" i="1060"/>
  <c r="AC142" i="1060"/>
  <c r="AC143" i="1060" s="1"/>
  <c r="AD130" i="1062"/>
  <c r="AD164" i="1062" s="1"/>
  <c r="AD125" i="1062"/>
  <c r="AD123" i="1062"/>
  <c r="AD129" i="1062"/>
  <c r="AD163" i="1062" s="1"/>
  <c r="AD53" i="1062"/>
  <c r="AD54" i="1062"/>
  <c r="AD69" i="1062"/>
  <c r="AD104" i="1062"/>
  <c r="AD216" i="1062"/>
  <c r="AD181" i="1062"/>
  <c r="AD236" i="1062"/>
  <c r="AD66" i="1062"/>
  <c r="AD180" i="1062"/>
  <c r="AD67" i="1062"/>
  <c r="AD178" i="1062"/>
  <c r="AD64" i="1062"/>
  <c r="AD176" i="1062"/>
  <c r="AD217" i="1062"/>
  <c r="AD62" i="1062"/>
  <c r="AD167" i="1062"/>
  <c r="AD139" i="1062"/>
  <c r="AD65" i="1062"/>
  <c r="AD179" i="1062"/>
  <c r="AD177" i="1062"/>
  <c r="AD63" i="1062"/>
  <c r="AD168" i="1062"/>
  <c r="Z114" i="1064"/>
  <c r="Z115" i="1064" s="1"/>
  <c r="Z116" i="1064" s="1"/>
  <c r="Z126" i="1064" s="1"/>
  <c r="AE172" i="1063"/>
  <c r="AE58" i="1063"/>
  <c r="R206" i="1060"/>
  <c r="R94" i="1060"/>
  <c r="AF94" i="1060" s="1"/>
  <c r="AF58" i="1060"/>
  <c r="AD174" i="1062"/>
  <c r="R203" i="1057"/>
  <c r="R91" i="1057"/>
  <c r="AF91" i="1057" s="1"/>
  <c r="AF55" i="1057"/>
  <c r="R210" i="1057"/>
  <c r="R98" i="1057"/>
  <c r="AF98" i="1057" s="1"/>
  <c r="AF62" i="1057"/>
  <c r="R210" i="1059"/>
  <c r="R98" i="1059"/>
  <c r="AF98" i="1059" s="1"/>
  <c r="AF62" i="1059"/>
  <c r="AC212" i="1058"/>
  <c r="AC100" i="1058"/>
  <c r="AC214" i="1058"/>
  <c r="AC102" i="1058"/>
  <c r="AA119" i="1058"/>
  <c r="AA122" i="1058" s="1"/>
  <c r="AA120" i="1058"/>
  <c r="AA128" i="1058"/>
  <c r="AC213" i="1064"/>
  <c r="AC101" i="1064"/>
  <c r="R212" i="1064"/>
  <c r="R100" i="1064"/>
  <c r="AF100" i="1064" s="1"/>
  <c r="AF64" i="1064"/>
  <c r="R202" i="1064"/>
  <c r="R142" i="1064"/>
  <c r="R143" i="1064" s="1"/>
  <c r="R90" i="1064"/>
  <c r="AG70" i="1064"/>
  <c r="AF53" i="1064"/>
  <c r="AD176" i="1058"/>
  <c r="AE139" i="1059"/>
  <c r="D235" i="1058"/>
  <c r="B124" i="1058"/>
  <c r="R92" i="1061"/>
  <c r="AF92" i="1061" s="1"/>
  <c r="R204" i="1061"/>
  <c r="AF56" i="1061"/>
  <c r="R214" i="1061"/>
  <c r="R102" i="1061"/>
  <c r="AF102" i="1061" s="1"/>
  <c r="AF67" i="1061"/>
  <c r="Q112" i="1059"/>
  <c r="AA122" i="1059"/>
  <c r="Q203" i="1063"/>
  <c r="Q91" i="1063"/>
  <c r="Q142" i="1063"/>
  <c r="Q143" i="1063" s="1"/>
  <c r="AE121" i="1061"/>
  <c r="AE111" i="1061"/>
  <c r="AD64" i="1058"/>
  <c r="AF90" i="1060"/>
  <c r="AE172" i="1060"/>
  <c r="AE58" i="1060"/>
  <c r="Q118" i="1060"/>
  <c r="Q145" i="1057"/>
  <c r="Q147" i="1057" s="1"/>
  <c r="AC89" i="1057"/>
  <c r="AC112" i="1057"/>
  <c r="P225" i="1062"/>
  <c r="P113" i="1062"/>
  <c r="P114" i="1062" s="1"/>
  <c r="P144" i="1053"/>
  <c r="Q118" i="1055"/>
  <c r="R214" i="1062"/>
  <c r="R102" i="1062"/>
  <c r="AF102" i="1062" s="1"/>
  <c r="AF67" i="1062"/>
  <c r="N115" i="1059"/>
  <c r="N116" i="1059" s="1"/>
  <c r="AC219" i="1059"/>
  <c r="AC106" i="1059"/>
  <c r="AC110" i="1059" s="1"/>
  <c r="R197" i="1060"/>
  <c r="R196" i="1060"/>
  <c r="R198" i="1060"/>
  <c r="AD207" i="1064"/>
  <c r="AD95" i="1064"/>
  <c r="AC91" i="1060"/>
  <c r="AC203" i="1060"/>
  <c r="M126" i="1061"/>
  <c r="AD95" i="1058"/>
  <c r="AD207" i="1058"/>
  <c r="AD203" i="1063"/>
  <c r="AD91" i="1063"/>
  <c r="Q219" i="1062"/>
  <c r="Q106" i="1062"/>
  <c r="AC98" i="1062"/>
  <c r="AC210" i="1062"/>
  <c r="AC214" i="1062"/>
  <c r="AC102" i="1062"/>
  <c r="AC202" i="1062"/>
  <c r="AC142" i="1062"/>
  <c r="AC143" i="1062" s="1"/>
  <c r="AC90" i="1062"/>
  <c r="R221" i="1063"/>
  <c r="R109" i="1063"/>
  <c r="R70" i="1063"/>
  <c r="R118" i="1063" s="1"/>
  <c r="AE173" i="1064"/>
  <c r="AE59" i="1064"/>
  <c r="AD95" i="1062"/>
  <c r="AD207" i="1062"/>
  <c r="P128" i="1063"/>
  <c r="P120" i="1063"/>
  <c r="P119" i="1063"/>
  <c r="P122" i="1063" s="1"/>
  <c r="AD94" i="1063"/>
  <c r="AD206" i="1063"/>
  <c r="AC148" i="1059"/>
  <c r="AC147" i="1059"/>
  <c r="AC145" i="1059"/>
  <c r="AC144" i="1059" s="1"/>
  <c r="AE114" i="1057"/>
  <c r="AE115" i="1057" s="1"/>
  <c r="AE116" i="1057" s="1"/>
  <c r="AE126" i="1057" s="1"/>
  <c r="AE113" i="1057"/>
  <c r="AE225" i="1057" s="1"/>
  <c r="AE10" i="1058"/>
  <c r="R149" i="1058"/>
  <c r="R111" i="1063"/>
  <c r="R121" i="1063"/>
  <c r="AF121" i="1063" s="1"/>
  <c r="AF123" i="1063"/>
  <c r="AA113" i="1063"/>
  <c r="AA225" i="1063" s="1"/>
  <c r="AE178" i="1059"/>
  <c r="Q219" i="1057"/>
  <c r="Q106" i="1057"/>
  <c r="AC210" i="1064"/>
  <c r="AC98" i="1064"/>
  <c r="AB141" i="1063"/>
  <c r="AC70" i="1060"/>
  <c r="AC71" i="1060"/>
  <c r="AE203" i="1061"/>
  <c r="AE91" i="1061"/>
  <c r="AB219" i="1060"/>
  <c r="AB106" i="1060"/>
  <c r="AB110" i="1060" s="1"/>
  <c r="R202" i="1063"/>
  <c r="R142" i="1063"/>
  <c r="R143" i="1063" s="1"/>
  <c r="AG70" i="1063"/>
  <c r="R90" i="1063"/>
  <c r="AF53" i="1063"/>
  <c r="AE166" i="1064"/>
  <c r="AE165" i="1064"/>
  <c r="R215" i="1057"/>
  <c r="R103" i="1057"/>
  <c r="AF103" i="1057" s="1"/>
  <c r="R185" i="1057"/>
  <c r="R184" i="1057"/>
  <c r="AF68" i="1057"/>
  <c r="B125" i="1059"/>
  <c r="D236" i="1059"/>
  <c r="P148" i="1062"/>
  <c r="AE10" i="1062"/>
  <c r="R149" i="1062"/>
  <c r="R214" i="1059"/>
  <c r="R102" i="1059"/>
  <c r="AF102" i="1059" s="1"/>
  <c r="AF67" i="1059"/>
  <c r="AE166" i="1063"/>
  <c r="AE165" i="1063"/>
  <c r="AD209" i="1064"/>
  <c r="AD97" i="1064"/>
  <c r="Q147" i="1060"/>
  <c r="Q148" i="1060"/>
  <c r="Q145" i="1060"/>
  <c r="Q146" i="1060" s="1"/>
  <c r="Q144" i="1060"/>
  <c r="AC213" i="1058"/>
  <c r="AC101" i="1058"/>
  <c r="AC111" i="1058"/>
  <c r="AC112" i="1058" s="1"/>
  <c r="AC121" i="1058"/>
  <c r="AD176" i="1060"/>
  <c r="D235" i="1063"/>
  <c r="B124" i="1063"/>
  <c r="AC214" i="1064"/>
  <c r="AC102" i="1064"/>
  <c r="AC111" i="1064"/>
  <c r="AC121" i="1064"/>
  <c r="AE171" i="1058"/>
  <c r="AE57" i="1058"/>
  <c r="AF94" i="1059"/>
  <c r="AC211" i="1063"/>
  <c r="AC99" i="1063"/>
  <c r="AC140" i="1063"/>
  <c r="R71" i="1064"/>
  <c r="AF71" i="1064" s="1"/>
  <c r="AF54" i="1064"/>
  <c r="R207" i="1064"/>
  <c r="R95" i="1064"/>
  <c r="AF95" i="1064" s="1"/>
  <c r="AF59" i="1064"/>
  <c r="R211" i="1064"/>
  <c r="R99" i="1064"/>
  <c r="AF99" i="1064" s="1"/>
  <c r="R140" i="1064"/>
  <c r="AF63" i="1064"/>
  <c r="AE168" i="1059"/>
  <c r="Q112" i="1060"/>
  <c r="AB113" i="1064"/>
  <c r="AB225" i="1064" s="1"/>
  <c r="R208" i="1061"/>
  <c r="R96" i="1061"/>
  <c r="AF96" i="1061" s="1"/>
  <c r="AF60" i="1061"/>
  <c r="R206" i="1061"/>
  <c r="R94" i="1061"/>
  <c r="AF94" i="1061" s="1"/>
  <c r="AF58" i="1061"/>
  <c r="AE10" i="1064"/>
  <c r="AE60" i="1064" s="1"/>
  <c r="R149" i="1064"/>
  <c r="AE172" i="1062"/>
  <c r="AE58" i="1062"/>
  <c r="AB147" i="1060"/>
  <c r="AB145" i="1060"/>
  <c r="AB146" i="1060" s="1"/>
  <c r="AB144" i="1060"/>
  <c r="AE196" i="1061"/>
  <c r="AE197" i="1061"/>
  <c r="AE198" i="1061"/>
  <c r="AD178" i="1058"/>
  <c r="AD61" i="1058"/>
  <c r="Q110" i="1057"/>
  <c r="O122" i="1057"/>
  <c r="AB146" i="1051"/>
  <c r="AA126" i="1056"/>
  <c r="P112" i="1056"/>
  <c r="P147" i="1056"/>
  <c r="AC44" i="1064"/>
  <c r="AC86" i="1064" s="1"/>
  <c r="P86" i="1064"/>
  <c r="AE173" i="1058"/>
  <c r="AE59" i="1058"/>
  <c r="R202" i="1062"/>
  <c r="R90" i="1062"/>
  <c r="AG70" i="1062"/>
  <c r="R142" i="1062"/>
  <c r="R143" i="1062" s="1"/>
  <c r="AF53" i="1062"/>
  <c r="R215" i="1062"/>
  <c r="R103" i="1062"/>
  <c r="AF103" i="1062" s="1"/>
  <c r="R184" i="1062"/>
  <c r="R185" i="1062"/>
  <c r="AF68" i="1062"/>
  <c r="R206" i="1062"/>
  <c r="R94" i="1062"/>
  <c r="AF94" i="1062" s="1"/>
  <c r="AF58" i="1062"/>
  <c r="AD206" i="1062"/>
  <c r="AD94" i="1062"/>
  <c r="R221" i="1062"/>
  <c r="R109" i="1062"/>
  <c r="R70" i="1062"/>
  <c r="R89" i="1062" s="1"/>
  <c r="R210" i="1058"/>
  <c r="R98" i="1058"/>
  <c r="AF98" i="1058" s="1"/>
  <c r="AF62" i="1058"/>
  <c r="P128" i="1061"/>
  <c r="P120" i="1061"/>
  <c r="P119" i="1061"/>
  <c r="O113" i="1058"/>
  <c r="O225" i="1058"/>
  <c r="O114" i="1058"/>
  <c r="D179" i="1058"/>
  <c r="B66" i="1058"/>
  <c r="AA144" i="1062"/>
  <c r="AC198" i="1062"/>
  <c r="AC197" i="1062"/>
  <c r="AC196" i="1062"/>
  <c r="O126" i="1057"/>
  <c r="AA120" i="1063"/>
  <c r="AA119" i="1063"/>
  <c r="AA128" i="1063"/>
  <c r="D236" i="1060"/>
  <c r="B125" i="1060"/>
  <c r="AE176" i="1059"/>
  <c r="AE62" i="1059"/>
  <c r="D179" i="1064"/>
  <c r="B66" i="1064"/>
  <c r="R197" i="1063"/>
  <c r="R198" i="1063"/>
  <c r="R196" i="1063"/>
  <c r="AE178" i="1064"/>
  <c r="AE64" i="1064"/>
  <c r="D236" i="1057"/>
  <c r="B125" i="1057"/>
  <c r="AD203" i="1059"/>
  <c r="AD91" i="1059"/>
  <c r="AA113" i="1064"/>
  <c r="AA225" i="1064" s="1"/>
  <c r="AD205" i="1064"/>
  <c r="AD93" i="1064"/>
  <c r="R209" i="1058"/>
  <c r="R97" i="1058"/>
  <c r="AF97" i="1058" s="1"/>
  <c r="AF61" i="1058"/>
  <c r="AB219" i="1058"/>
  <c r="AB106" i="1058"/>
  <c r="AB110" i="1058" s="1"/>
  <c r="R205" i="1063"/>
  <c r="R93" i="1063"/>
  <c r="AF93" i="1063" s="1"/>
  <c r="AF57" i="1063"/>
  <c r="P114" i="1057"/>
  <c r="P113" i="1057"/>
  <c r="P225" i="1057"/>
  <c r="P225" i="1061"/>
  <c r="P113" i="1061"/>
  <c r="P114" i="1061" s="1"/>
  <c r="R205" i="1057"/>
  <c r="R93" i="1057"/>
  <c r="AF93" i="1057" s="1"/>
  <c r="AF57" i="1057"/>
  <c r="R71" i="1057"/>
  <c r="AF71" i="1057" s="1"/>
  <c r="AF54" i="1057"/>
  <c r="R70" i="1057"/>
  <c r="AC196" i="1058"/>
  <c r="AC198" i="1058"/>
  <c r="AC197" i="1058"/>
  <c r="Q141" i="1063"/>
  <c r="R109" i="1059"/>
  <c r="R221" i="1059"/>
  <c r="R70" i="1059"/>
  <c r="R118" i="1059"/>
  <c r="S118" i="1059" s="1"/>
  <c r="AD62" i="1060"/>
  <c r="Q225" i="1061"/>
  <c r="Q113" i="1061"/>
  <c r="Q114" i="1061" s="1"/>
  <c r="Q115" i="1061" s="1"/>
  <c r="Q116" i="1061" s="1"/>
  <c r="Q126" i="1061" s="1"/>
  <c r="AF111" i="1062"/>
  <c r="AC196" i="1064"/>
  <c r="AC198" i="1064"/>
  <c r="AC197" i="1064"/>
  <c r="AC44" i="1060"/>
  <c r="AC86" i="1060" s="1"/>
  <c r="P86" i="1060"/>
  <c r="R204" i="1064"/>
  <c r="R92" i="1064"/>
  <c r="AF92" i="1064" s="1"/>
  <c r="AF56" i="1064"/>
  <c r="R205" i="1064"/>
  <c r="R93" i="1064"/>
  <c r="AF93" i="1064" s="1"/>
  <c r="AF57" i="1064"/>
  <c r="AE175" i="1064"/>
  <c r="AE61" i="1064"/>
  <c r="AE148" i="1057"/>
  <c r="AE145" i="1057"/>
  <c r="AE147" i="1057" s="1"/>
  <c r="O144" i="1058"/>
  <c r="Q112" i="1057"/>
  <c r="Z122" i="1063"/>
  <c r="R213" i="1061"/>
  <c r="R101" i="1061"/>
  <c r="AF101" i="1061" s="1"/>
  <c r="AF66" i="1061"/>
  <c r="R210" i="1061"/>
  <c r="R98" i="1061"/>
  <c r="AF98" i="1061" s="1"/>
  <c r="AF62" i="1061"/>
  <c r="R140" i="1060"/>
  <c r="AC213" i="1063"/>
  <c r="AC101" i="1063"/>
  <c r="AC70" i="1063"/>
  <c r="AC71" i="1063"/>
  <c r="R55" i="1058"/>
  <c r="P144" i="1064"/>
  <c r="R221" i="1060"/>
  <c r="R109" i="1060"/>
  <c r="AE175" i="1062"/>
  <c r="AE61" i="1062"/>
  <c r="AD60" i="1064"/>
  <c r="AD219" i="1061"/>
  <c r="AD106" i="1061"/>
  <c r="Q141" i="1057"/>
  <c r="Q148" i="1057" s="1"/>
  <c r="Q146" i="1057"/>
  <c r="AC208" i="1064"/>
  <c r="AC96" i="1064"/>
  <c r="AE93" i="1062"/>
  <c r="AE205" i="1062"/>
  <c r="Q147" i="1062"/>
  <c r="Q145" i="1062"/>
  <c r="AD219" i="1057"/>
  <c r="AD106" i="1057"/>
  <c r="AD110" i="1057" s="1"/>
  <c r="AB89" i="1060"/>
  <c r="AB126" i="1060" s="1"/>
  <c r="AE101" i="1061"/>
  <c r="AE213" i="1061"/>
  <c r="AC112" i="1059"/>
  <c r="AF111" i="1064"/>
  <c r="AE219" i="1057"/>
  <c r="AE106" i="1057"/>
  <c r="AE110" i="1057" s="1"/>
  <c r="AB141" i="1062"/>
  <c r="R112" i="1057"/>
  <c r="AF111" i="1057"/>
  <c r="AB117" i="1064"/>
  <c r="AD175" i="1058"/>
  <c r="Q89" i="1057"/>
  <c r="AE171" i="1063"/>
  <c r="AE57" i="1063"/>
  <c r="AF93" i="1059"/>
  <c r="N122" i="1063"/>
  <c r="P147" i="1053"/>
  <c r="Q112" i="1056"/>
  <c r="R93" i="1062"/>
  <c r="AF93" i="1062" s="1"/>
  <c r="R205" i="1062"/>
  <c r="AF57" i="1062"/>
  <c r="R204" i="1062"/>
  <c r="R92" i="1062"/>
  <c r="AF92" i="1062" s="1"/>
  <c r="AF56" i="1062"/>
  <c r="R210" i="1062"/>
  <c r="R98" i="1062"/>
  <c r="AF98" i="1062" s="1"/>
  <c r="AF62" i="1062"/>
  <c r="AC210" i="1063"/>
  <c r="AC98" i="1063"/>
  <c r="R208" i="1058"/>
  <c r="R96" i="1058"/>
  <c r="AF96" i="1058" s="1"/>
  <c r="AF60" i="1058"/>
  <c r="AB113" i="1058"/>
  <c r="AB225" i="1058" s="1"/>
  <c r="AC209" i="1064"/>
  <c r="AC97" i="1064"/>
  <c r="AD113" i="1057"/>
  <c r="AD225" i="1057" s="1"/>
  <c r="R149" i="1060"/>
  <c r="AE10" i="1060"/>
  <c r="AC121" i="1062"/>
  <c r="AC111" i="1062"/>
  <c r="AE177" i="1058"/>
  <c r="AE63" i="1058"/>
  <c r="P119" i="1060"/>
  <c r="P128" i="1060"/>
  <c r="P120" i="1060"/>
  <c r="AD215" i="1060"/>
  <c r="AD103" i="1060"/>
  <c r="AD185" i="1060"/>
  <c r="AD184" i="1060"/>
  <c r="D179" i="1060"/>
  <c r="B66" i="1060"/>
  <c r="AB145" i="1063"/>
  <c r="AB147" i="1063" s="1"/>
  <c r="AD206" i="1064"/>
  <c r="AD94" i="1064"/>
  <c r="O122" i="1064"/>
  <c r="AD209" i="1059"/>
  <c r="AD97" i="1059"/>
  <c r="AE174" i="1062"/>
  <c r="AE60" i="1062"/>
  <c r="P144" i="1057"/>
  <c r="AD206" i="1059"/>
  <c r="AD94" i="1059"/>
  <c r="AD141" i="1061"/>
  <c r="AB112" i="1062"/>
  <c r="P144" i="1060"/>
  <c r="R209" i="1057"/>
  <c r="R97" i="1057"/>
  <c r="AF97" i="1057" s="1"/>
  <c r="AF61" i="1057"/>
  <c r="R207" i="1057"/>
  <c r="R95" i="1057"/>
  <c r="AF95" i="1057" s="1"/>
  <c r="AF59" i="1057"/>
  <c r="AC203" i="1064"/>
  <c r="AC91" i="1064"/>
  <c r="AD129" i="1063"/>
  <c r="AD163" i="1063" s="1"/>
  <c r="AD123" i="1063"/>
  <c r="AD69" i="1063"/>
  <c r="AD130" i="1063"/>
  <c r="AD164" i="1063" s="1"/>
  <c r="AD125" i="1063"/>
  <c r="AD53" i="1063"/>
  <c r="AD54" i="1063"/>
  <c r="AD104" i="1063"/>
  <c r="AD216" i="1063"/>
  <c r="AD236" i="1063"/>
  <c r="AD180" i="1063"/>
  <c r="AD66" i="1063"/>
  <c r="AD181" i="1063"/>
  <c r="AD67" i="1063"/>
  <c r="AD64" i="1063"/>
  <c r="AD178" i="1063"/>
  <c r="AD114" i="1061"/>
  <c r="AD115" i="1061" s="1"/>
  <c r="AD116" i="1061" s="1"/>
  <c r="AD126" i="1061" s="1"/>
  <c r="AD113" i="1061"/>
  <c r="AD225" i="1061" s="1"/>
  <c r="P119" i="1057"/>
  <c r="P122" i="1057" s="1"/>
  <c r="P128" i="1057"/>
  <c r="P120" i="1057"/>
  <c r="D235" i="1061"/>
  <c r="B124" i="1061"/>
  <c r="R213" i="1059"/>
  <c r="R101" i="1059"/>
  <c r="AF101" i="1059" s="1"/>
  <c r="AF66" i="1059"/>
  <c r="R208" i="1064"/>
  <c r="R96" i="1064"/>
  <c r="AF96" i="1064" s="1"/>
  <c r="AF60" i="1064"/>
  <c r="R209" i="1064"/>
  <c r="R97" i="1064"/>
  <c r="AF97" i="1064" s="1"/>
  <c r="AF61" i="1064"/>
  <c r="R71" i="1060"/>
  <c r="AF71" i="1060" s="1"/>
  <c r="AF54" i="1060"/>
  <c r="AE179" i="1059"/>
  <c r="AD205" i="1058"/>
  <c r="AD93" i="1058"/>
  <c r="AC214" i="1063"/>
  <c r="AC102" i="1063"/>
  <c r="AC121" i="1063"/>
  <c r="AC111" i="1063"/>
  <c r="AE207" i="1063"/>
  <c r="AE95" i="1063"/>
  <c r="Q110" i="1062"/>
  <c r="AD121" i="1059"/>
  <c r="AD111" i="1059"/>
  <c r="R208" i="1059"/>
  <c r="R96" i="1059"/>
  <c r="AF96" i="1059" s="1"/>
  <c r="AF60" i="1059"/>
  <c r="AB146" i="1059"/>
  <c r="AB148" i="1059" s="1"/>
  <c r="AA148" i="1060"/>
  <c r="AE166" i="1058"/>
  <c r="AE165" i="1058"/>
  <c r="AE169" i="1058" s="1"/>
  <c r="AE132" i="1058"/>
  <c r="AE55" i="1058" s="1"/>
  <c r="P148" i="1058"/>
  <c r="P147" i="1058"/>
  <c r="P145" i="1058"/>
  <c r="P146" i="1058" s="1"/>
  <c r="P144" i="1058"/>
  <c r="B66" i="1059"/>
  <c r="D179" i="1059"/>
  <c r="AD61" i="1062"/>
  <c r="R211" i="1062"/>
  <c r="R99" i="1062"/>
  <c r="AF99" i="1062" s="1"/>
  <c r="R140" i="1062"/>
  <c r="AF63" i="1062"/>
  <c r="R213" i="1062"/>
  <c r="R101" i="1062"/>
  <c r="AF101" i="1062" s="1"/>
  <c r="AF66" i="1062"/>
  <c r="AA128" i="1060"/>
  <c r="AA120" i="1060"/>
  <c r="AA119" i="1060"/>
  <c r="AE182" i="1060"/>
  <c r="AE68" i="1060"/>
  <c r="R111" i="1059"/>
  <c r="R121" i="1059"/>
  <c r="AF121" i="1059" s="1"/>
  <c r="AF123" i="1059"/>
  <c r="AD203" i="1062"/>
  <c r="AD91" i="1062"/>
  <c r="O122" i="1063"/>
  <c r="Q225" i="1064"/>
  <c r="Q113" i="1064"/>
  <c r="Q114" i="1064"/>
  <c r="Q115" i="1064" s="1"/>
  <c r="Q116" i="1064" s="1"/>
  <c r="AD125" i="1060"/>
  <c r="AD53" i="1060"/>
  <c r="AD129" i="1060"/>
  <c r="AD163" i="1060" s="1"/>
  <c r="AD123" i="1060"/>
  <c r="AD69" i="1060"/>
  <c r="AD54" i="1060"/>
  <c r="AD130" i="1060"/>
  <c r="AD164" i="1060" s="1"/>
  <c r="AD67" i="1060"/>
  <c r="AD66" i="1060"/>
  <c r="AD180" i="1060"/>
  <c r="AD181" i="1060"/>
  <c r="AD104" i="1060"/>
  <c r="AD236" i="1060"/>
  <c r="AD216" i="1060"/>
  <c r="AD178" i="1060"/>
  <c r="AD64" i="1060"/>
  <c r="AD63" i="1060"/>
  <c r="AE212" i="1061"/>
  <c r="AE100" i="1061"/>
  <c r="AB219" i="1062"/>
  <c r="AB106" i="1062"/>
  <c r="AD215" i="1064"/>
  <c r="AD103" i="1064"/>
  <c r="AD185" i="1064"/>
  <c r="AD184" i="1064"/>
  <c r="AC101" i="1060"/>
  <c r="AC213" i="1060"/>
  <c r="Z122" i="1062"/>
  <c r="R204" i="1057"/>
  <c r="R92" i="1057"/>
  <c r="AF92" i="1057" s="1"/>
  <c r="AF56" i="1057"/>
  <c r="R100" i="1057"/>
  <c r="AF100" i="1057" s="1"/>
  <c r="R212" i="1057"/>
  <c r="AF64" i="1057"/>
  <c r="AD207" i="1060"/>
  <c r="AD95" i="1060"/>
  <c r="AE172" i="1059"/>
  <c r="AE58" i="1059"/>
  <c r="AD211" i="1063"/>
  <c r="AD99" i="1063"/>
  <c r="AD140" i="1063"/>
  <c r="AE174" i="1060"/>
  <c r="AE60" i="1060"/>
  <c r="AE171" i="1064"/>
  <c r="AE57" i="1064"/>
  <c r="AF93" i="1058"/>
  <c r="AB117" i="1058"/>
  <c r="AB145" i="1062"/>
  <c r="AB144" i="1062" s="1"/>
  <c r="R55" i="1060"/>
  <c r="R142" i="1060" s="1"/>
  <c r="R143" i="1060" s="1"/>
  <c r="AC202" i="1064"/>
  <c r="AC142" i="1064"/>
  <c r="AC143" i="1064" s="1"/>
  <c r="AC90" i="1064"/>
  <c r="D179" i="1061"/>
  <c r="B66" i="1061"/>
  <c r="AD60" i="1060"/>
  <c r="R212" i="1058"/>
  <c r="R100" i="1058"/>
  <c r="AF100" i="1058" s="1"/>
  <c r="AF64" i="1058"/>
  <c r="R210" i="1064"/>
  <c r="R98" i="1064"/>
  <c r="AF98" i="1064" s="1"/>
  <c r="AF62" i="1064"/>
  <c r="R206" i="1064"/>
  <c r="R94" i="1064"/>
  <c r="AF94" i="1064" s="1"/>
  <c r="AF58" i="1064"/>
  <c r="M115" i="1063"/>
  <c r="M116" i="1063" s="1"/>
  <c r="O147" i="1058"/>
  <c r="AD129" i="1064"/>
  <c r="AD163" i="1064" s="1"/>
  <c r="AD123" i="1064"/>
  <c r="AD130" i="1064"/>
  <c r="AD164" i="1064" s="1"/>
  <c r="AD125" i="1064"/>
  <c r="AD69" i="1064"/>
  <c r="AD54" i="1064"/>
  <c r="AD53" i="1064"/>
  <c r="AD216" i="1064"/>
  <c r="AD104" i="1064"/>
  <c r="AD66" i="1064"/>
  <c r="AD67" i="1064"/>
  <c r="AD236" i="1064"/>
  <c r="AD181" i="1064"/>
  <c r="AD180" i="1064"/>
  <c r="AB144" i="1059"/>
  <c r="R209" i="1061"/>
  <c r="R97" i="1061"/>
  <c r="AF97" i="1061" s="1"/>
  <c r="AF61" i="1061"/>
  <c r="R103" i="1061"/>
  <c r="AF103" i="1061" s="1"/>
  <c r="R215" i="1061"/>
  <c r="R185" i="1061"/>
  <c r="R184" i="1061"/>
  <c r="AF68" i="1061"/>
  <c r="R91" i="1061"/>
  <c r="AF91" i="1061" s="1"/>
  <c r="R203" i="1061"/>
  <c r="AF55" i="1061"/>
  <c r="Q112" i="1062"/>
  <c r="AC197" i="1063"/>
  <c r="AC196" i="1063"/>
  <c r="AC198" i="1063"/>
  <c r="AB219" i="1064"/>
  <c r="AB106" i="1064"/>
  <c r="D179" i="1063"/>
  <c r="B66" i="1063"/>
  <c r="AE207" i="1059"/>
  <c r="AE95" i="1059"/>
  <c r="AD61" i="1060"/>
  <c r="Q89" i="1062"/>
  <c r="AD71" i="1059"/>
  <c r="AD118" i="1059" s="1"/>
  <c r="AD70" i="1059"/>
  <c r="AF96" i="1060"/>
  <c r="AD118" i="1057"/>
  <c r="P219" i="1058"/>
  <c r="P106" i="1058"/>
  <c r="P110" i="1058" s="1"/>
  <c r="AD60" i="1058"/>
  <c r="AD175" i="1062"/>
  <c r="AB110" i="1064"/>
  <c r="AD144" i="1057"/>
  <c r="P89" i="1062"/>
  <c r="Q112" i="1053"/>
  <c r="Z122" i="1055"/>
  <c r="AE146" i="1057"/>
  <c r="AE141" i="1057"/>
  <c r="AE63" i="1060"/>
  <c r="AE177" i="1060"/>
  <c r="R208" i="1062"/>
  <c r="R96" i="1062"/>
  <c r="AF96" i="1062" s="1"/>
  <c r="AF60" i="1062"/>
  <c r="Q141" i="1062"/>
  <c r="Q148" i="1062" s="1"/>
  <c r="Q146" i="1062"/>
  <c r="R209" i="1063"/>
  <c r="R97" i="1063"/>
  <c r="AF97" i="1063" s="1"/>
  <c r="AF61" i="1063"/>
  <c r="R198" i="1059"/>
  <c r="R197" i="1059"/>
  <c r="R196" i="1059"/>
  <c r="AB219" i="1063"/>
  <c r="AB106" i="1063"/>
  <c r="AB110" i="1063" s="1"/>
  <c r="AD215" i="1059"/>
  <c r="AD103" i="1059"/>
  <c r="AD184" i="1059"/>
  <c r="AD185" i="1059"/>
  <c r="AF111" i="1061"/>
  <c r="R142" i="1059"/>
  <c r="R143" i="1059" s="1"/>
  <c r="R90" i="1059"/>
  <c r="AG70" i="1059"/>
  <c r="R202" i="1059"/>
  <c r="R89" i="1059"/>
  <c r="AF53" i="1059"/>
  <c r="AC213" i="1062"/>
  <c r="AC101" i="1062"/>
  <c r="AC70" i="1062"/>
  <c r="AC89" i="1062" s="1"/>
  <c r="AC71" i="1062"/>
  <c r="AC117" i="1062" s="1"/>
  <c r="AD215" i="1062"/>
  <c r="AD103" i="1062"/>
  <c r="AD185" i="1062"/>
  <c r="AD184" i="1062"/>
  <c r="AD206" i="1060"/>
  <c r="AD94" i="1060"/>
  <c r="AD110" i="1061"/>
  <c r="AD128" i="1061" s="1"/>
  <c r="D235" i="1064"/>
  <c r="B124" i="1064"/>
  <c r="AE217" i="1064"/>
  <c r="AE179" i="1064"/>
  <c r="AE131" i="1064"/>
  <c r="AE132" i="1064"/>
  <c r="AE168" i="1064"/>
  <c r="AE133" i="1064"/>
  <c r="AE169" i="1064"/>
  <c r="AE139" i="1064"/>
  <c r="AE134" i="1064"/>
  <c r="AE167" i="1064"/>
  <c r="AE65" i="1064"/>
  <c r="R99" i="1059"/>
  <c r="AF99" i="1059" s="1"/>
  <c r="R211" i="1059"/>
  <c r="R140" i="1059"/>
  <c r="AF63" i="1059"/>
  <c r="AA126" i="1062"/>
  <c r="AC212" i="1064"/>
  <c r="AC100" i="1064"/>
  <c r="AE172" i="1064"/>
  <c r="AE58" i="1064"/>
  <c r="P225" i="1059"/>
  <c r="P113" i="1059"/>
  <c r="P114" i="1059" s="1"/>
  <c r="AC214" i="1060"/>
  <c r="AC102" i="1060"/>
  <c r="P147" i="1060"/>
  <c r="AD211" i="1064"/>
  <c r="AD99" i="1064"/>
  <c r="R208" i="1057"/>
  <c r="R96" i="1057"/>
  <c r="AF96" i="1057" s="1"/>
  <c r="AF60" i="1057"/>
  <c r="R142" i="1057"/>
  <c r="R143" i="1057" s="1"/>
  <c r="R89" i="1057"/>
  <c r="AG70" i="1057"/>
  <c r="R90" i="1057"/>
  <c r="R202" i="1057"/>
  <c r="AF53" i="1057"/>
  <c r="R118" i="1057"/>
  <c r="Q147" i="1061"/>
  <c r="Q145" i="1061"/>
  <c r="Q144" i="1061" s="1"/>
  <c r="AD177" i="1063"/>
  <c r="AE172" i="1058"/>
  <c r="AE58" i="1058"/>
  <c r="AB145" i="1058"/>
  <c r="AB146" i="1058" s="1"/>
  <c r="AC210" i="1058"/>
  <c r="AC98" i="1058"/>
  <c r="AB110" i="1062"/>
  <c r="AE174" i="1059"/>
  <c r="AE169" i="1060"/>
  <c r="AE139" i="1060"/>
  <c r="AE179" i="1060"/>
  <c r="AE168" i="1060"/>
  <c r="AE132" i="1060"/>
  <c r="AE65" i="1060"/>
  <c r="AE217" i="1060"/>
  <c r="AE134" i="1060"/>
  <c r="AE131" i="1060"/>
  <c r="AE55" i="1060" s="1"/>
  <c r="AE133" i="1060"/>
  <c r="AE167" i="1060"/>
  <c r="AC71" i="1064"/>
  <c r="AC70" i="1064"/>
  <c r="AE134" i="1063"/>
  <c r="AE133" i="1063"/>
  <c r="AE132" i="1063"/>
  <c r="AE131" i="1063"/>
  <c r="AE55" i="1063" s="1"/>
  <c r="AE169" i="1063"/>
  <c r="R213" i="1064"/>
  <c r="R101" i="1064"/>
  <c r="AF101" i="1064" s="1"/>
  <c r="AF66" i="1064"/>
  <c r="AE167" i="1059"/>
  <c r="AE217" i="1059"/>
  <c r="R205" i="1061"/>
  <c r="R93" i="1061"/>
  <c r="AF93" i="1061" s="1"/>
  <c r="AF57" i="1061"/>
  <c r="R71" i="1061"/>
  <c r="AF71" i="1061" s="1"/>
  <c r="AF54" i="1061"/>
  <c r="R70" i="1061"/>
  <c r="R112" i="1061" s="1"/>
  <c r="AC212" i="1063"/>
  <c r="AC100" i="1063"/>
  <c r="AC99" i="1058"/>
  <c r="AC211" i="1058"/>
  <c r="AC140" i="1058"/>
  <c r="AE174" i="1058"/>
  <c r="AE60" i="1058"/>
  <c r="Q203" i="1060"/>
  <c r="Q91" i="1060"/>
  <c r="Q110" i="1060" s="1"/>
  <c r="AD175" i="1060"/>
  <c r="AD214" i="1059"/>
  <c r="AD102" i="1059"/>
  <c r="AD202" i="1059"/>
  <c r="AD142" i="1059"/>
  <c r="AD143" i="1059" s="1"/>
  <c r="AD90" i="1059"/>
  <c r="AD89" i="1059"/>
  <c r="AE202" i="1061"/>
  <c r="AE142" i="1061"/>
  <c r="AE143" i="1061" s="1"/>
  <c r="AE90" i="1061"/>
  <c r="AE134" i="1058"/>
  <c r="P89" i="1058"/>
  <c r="AB147" i="1064"/>
  <c r="AB145" i="1064"/>
  <c r="AB146" i="1064" s="1"/>
  <c r="AC122" i="1057"/>
  <c r="AF99" i="1058"/>
  <c r="AF102" i="1060"/>
  <c r="Q118" i="1051"/>
  <c r="AA144" i="1052"/>
  <c r="O122" i="1056"/>
  <c r="Z122" i="1056"/>
  <c r="R203" i="1062"/>
  <c r="R91" i="1062"/>
  <c r="AF91" i="1062" s="1"/>
  <c r="AF55" i="1062"/>
  <c r="R71" i="1062"/>
  <c r="AF71" i="1062" s="1"/>
  <c r="AF54" i="1062"/>
  <c r="Q126" i="1064"/>
  <c r="AD55" i="1060"/>
  <c r="AE173" i="1062"/>
  <c r="AE59" i="1062"/>
  <c r="AD210" i="1063"/>
  <c r="AD98" i="1063"/>
  <c r="AD210" i="1059"/>
  <c r="AD98" i="1059"/>
  <c r="AE165" i="1060"/>
  <c r="AE166" i="1060"/>
  <c r="AC211" i="1062"/>
  <c r="AC99" i="1062"/>
  <c r="AC140" i="1062"/>
  <c r="AC212" i="1062"/>
  <c r="AC100" i="1062"/>
  <c r="AD212" i="1064"/>
  <c r="AD100" i="1064"/>
  <c r="Z114" i="1063"/>
  <c r="Z115" i="1063" s="1"/>
  <c r="Z116" i="1063" s="1"/>
  <c r="Z126" i="1063" s="1"/>
  <c r="AD147" i="1061"/>
  <c r="AD145" i="1061"/>
  <c r="AD146" i="1061" s="1"/>
  <c r="AD148" i="1061" s="1"/>
  <c r="AD144" i="1061"/>
  <c r="AE59" i="1060"/>
  <c r="AE173" i="1060"/>
  <c r="AC117" i="1059"/>
  <c r="AE57" i="1059"/>
  <c r="AE171" i="1059"/>
  <c r="R211" i="1063"/>
  <c r="R99" i="1063"/>
  <c r="AF99" i="1063" s="1"/>
  <c r="R140" i="1063"/>
  <c r="AF63" i="1063"/>
  <c r="Q146" i="1058"/>
  <c r="Q141" i="1058"/>
  <c r="Q148" i="1058" s="1"/>
  <c r="Q219" i="1059"/>
  <c r="Q106" i="1059"/>
  <c r="Q110" i="1059" s="1"/>
  <c r="AE176" i="1060"/>
  <c r="AE62" i="1060"/>
  <c r="Q146" i="1061"/>
  <c r="Q141" i="1061"/>
  <c r="Q148" i="1061" s="1"/>
  <c r="AC212" i="1060"/>
  <c r="AC100" i="1060"/>
  <c r="AC121" i="1060"/>
  <c r="AC111" i="1060"/>
  <c r="AC112" i="1060" s="1"/>
  <c r="AE175" i="1059"/>
  <c r="AE61" i="1059"/>
  <c r="AD130" i="1058"/>
  <c r="AD164" i="1058" s="1"/>
  <c r="AD125" i="1058"/>
  <c r="AD54" i="1058"/>
  <c r="AD129" i="1058"/>
  <c r="AD163" i="1058" s="1"/>
  <c r="AD123" i="1058"/>
  <c r="AD53" i="1058"/>
  <c r="AD69" i="1058"/>
  <c r="AD216" i="1058"/>
  <c r="AD104" i="1058"/>
  <c r="AD236" i="1058"/>
  <c r="AD181" i="1058"/>
  <c r="AD180" i="1058"/>
  <c r="AD67" i="1058"/>
  <c r="AD66" i="1058"/>
  <c r="AD217" i="1058"/>
  <c r="AD179" i="1058"/>
  <c r="AD65" i="1058"/>
  <c r="AD167" i="1058"/>
  <c r="AD139" i="1058"/>
  <c r="AD168" i="1058"/>
  <c r="AE182" i="1064"/>
  <c r="AE68" i="1064"/>
  <c r="AE63" i="1059"/>
  <c r="R213" i="1057"/>
  <c r="R101" i="1057"/>
  <c r="AF101" i="1057" s="1"/>
  <c r="AF66" i="1057"/>
  <c r="R214" i="1057"/>
  <c r="R102" i="1057"/>
  <c r="AF102" i="1057" s="1"/>
  <c r="AF67" i="1057"/>
  <c r="R209" i="1060"/>
  <c r="R97" i="1060"/>
  <c r="AF97" i="1060" s="1"/>
  <c r="AF61" i="1060"/>
  <c r="AB89" i="1058"/>
  <c r="AB89" i="1062"/>
  <c r="AE60" i="1059"/>
  <c r="AC202" i="1058"/>
  <c r="AC89" i="1058"/>
  <c r="AC142" i="1058"/>
  <c r="AC143" i="1058" s="1"/>
  <c r="AC90" i="1058"/>
  <c r="AC117" i="1058"/>
  <c r="AD91" i="1058"/>
  <c r="AD203" i="1058"/>
  <c r="AE182" i="1058"/>
  <c r="AE68" i="1058"/>
  <c r="AE61" i="1060"/>
  <c r="AE175" i="1060"/>
  <c r="AD206" i="1058"/>
  <c r="AD94" i="1058"/>
  <c r="AE10" i="1063"/>
  <c r="AE175" i="1063" s="1"/>
  <c r="R149" i="1063"/>
  <c r="R214" i="1064"/>
  <c r="R102" i="1064"/>
  <c r="AF102" i="1064" s="1"/>
  <c r="AF67" i="1064"/>
  <c r="AE65" i="1059"/>
  <c r="AE55" i="1062"/>
  <c r="AD215" i="1058"/>
  <c r="AD103" i="1058"/>
  <c r="AD185" i="1058"/>
  <c r="AD184" i="1058"/>
  <c r="R202" i="1061"/>
  <c r="R90" i="1061"/>
  <c r="AG70" i="1061"/>
  <c r="R89" i="1061"/>
  <c r="R142" i="1061"/>
  <c r="R143" i="1061" s="1"/>
  <c r="AF53" i="1061"/>
  <c r="R95" i="1061"/>
  <c r="AF95" i="1061" s="1"/>
  <c r="R207" i="1061"/>
  <c r="AF59" i="1061"/>
  <c r="Q219" i="1061"/>
  <c r="Q106" i="1061"/>
  <c r="Q110" i="1061" s="1"/>
  <c r="AC202" i="1063"/>
  <c r="AC142" i="1063"/>
  <c r="AC143" i="1063" s="1"/>
  <c r="AC89" i="1063"/>
  <c r="AC90" i="1063"/>
  <c r="AC117" i="1063"/>
  <c r="AD62" i="1064"/>
  <c r="AE93" i="1060"/>
  <c r="AE205" i="1060"/>
  <c r="O144" i="1060"/>
  <c r="AA113" i="1058"/>
  <c r="AA225" i="1058" s="1"/>
  <c r="AD213" i="1059"/>
  <c r="AD101" i="1059"/>
  <c r="AD198" i="1059"/>
  <c r="AD197" i="1059"/>
  <c r="AD196" i="1059"/>
  <c r="AE214" i="1061"/>
  <c r="AE102" i="1061"/>
  <c r="AE71" i="1061"/>
  <c r="AE70" i="1061"/>
  <c r="AE89" i="1061" s="1"/>
  <c r="Q70" i="1063"/>
  <c r="Q112" i="1063" s="1"/>
  <c r="Z148" i="1060"/>
  <c r="AB112" i="1063"/>
  <c r="Q144" i="1058"/>
  <c r="O122" i="1059"/>
  <c r="R219" i="1056"/>
  <c r="R106" i="1056"/>
  <c r="AF106" i="1056" s="1"/>
  <c r="AF70" i="1056"/>
  <c r="AA128" i="1054"/>
  <c r="AA120" i="1054"/>
  <c r="AA119" i="1054"/>
  <c r="P128" i="1056"/>
  <c r="P120" i="1056"/>
  <c r="P119" i="1056"/>
  <c r="P122" i="1056" s="1"/>
  <c r="AA120" i="1053"/>
  <c r="AA119" i="1053"/>
  <c r="AA128" i="1053"/>
  <c r="AC117" i="1050"/>
  <c r="AB147" i="1053"/>
  <c r="AB145" i="1053"/>
  <c r="AB144" i="1053" s="1"/>
  <c r="R206" i="1056"/>
  <c r="R94" i="1056"/>
  <c r="AF94" i="1056" s="1"/>
  <c r="AF58" i="1056"/>
  <c r="R202" i="1056"/>
  <c r="R142" i="1056"/>
  <c r="R143" i="1056" s="1"/>
  <c r="R90" i="1056"/>
  <c r="AG70" i="1056"/>
  <c r="AF53" i="1056"/>
  <c r="R212" i="1056"/>
  <c r="R100" i="1056"/>
  <c r="AF100" i="1056" s="1"/>
  <c r="AF64" i="1056"/>
  <c r="AD207" i="1054"/>
  <c r="AD95" i="1054"/>
  <c r="AF90" i="1055"/>
  <c r="R208" i="1054"/>
  <c r="R96" i="1054"/>
  <c r="AF96" i="1054" s="1"/>
  <c r="AF60" i="1054"/>
  <c r="AB113" i="1056"/>
  <c r="AB225" i="1056" s="1"/>
  <c r="AE175" i="1056"/>
  <c r="AE61" i="1056"/>
  <c r="AE165" i="1054"/>
  <c r="AE166" i="1054"/>
  <c r="AE175" i="1054"/>
  <c r="AE61" i="1054"/>
  <c r="R94" i="1053"/>
  <c r="AF94" i="1053" s="1"/>
  <c r="R206" i="1053"/>
  <c r="AF58" i="1053"/>
  <c r="AD55" i="1054"/>
  <c r="Q141" i="1056"/>
  <c r="Q148" i="1056" s="1"/>
  <c r="AD213" i="1056"/>
  <c r="AD101" i="1056"/>
  <c r="AD202" i="1056"/>
  <c r="AD90" i="1056"/>
  <c r="AC214" i="1053"/>
  <c r="AC102" i="1053"/>
  <c r="AD125" i="1055"/>
  <c r="AD123" i="1055"/>
  <c r="AD130" i="1055"/>
  <c r="AD164" i="1055" s="1"/>
  <c r="AD69" i="1055"/>
  <c r="AD129" i="1055"/>
  <c r="AD163" i="1055" s="1"/>
  <c r="AD54" i="1055"/>
  <c r="AD53" i="1055"/>
  <c r="AD216" i="1055"/>
  <c r="AD104" i="1055"/>
  <c r="AD181" i="1055"/>
  <c r="AD180" i="1055"/>
  <c r="AD67" i="1055"/>
  <c r="AD66" i="1055"/>
  <c r="AD236" i="1055"/>
  <c r="AD100" i="1054"/>
  <c r="AD212" i="1054"/>
  <c r="AD178" i="1055"/>
  <c r="AC214" i="1054"/>
  <c r="AC102" i="1054"/>
  <c r="AC197" i="1054"/>
  <c r="AC196" i="1054"/>
  <c r="AC198" i="1054"/>
  <c r="AB219" i="1056"/>
  <c r="AB106" i="1056"/>
  <c r="AB110" i="1056" s="1"/>
  <c r="Q225" i="1056"/>
  <c r="Q113" i="1056"/>
  <c r="Q114" i="1056" s="1"/>
  <c r="Q115" i="1056" s="1"/>
  <c r="Q116" i="1056" s="1"/>
  <c r="Q126" i="1056" s="1"/>
  <c r="AA148" i="1054"/>
  <c r="AE205" i="1053"/>
  <c r="AE93" i="1053"/>
  <c r="AA144" i="1055"/>
  <c r="R196" i="1056"/>
  <c r="R197" i="1056"/>
  <c r="R198" i="1056"/>
  <c r="AE10" i="1054"/>
  <c r="R149" i="1054"/>
  <c r="P144" i="1054"/>
  <c r="AC112" i="1050"/>
  <c r="Q145" i="1053"/>
  <c r="Q146" i="1053" s="1"/>
  <c r="AE57" i="1054"/>
  <c r="AE171" i="1054"/>
  <c r="R210" i="1056"/>
  <c r="R98" i="1056"/>
  <c r="AF98" i="1056" s="1"/>
  <c r="AF62" i="1056"/>
  <c r="R211" i="1056"/>
  <c r="R99" i="1056"/>
  <c r="AF99" i="1056" s="1"/>
  <c r="R140" i="1056"/>
  <c r="AF63" i="1056"/>
  <c r="R214" i="1056"/>
  <c r="R102" i="1056"/>
  <c r="AF102" i="1056" s="1"/>
  <c r="AF67" i="1056"/>
  <c r="AE174" i="1054"/>
  <c r="AE60" i="1054"/>
  <c r="AC141" i="1054"/>
  <c r="AE178" i="1056"/>
  <c r="AE64" i="1056"/>
  <c r="AD207" i="1053"/>
  <c r="AD95" i="1053"/>
  <c r="R212" i="1053"/>
  <c r="R100" i="1053"/>
  <c r="AF100" i="1053" s="1"/>
  <c r="AF64" i="1053"/>
  <c r="R202" i="1053"/>
  <c r="R142" i="1053"/>
  <c r="R143" i="1053" s="1"/>
  <c r="R90" i="1053"/>
  <c r="AG70" i="1053"/>
  <c r="AF53" i="1053"/>
  <c r="AC203" i="1056"/>
  <c r="AC91" i="1056"/>
  <c r="AD206" i="1056"/>
  <c r="AD94" i="1056"/>
  <c r="AD211" i="1056"/>
  <c r="AD99" i="1056"/>
  <c r="AD140" i="1056"/>
  <c r="AD209" i="1053"/>
  <c r="AD97" i="1053"/>
  <c r="AE182" i="1053"/>
  <c r="AE68" i="1053"/>
  <c r="AE10" i="1055"/>
  <c r="AE61" i="1055" s="1"/>
  <c r="R149" i="1055"/>
  <c r="D235" i="1054"/>
  <c r="B124" i="1054"/>
  <c r="AC70" i="1054"/>
  <c r="AC71" i="1054"/>
  <c r="AC89" i="1054" s="1"/>
  <c r="O115" i="1053"/>
  <c r="O116" i="1053" s="1"/>
  <c r="AD55" i="1056"/>
  <c r="AD142" i="1056" s="1"/>
  <c r="AD143" i="1056" s="1"/>
  <c r="P146" i="1056"/>
  <c r="AB112" i="1055"/>
  <c r="AD129" i="1054"/>
  <c r="AD163" i="1054" s="1"/>
  <c r="AD123" i="1054"/>
  <c r="AD125" i="1054"/>
  <c r="AD54" i="1054"/>
  <c r="AD53" i="1054"/>
  <c r="AD130" i="1054"/>
  <c r="AD164" i="1054" s="1"/>
  <c r="AD69" i="1054"/>
  <c r="AD236" i="1054"/>
  <c r="AD104" i="1054"/>
  <c r="AD216" i="1054"/>
  <c r="AD67" i="1054"/>
  <c r="AD66" i="1054"/>
  <c r="AD181" i="1054"/>
  <c r="AD180" i="1054"/>
  <c r="AD63" i="1054"/>
  <c r="AC208" i="1055"/>
  <c r="AC96" i="1055"/>
  <c r="Q112" i="1055"/>
  <c r="AD205" i="1054"/>
  <c r="AD93" i="1054"/>
  <c r="D179" i="1054"/>
  <c r="B66" i="1054"/>
  <c r="Q145" i="1055"/>
  <c r="Q146" i="1055" s="1"/>
  <c r="Q144" i="1055"/>
  <c r="Q148" i="1055"/>
  <c r="Q147" i="1055"/>
  <c r="AD103" i="1054"/>
  <c r="AD215" i="1054"/>
  <c r="AD184" i="1054"/>
  <c r="AD185" i="1054"/>
  <c r="R204" i="1056"/>
  <c r="R92" i="1056"/>
  <c r="AF92" i="1056" s="1"/>
  <c r="AF56" i="1056"/>
  <c r="AD206" i="1053"/>
  <c r="AD94" i="1053"/>
  <c r="AE173" i="1053"/>
  <c r="AE59" i="1053"/>
  <c r="AB141" i="1055"/>
  <c r="AE177" i="1056"/>
  <c r="AE63" i="1056"/>
  <c r="R214" i="1053"/>
  <c r="R102" i="1053"/>
  <c r="AF102" i="1053" s="1"/>
  <c r="AF67" i="1053"/>
  <c r="R211" i="1053"/>
  <c r="R99" i="1053"/>
  <c r="AF99" i="1053" s="1"/>
  <c r="R140" i="1053"/>
  <c r="AF63" i="1053"/>
  <c r="AD212" i="1056"/>
  <c r="AD100" i="1056"/>
  <c r="Q110" i="1056"/>
  <c r="Q128" i="1056" s="1"/>
  <c r="R121" i="1053"/>
  <c r="AF121" i="1053" s="1"/>
  <c r="R111" i="1053"/>
  <c r="AF123" i="1053"/>
  <c r="AC202" i="1054"/>
  <c r="AC142" i="1054"/>
  <c r="AC143" i="1054" s="1"/>
  <c r="AC90" i="1054"/>
  <c r="AC117" i="1054"/>
  <c r="AB219" i="1053"/>
  <c r="AB106" i="1053"/>
  <c r="AD208" i="1056"/>
  <c r="AD96" i="1056"/>
  <c r="AE182" i="1056"/>
  <c r="AE68" i="1056"/>
  <c r="AD207" i="1056"/>
  <c r="AD95" i="1056"/>
  <c r="Q219" i="1053"/>
  <c r="Q106" i="1053"/>
  <c r="Q110" i="1053" s="1"/>
  <c r="AE176" i="1055"/>
  <c r="D179" i="1053"/>
  <c r="B66" i="1053"/>
  <c r="AE10" i="1053"/>
  <c r="AE177" i="1053" s="1"/>
  <c r="R149" i="1053"/>
  <c r="AC117" i="1056"/>
  <c r="O122" i="1054"/>
  <c r="P146" i="1051"/>
  <c r="AA144" i="1051"/>
  <c r="AB219" i="1055"/>
  <c r="AB106" i="1055"/>
  <c r="AC202" i="1055"/>
  <c r="AC142" i="1055"/>
  <c r="AC143" i="1055" s="1"/>
  <c r="AC90" i="1055"/>
  <c r="D179" i="1056"/>
  <c r="B66" i="1056"/>
  <c r="R208" i="1056"/>
  <c r="R96" i="1056"/>
  <c r="AF96" i="1056" s="1"/>
  <c r="AF60" i="1056"/>
  <c r="AD210" i="1056"/>
  <c r="AD98" i="1056"/>
  <c r="AB117" i="1055"/>
  <c r="AA114" i="1053"/>
  <c r="AA115" i="1053" s="1"/>
  <c r="AA116" i="1053" s="1"/>
  <c r="AA126" i="1053" s="1"/>
  <c r="AD205" i="1056"/>
  <c r="AD93" i="1056"/>
  <c r="Q219" i="1055"/>
  <c r="Q106" i="1055"/>
  <c r="Q110" i="1055" s="1"/>
  <c r="AE172" i="1056"/>
  <c r="AE58" i="1056"/>
  <c r="AB145" i="1056"/>
  <c r="AB146" i="1056" s="1"/>
  <c r="R215" i="1053"/>
  <c r="R103" i="1053"/>
  <c r="AF103" i="1053" s="1"/>
  <c r="R184" i="1053"/>
  <c r="R185" i="1053"/>
  <c r="AF68" i="1053"/>
  <c r="R92" i="1053"/>
  <c r="AF92" i="1053" s="1"/>
  <c r="R204" i="1053"/>
  <c r="AF56" i="1053"/>
  <c r="AD111" i="1056"/>
  <c r="AD121" i="1056"/>
  <c r="AC212" i="1053"/>
  <c r="AC100" i="1053"/>
  <c r="AC111" i="1053"/>
  <c r="AC121" i="1053"/>
  <c r="AB146" i="1053"/>
  <c r="AB141" i="1053"/>
  <c r="D235" i="1056"/>
  <c r="B124" i="1056"/>
  <c r="Q147" i="1056"/>
  <c r="Q145" i="1056"/>
  <c r="R198" i="1053"/>
  <c r="R196" i="1053"/>
  <c r="R197" i="1053"/>
  <c r="AA144" i="1053"/>
  <c r="AE55" i="1053"/>
  <c r="AE174" i="1055"/>
  <c r="AE60" i="1055"/>
  <c r="AE165" i="1053"/>
  <c r="AE169" i="1053" s="1"/>
  <c r="AE166" i="1053"/>
  <c r="Z114" i="1055"/>
  <c r="Z115" i="1055" s="1"/>
  <c r="Z116" i="1055" s="1"/>
  <c r="Z126" i="1055" s="1"/>
  <c r="P119" i="1054"/>
  <c r="P122" i="1054" s="1"/>
  <c r="P128" i="1054"/>
  <c r="P120" i="1054"/>
  <c r="AE217" i="1056"/>
  <c r="AE139" i="1056"/>
  <c r="AE179" i="1056"/>
  <c r="AE168" i="1056"/>
  <c r="AE132" i="1056"/>
  <c r="AE169" i="1056"/>
  <c r="AE134" i="1056"/>
  <c r="AE133" i="1056"/>
  <c r="AE131" i="1056"/>
  <c r="AE167" i="1056"/>
  <c r="AE65" i="1056"/>
  <c r="AF90" i="1054"/>
  <c r="R211" i="1054"/>
  <c r="R99" i="1054"/>
  <c r="AF99" i="1054" s="1"/>
  <c r="R140" i="1054"/>
  <c r="AF63" i="1054"/>
  <c r="AE132" i="1054"/>
  <c r="AE217" i="1054"/>
  <c r="AE169" i="1054"/>
  <c r="AE139" i="1054"/>
  <c r="AE168" i="1054"/>
  <c r="AE167" i="1054"/>
  <c r="AE134" i="1054"/>
  <c r="AE131" i="1054"/>
  <c r="AE65" i="1054"/>
  <c r="AE133" i="1054"/>
  <c r="AE179" i="1054"/>
  <c r="AE172" i="1055"/>
  <c r="AE58" i="1055"/>
  <c r="AE176" i="1056"/>
  <c r="AE62" i="1056"/>
  <c r="AD61" i="1055"/>
  <c r="AC89" i="1056"/>
  <c r="AF100" i="1054"/>
  <c r="AC214" i="1055"/>
  <c r="AC102" i="1055"/>
  <c r="AC70" i="1055"/>
  <c r="AC71" i="1055"/>
  <c r="AA113" i="1055"/>
  <c r="AA225" i="1055" s="1"/>
  <c r="AA114" i="1055"/>
  <c r="AA115" i="1055" s="1"/>
  <c r="AA116" i="1055" s="1"/>
  <c r="AA126" i="1055" s="1"/>
  <c r="R203" i="1056"/>
  <c r="R91" i="1056"/>
  <c r="AF91" i="1056" s="1"/>
  <c r="AF55" i="1056"/>
  <c r="R213" i="1056"/>
  <c r="R101" i="1056"/>
  <c r="AF101" i="1056" s="1"/>
  <c r="AF66" i="1056"/>
  <c r="P225" i="1056"/>
  <c r="P113" i="1056"/>
  <c r="P114" i="1056" s="1"/>
  <c r="AB110" i="1055"/>
  <c r="AD206" i="1054"/>
  <c r="AD94" i="1054"/>
  <c r="AE182" i="1054"/>
  <c r="AE68" i="1054"/>
  <c r="AE173" i="1054"/>
  <c r="AE59" i="1054"/>
  <c r="R55" i="1055"/>
  <c r="AC219" i="1056"/>
  <c r="AC106" i="1056"/>
  <c r="AE175" i="1053"/>
  <c r="AE61" i="1053"/>
  <c r="R71" i="1053"/>
  <c r="AF71" i="1053" s="1"/>
  <c r="AF54" i="1053"/>
  <c r="R70" i="1053"/>
  <c r="R203" i="1053"/>
  <c r="R91" i="1053"/>
  <c r="AF91" i="1053" s="1"/>
  <c r="AF55" i="1053"/>
  <c r="R208" i="1053"/>
  <c r="R96" i="1053"/>
  <c r="AF96" i="1053" s="1"/>
  <c r="AF60" i="1053"/>
  <c r="AE64" i="1054"/>
  <c r="AE178" i="1054"/>
  <c r="D179" i="1055"/>
  <c r="B66" i="1055"/>
  <c r="AF71" i="1055"/>
  <c r="AD197" i="1056"/>
  <c r="AD196" i="1056"/>
  <c r="AD198" i="1056"/>
  <c r="AC197" i="1053"/>
  <c r="AC196" i="1053"/>
  <c r="AC198" i="1053"/>
  <c r="AE172" i="1054"/>
  <c r="AE58" i="1054"/>
  <c r="AD208" i="1055"/>
  <c r="AD96" i="1055"/>
  <c r="AC112" i="1056"/>
  <c r="AF96" i="1055"/>
  <c r="AB113" i="1054"/>
  <c r="AB225" i="1054" s="1"/>
  <c r="R55" i="1054"/>
  <c r="AD129" i="1053"/>
  <c r="AD163" i="1053" s="1"/>
  <c r="AD123" i="1053"/>
  <c r="AD69" i="1053"/>
  <c r="AD54" i="1053"/>
  <c r="AD125" i="1053"/>
  <c r="AD130" i="1053"/>
  <c r="AD164" i="1053" s="1"/>
  <c r="AD53" i="1053"/>
  <c r="AD216" i="1053"/>
  <c r="AD104" i="1053"/>
  <c r="AD66" i="1053"/>
  <c r="AD181" i="1053"/>
  <c r="AD180" i="1053"/>
  <c r="AD67" i="1053"/>
  <c r="AD140" i="1053" s="1"/>
  <c r="AD236" i="1053"/>
  <c r="AD174" i="1053"/>
  <c r="AD60" i="1053"/>
  <c r="AD179" i="1053"/>
  <c r="AD64" i="1053"/>
  <c r="AD168" i="1053"/>
  <c r="AD167" i="1053"/>
  <c r="AD65" i="1053"/>
  <c r="AD176" i="1053"/>
  <c r="AD217" i="1053"/>
  <c r="AD139" i="1053"/>
  <c r="AD62" i="1053"/>
  <c r="AD178" i="1053"/>
  <c r="AD175" i="1055"/>
  <c r="AE58" i="1053"/>
  <c r="AE172" i="1053"/>
  <c r="AC110" i="1056"/>
  <c r="Q144" i="1054"/>
  <c r="Z122" i="1054"/>
  <c r="AA147" i="1051"/>
  <c r="AC197" i="1055"/>
  <c r="AC196" i="1055"/>
  <c r="AC198" i="1055"/>
  <c r="AA128" i="1055"/>
  <c r="AA120" i="1055"/>
  <c r="AA119" i="1055"/>
  <c r="R215" i="1056"/>
  <c r="R103" i="1056"/>
  <c r="AF103" i="1056" s="1"/>
  <c r="R185" i="1056"/>
  <c r="R184" i="1056"/>
  <c r="AF68" i="1056"/>
  <c r="AE173" i="1055"/>
  <c r="AE59" i="1055"/>
  <c r="AB145" i="1055"/>
  <c r="AB146" i="1055" s="1"/>
  <c r="AC141" i="1053"/>
  <c r="AC203" i="1054"/>
  <c r="AC91" i="1054"/>
  <c r="R98" i="1054"/>
  <c r="AF98" i="1054" s="1"/>
  <c r="R210" i="1054"/>
  <c r="AF62" i="1054"/>
  <c r="R207" i="1053"/>
  <c r="R95" i="1053"/>
  <c r="AF95" i="1053" s="1"/>
  <c r="AF59" i="1053"/>
  <c r="R213" i="1053"/>
  <c r="R101" i="1053"/>
  <c r="AF101" i="1053" s="1"/>
  <c r="AF66" i="1053"/>
  <c r="AC96" i="1053"/>
  <c r="AC208" i="1053"/>
  <c r="AC141" i="1056"/>
  <c r="AD209" i="1054"/>
  <c r="AD97" i="1054"/>
  <c r="AE173" i="1056"/>
  <c r="AE59" i="1056"/>
  <c r="AC121" i="1054"/>
  <c r="AC111" i="1054"/>
  <c r="AC112" i="1054" s="1"/>
  <c r="D236" i="1055"/>
  <c r="B125" i="1055"/>
  <c r="P225" i="1054"/>
  <c r="P113" i="1054"/>
  <c r="P114" i="1054" s="1"/>
  <c r="P219" i="1055"/>
  <c r="P106" i="1055"/>
  <c r="P110" i="1055" s="1"/>
  <c r="AD206" i="1055"/>
  <c r="AD94" i="1055"/>
  <c r="D236" i="1053"/>
  <c r="B125" i="1053"/>
  <c r="AA113" i="1054"/>
  <c r="AA225" i="1054" s="1"/>
  <c r="AA114" i="1054"/>
  <c r="AA115" i="1054" s="1"/>
  <c r="AA116" i="1054" s="1"/>
  <c r="AA126" i="1054" s="1"/>
  <c r="Q141" i="1053"/>
  <c r="Q148" i="1053" s="1"/>
  <c r="Q219" i="1054"/>
  <c r="Q106" i="1054"/>
  <c r="Q110" i="1054" s="1"/>
  <c r="Q112" i="1054"/>
  <c r="AE177" i="1054"/>
  <c r="AE63" i="1054"/>
  <c r="R211" i="1055"/>
  <c r="R99" i="1055"/>
  <c r="AF99" i="1055" s="1"/>
  <c r="R140" i="1055"/>
  <c r="AF63" i="1055"/>
  <c r="AC142" i="1056"/>
  <c r="AC143" i="1056" s="1"/>
  <c r="O122" i="1053"/>
  <c r="AE171" i="1056"/>
  <c r="AE57" i="1056"/>
  <c r="R205" i="1056"/>
  <c r="R93" i="1056"/>
  <c r="AF93" i="1056" s="1"/>
  <c r="AF57" i="1056"/>
  <c r="R71" i="1056"/>
  <c r="AF71" i="1056" s="1"/>
  <c r="AF54" i="1056"/>
  <c r="AB89" i="1055"/>
  <c r="AD211" i="1053"/>
  <c r="AD99" i="1053"/>
  <c r="P128" i="1053"/>
  <c r="P120" i="1053"/>
  <c r="P119" i="1053"/>
  <c r="AE217" i="1055"/>
  <c r="AE179" i="1055"/>
  <c r="AE168" i="1055"/>
  <c r="AE139" i="1055"/>
  <c r="AE167" i="1055"/>
  <c r="AE133" i="1055"/>
  <c r="AE132" i="1055"/>
  <c r="AE134" i="1055"/>
  <c r="AE131" i="1055"/>
  <c r="AE65" i="1055"/>
  <c r="AB141" i="1054"/>
  <c r="AD96" i="1054"/>
  <c r="AD208" i="1054"/>
  <c r="R210" i="1053"/>
  <c r="R98" i="1053"/>
  <c r="AF98" i="1053" s="1"/>
  <c r="AF62" i="1053"/>
  <c r="R205" i="1053"/>
  <c r="R93" i="1053"/>
  <c r="AF93" i="1053" s="1"/>
  <c r="AF57" i="1053"/>
  <c r="AB114" i="1053"/>
  <c r="AB115" i="1053" s="1"/>
  <c r="AB116" i="1053" s="1"/>
  <c r="AB126" i="1053" s="1"/>
  <c r="AB113" i="1053"/>
  <c r="AB225" i="1053" s="1"/>
  <c r="AD71" i="1056"/>
  <c r="AD70" i="1056"/>
  <c r="AE130" i="1056"/>
  <c r="AE164" i="1056" s="1"/>
  <c r="AE123" i="1056"/>
  <c r="AE53" i="1056"/>
  <c r="AE69" i="1056"/>
  <c r="AE129" i="1056"/>
  <c r="AE163" i="1056" s="1"/>
  <c r="AE125" i="1056"/>
  <c r="AE54" i="1056"/>
  <c r="AE104" i="1056"/>
  <c r="AE216" i="1056"/>
  <c r="AE66" i="1056"/>
  <c r="AE181" i="1056"/>
  <c r="AE180" i="1056"/>
  <c r="AE236" i="1056"/>
  <c r="AE67" i="1056"/>
  <c r="AC202" i="1053"/>
  <c r="AC142" i="1053"/>
  <c r="AC143" i="1053" s="1"/>
  <c r="AC90" i="1053"/>
  <c r="AC89" i="1053"/>
  <c r="M126" i="1056"/>
  <c r="R206" i="1054"/>
  <c r="R94" i="1054"/>
  <c r="AF94" i="1054" s="1"/>
  <c r="AF58" i="1054"/>
  <c r="AE174" i="1056"/>
  <c r="AE60" i="1056"/>
  <c r="AC211" i="1055"/>
  <c r="AC99" i="1055"/>
  <c r="AC140" i="1055"/>
  <c r="AC213" i="1054"/>
  <c r="AC101" i="1054"/>
  <c r="AD215" i="1053"/>
  <c r="AD103" i="1053"/>
  <c r="AD184" i="1053"/>
  <c r="AD185" i="1053"/>
  <c r="AD205" i="1055"/>
  <c r="AD93" i="1055"/>
  <c r="AD62" i="1055"/>
  <c r="AE171" i="1055"/>
  <c r="AE57" i="1055"/>
  <c r="AD215" i="1056"/>
  <c r="AD103" i="1056"/>
  <c r="AD185" i="1056"/>
  <c r="AD184" i="1056"/>
  <c r="P148" i="1055"/>
  <c r="P145" i="1055"/>
  <c r="P146" i="1055" s="1"/>
  <c r="P144" i="1055"/>
  <c r="R70" i="1054"/>
  <c r="AD62" i="1054"/>
  <c r="AB219" i="1054"/>
  <c r="AB106" i="1054"/>
  <c r="AB110" i="1054" s="1"/>
  <c r="AE177" i="1055"/>
  <c r="AE63" i="1055"/>
  <c r="N126" i="1055"/>
  <c r="AC44" i="1055"/>
  <c r="AC86" i="1055" s="1"/>
  <c r="P86" i="1055"/>
  <c r="P112" i="1055" s="1"/>
  <c r="AC213" i="1055"/>
  <c r="AC101" i="1055"/>
  <c r="AC121" i="1055"/>
  <c r="AC111" i="1055"/>
  <c r="AB110" i="1053"/>
  <c r="AA120" i="1056"/>
  <c r="AA128" i="1056"/>
  <c r="AA119" i="1056"/>
  <c r="AB145" i="1054"/>
  <c r="AB147" i="1054" s="1"/>
  <c r="R209" i="1056"/>
  <c r="R97" i="1056"/>
  <c r="AF97" i="1056" s="1"/>
  <c r="AF61" i="1056"/>
  <c r="R207" i="1056"/>
  <c r="R95" i="1056"/>
  <c r="AF95" i="1056" s="1"/>
  <c r="AF59" i="1056"/>
  <c r="AD211" i="1055"/>
  <c r="AD99" i="1055"/>
  <c r="AC44" i="1053"/>
  <c r="AC86" i="1053" s="1"/>
  <c r="P86" i="1053"/>
  <c r="R209" i="1053"/>
  <c r="R97" i="1053"/>
  <c r="AF97" i="1053" s="1"/>
  <c r="AF61" i="1053"/>
  <c r="AE215" i="1055"/>
  <c r="AE103" i="1055"/>
  <c r="AE184" i="1055"/>
  <c r="AE185" i="1055"/>
  <c r="AD55" i="1055"/>
  <c r="AD214" i="1056"/>
  <c r="AD102" i="1056"/>
  <c r="AC210" i="1053"/>
  <c r="AC98" i="1053"/>
  <c r="AC213" i="1053"/>
  <c r="AC101" i="1053"/>
  <c r="AC70" i="1053"/>
  <c r="AC117" i="1053" s="1"/>
  <c r="AC71" i="1053"/>
  <c r="AD209" i="1056"/>
  <c r="AD97" i="1056"/>
  <c r="Q225" i="1053"/>
  <c r="Q113" i="1053"/>
  <c r="Q114" i="1053"/>
  <c r="Q115" i="1053" s="1"/>
  <c r="Q116" i="1053" s="1"/>
  <c r="Q126" i="1053" s="1"/>
  <c r="AD64" i="1055"/>
  <c r="AD140" i="1055" s="1"/>
  <c r="AD176" i="1055"/>
  <c r="AB117" i="1056"/>
  <c r="AE165" i="1055"/>
  <c r="AE169" i="1055" s="1"/>
  <c r="AE166" i="1055"/>
  <c r="P89" i="1055"/>
  <c r="R71" i="1054"/>
  <c r="AF71" i="1054" s="1"/>
  <c r="AD176" i="1054"/>
  <c r="R111" i="1056"/>
  <c r="R121" i="1056"/>
  <c r="AF121" i="1056" s="1"/>
  <c r="AF123" i="1056"/>
  <c r="AE176" i="1054"/>
  <c r="AE62" i="1054"/>
  <c r="AD207" i="1055"/>
  <c r="AD95" i="1055"/>
  <c r="P120" i="1051"/>
  <c r="P119" i="1051"/>
  <c r="P128" i="1051"/>
  <c r="R203" i="1051"/>
  <c r="R91" i="1051"/>
  <c r="AF91" i="1051" s="1"/>
  <c r="AF55" i="1051"/>
  <c r="AD208" i="1052"/>
  <c r="AD96" i="1052"/>
  <c r="AC209" i="1052"/>
  <c r="AC97" i="1052"/>
  <c r="R215" i="1051"/>
  <c r="R103" i="1051"/>
  <c r="AF103" i="1051" s="1"/>
  <c r="R184" i="1051"/>
  <c r="R185" i="1051"/>
  <c r="AF68" i="1051"/>
  <c r="R213" i="1051"/>
  <c r="R101" i="1051"/>
  <c r="AF101" i="1051" s="1"/>
  <c r="AF66" i="1051"/>
  <c r="AD207" i="1052"/>
  <c r="AD95" i="1052"/>
  <c r="AC140" i="1052"/>
  <c r="AB148" i="1051"/>
  <c r="AD215" i="1052"/>
  <c r="AD103" i="1052"/>
  <c r="AD185" i="1052"/>
  <c r="AD184" i="1052"/>
  <c r="AD179" i="1052"/>
  <c r="AE182" i="1052"/>
  <c r="AE68" i="1052"/>
  <c r="R205" i="1051"/>
  <c r="R93" i="1051"/>
  <c r="AF93" i="1051" s="1"/>
  <c r="AF57" i="1051"/>
  <c r="M126" i="1051"/>
  <c r="Q141" i="1051"/>
  <c r="AC213" i="1052"/>
  <c r="AC101" i="1052"/>
  <c r="P219" i="1052"/>
  <c r="P106" i="1052"/>
  <c r="AA113" i="1051"/>
  <c r="AA225" i="1051" s="1"/>
  <c r="AC212" i="1052"/>
  <c r="AC100" i="1052"/>
  <c r="AD61" i="1052"/>
  <c r="R202" i="1051"/>
  <c r="R142" i="1051"/>
  <c r="R143" i="1051" s="1"/>
  <c r="R90" i="1051"/>
  <c r="AG70" i="1051"/>
  <c r="AF53" i="1051"/>
  <c r="R207" i="1051"/>
  <c r="R95" i="1051"/>
  <c r="AF95" i="1051" s="1"/>
  <c r="AF59" i="1051"/>
  <c r="R209" i="1051"/>
  <c r="R97" i="1051"/>
  <c r="AF97" i="1051" s="1"/>
  <c r="AF61" i="1051"/>
  <c r="AE212" i="1051"/>
  <c r="AE100" i="1051"/>
  <c r="AD213" i="1051"/>
  <c r="AD101" i="1051"/>
  <c r="AD202" i="1051"/>
  <c r="AD142" i="1051"/>
  <c r="AD143" i="1051" s="1"/>
  <c r="AD90" i="1051"/>
  <c r="AD206" i="1052"/>
  <c r="AD94" i="1052"/>
  <c r="AD139" i="1052"/>
  <c r="Z122" i="1052"/>
  <c r="AE172" i="1051"/>
  <c r="AE58" i="1051"/>
  <c r="D235" i="1051"/>
  <c r="B124" i="1051"/>
  <c r="AE211" i="1051"/>
  <c r="AE99" i="1051"/>
  <c r="R55" i="1052"/>
  <c r="AD205" i="1052"/>
  <c r="AD93" i="1052"/>
  <c r="AE215" i="1051"/>
  <c r="AE103" i="1051"/>
  <c r="AE184" i="1051"/>
  <c r="AE185" i="1051"/>
  <c r="AE175" i="1051"/>
  <c r="AD63" i="1052"/>
  <c r="AA120" i="1051"/>
  <c r="AA128" i="1051"/>
  <c r="AA119" i="1051"/>
  <c r="R214" i="1051"/>
  <c r="R102" i="1051"/>
  <c r="AF102" i="1051" s="1"/>
  <c r="AF67" i="1051"/>
  <c r="AC214" i="1052"/>
  <c r="AC102" i="1052"/>
  <c r="AD174" i="1052"/>
  <c r="AD65" i="1052"/>
  <c r="AE134" i="1052"/>
  <c r="AE179" i="1052"/>
  <c r="AE133" i="1052"/>
  <c r="AE167" i="1052"/>
  <c r="AE131" i="1052"/>
  <c r="AE132" i="1052"/>
  <c r="Z114" i="1052"/>
  <c r="Z115" i="1052" s="1"/>
  <c r="Z116" i="1052" s="1"/>
  <c r="Z126" i="1052" s="1"/>
  <c r="AF90" i="1052"/>
  <c r="AE209" i="1051"/>
  <c r="AE97" i="1051"/>
  <c r="AE10" i="1052"/>
  <c r="R149" i="1052"/>
  <c r="AE207" i="1051"/>
  <c r="AE95" i="1051"/>
  <c r="P117" i="1052"/>
  <c r="AF117" i="1052" s="1"/>
  <c r="P44" i="1052" s="1"/>
  <c r="AE177" i="1052"/>
  <c r="AE63" i="1052"/>
  <c r="R207" i="1052"/>
  <c r="R95" i="1052"/>
  <c r="AF95" i="1052" s="1"/>
  <c r="AF59" i="1052"/>
  <c r="AD175" i="1052"/>
  <c r="AB110" i="1052"/>
  <c r="R212" i="1051"/>
  <c r="R100" i="1051"/>
  <c r="AF100" i="1051" s="1"/>
  <c r="AF64" i="1051"/>
  <c r="AB119" i="1051"/>
  <c r="AB128" i="1051"/>
  <c r="AB120" i="1051"/>
  <c r="AD214" i="1051"/>
  <c r="AD102" i="1051"/>
  <c r="AD71" i="1051"/>
  <c r="AD70" i="1051"/>
  <c r="AD118" i="1051" s="1"/>
  <c r="AD168" i="1052"/>
  <c r="AD217" i="1052"/>
  <c r="Q112" i="1051"/>
  <c r="AC71" i="1052"/>
  <c r="AC70" i="1052"/>
  <c r="R111" i="1051"/>
  <c r="R121" i="1051"/>
  <c r="AF121" i="1051" s="1"/>
  <c r="AF123" i="1051"/>
  <c r="AB219" i="1052"/>
  <c r="AB106" i="1052"/>
  <c r="AE166" i="1052"/>
  <c r="AE165" i="1052"/>
  <c r="AE169" i="1052" s="1"/>
  <c r="AC141" i="1051"/>
  <c r="Q89" i="1050"/>
  <c r="P145" i="1052"/>
  <c r="P146" i="1052" s="1"/>
  <c r="P148" i="1052"/>
  <c r="AD210" i="1051"/>
  <c r="AD98" i="1051"/>
  <c r="AA119" i="1052"/>
  <c r="AA120" i="1052"/>
  <c r="AA128" i="1052"/>
  <c r="AB113" i="1052"/>
  <c r="AB225" i="1052" s="1"/>
  <c r="AD206" i="1051"/>
  <c r="AD94" i="1051"/>
  <c r="AB145" i="1052"/>
  <c r="AB144" i="1052" s="1"/>
  <c r="AC203" i="1052"/>
  <c r="AC91" i="1052"/>
  <c r="D179" i="1052"/>
  <c r="B66" i="1052"/>
  <c r="R99" i="1051"/>
  <c r="AF99" i="1051" s="1"/>
  <c r="R211" i="1051"/>
  <c r="R140" i="1051"/>
  <c r="AF63" i="1051"/>
  <c r="R206" i="1051"/>
  <c r="R94" i="1051"/>
  <c r="AF94" i="1051" s="1"/>
  <c r="AF58" i="1051"/>
  <c r="AE171" i="1051"/>
  <c r="AE57" i="1051"/>
  <c r="AD198" i="1051"/>
  <c r="AD197" i="1051"/>
  <c r="AD196" i="1051"/>
  <c r="P86" i="1051"/>
  <c r="AC44" i="1051"/>
  <c r="AC86" i="1051" s="1"/>
  <c r="Q219" i="1052"/>
  <c r="Q106" i="1052"/>
  <c r="AC142" i="1052"/>
  <c r="AC143" i="1052" s="1"/>
  <c r="AC202" i="1052"/>
  <c r="AC90" i="1052"/>
  <c r="AE171" i="1052"/>
  <c r="AE57" i="1052"/>
  <c r="AC210" i="1052"/>
  <c r="AC98" i="1052"/>
  <c r="AE173" i="1052"/>
  <c r="AE59" i="1052"/>
  <c r="AD123" i="1052"/>
  <c r="AD129" i="1052"/>
  <c r="AD163" i="1052" s="1"/>
  <c r="AD130" i="1052"/>
  <c r="AD164" i="1052" s="1"/>
  <c r="AD125" i="1052"/>
  <c r="AD54" i="1052"/>
  <c r="AD53" i="1052"/>
  <c r="AD69" i="1052"/>
  <c r="AD180" i="1052"/>
  <c r="AD66" i="1052"/>
  <c r="AD67" i="1052"/>
  <c r="AD181" i="1052"/>
  <c r="AD236" i="1052"/>
  <c r="AD104" i="1052"/>
  <c r="AD216" i="1052"/>
  <c r="AD177" i="1052"/>
  <c r="R71" i="1051"/>
  <c r="AF71" i="1051" s="1"/>
  <c r="AF54" i="1051"/>
  <c r="Q219" i="1051"/>
  <c r="Q106" i="1051"/>
  <c r="Q110" i="1051" s="1"/>
  <c r="D235" i="1052"/>
  <c r="B124" i="1052"/>
  <c r="AD208" i="1051"/>
  <c r="AD96" i="1051"/>
  <c r="P89" i="1050"/>
  <c r="AE210" i="1051"/>
  <c r="AE98" i="1051"/>
  <c r="AE165" i="1051"/>
  <c r="AE169" i="1051" s="1"/>
  <c r="AE166" i="1051"/>
  <c r="AE133" i="1051"/>
  <c r="AE131" i="1051"/>
  <c r="AE132" i="1051"/>
  <c r="AE134" i="1051"/>
  <c r="R212" i="1052"/>
  <c r="R100" i="1052"/>
  <c r="AF100" i="1052" s="1"/>
  <c r="AF64" i="1052"/>
  <c r="AA113" i="1052"/>
  <c r="AA225" i="1052" s="1"/>
  <c r="R209" i="1052"/>
  <c r="R97" i="1052"/>
  <c r="AF97" i="1052" s="1"/>
  <c r="AF61" i="1052"/>
  <c r="R221" i="1051"/>
  <c r="R109" i="1051"/>
  <c r="R70" i="1051"/>
  <c r="R204" i="1051"/>
  <c r="R92" i="1051"/>
  <c r="AF92" i="1051" s="1"/>
  <c r="AF56" i="1051"/>
  <c r="R210" i="1051"/>
  <c r="R98" i="1051"/>
  <c r="AF98" i="1051" s="1"/>
  <c r="AF62" i="1051"/>
  <c r="AD121" i="1051"/>
  <c r="AD111" i="1051"/>
  <c r="AD55" i="1052"/>
  <c r="AB113" i="1051"/>
  <c r="AB225" i="1051" s="1"/>
  <c r="AE130" i="1051"/>
  <c r="AE164" i="1051" s="1"/>
  <c r="AE129" i="1051"/>
  <c r="AE163" i="1051" s="1"/>
  <c r="AE125" i="1051"/>
  <c r="AE54" i="1051"/>
  <c r="AE53" i="1051"/>
  <c r="AE69" i="1051"/>
  <c r="AE123" i="1051"/>
  <c r="AE104" i="1051"/>
  <c r="AE216" i="1051"/>
  <c r="AE180" i="1051"/>
  <c r="AE236" i="1051"/>
  <c r="AE66" i="1051"/>
  <c r="AE67" i="1051"/>
  <c r="AE181" i="1051"/>
  <c r="AE179" i="1051"/>
  <c r="AE217" i="1051"/>
  <c r="AE139" i="1051"/>
  <c r="AE65" i="1051"/>
  <c r="AE168" i="1051"/>
  <c r="AE167" i="1051"/>
  <c r="AE60" i="1051"/>
  <c r="AE178" i="1052"/>
  <c r="AE64" i="1052"/>
  <c r="AE172" i="1052"/>
  <c r="AE58" i="1052"/>
  <c r="AD203" i="1051"/>
  <c r="AD91" i="1051"/>
  <c r="AD62" i="1052"/>
  <c r="R140" i="1052"/>
  <c r="N122" i="1052"/>
  <c r="AD209" i="1051"/>
  <c r="AD97" i="1051"/>
  <c r="AC198" i="1052"/>
  <c r="AC196" i="1052"/>
  <c r="AC197" i="1052"/>
  <c r="D179" i="1051"/>
  <c r="B66" i="1051"/>
  <c r="Q148" i="1051"/>
  <c r="Q145" i="1051"/>
  <c r="Q146" i="1051" s="1"/>
  <c r="AC203" i="1051"/>
  <c r="AC91" i="1051"/>
  <c r="AE176" i="1052"/>
  <c r="AE62" i="1052"/>
  <c r="AA122" i="1050"/>
  <c r="AC70" i="1051"/>
  <c r="AC112" i="1051" s="1"/>
  <c r="P110" i="1052"/>
  <c r="AC142" i="1051"/>
  <c r="AC143" i="1051" s="1"/>
  <c r="Q89" i="1051"/>
  <c r="Q203" i="1052"/>
  <c r="Q91" i="1052"/>
  <c r="Q142" i="1052"/>
  <c r="Q143" i="1052" s="1"/>
  <c r="Q118" i="1052"/>
  <c r="Q89" i="1052"/>
  <c r="Q112" i="1052"/>
  <c r="AD93" i="1051"/>
  <c r="AD205" i="1051"/>
  <c r="R208" i="1051"/>
  <c r="R96" i="1051"/>
  <c r="AF96" i="1051" s="1"/>
  <c r="AF60" i="1051"/>
  <c r="AB141" i="1052"/>
  <c r="AB146" i="1052"/>
  <c r="R206" i="1052"/>
  <c r="R94" i="1052"/>
  <c r="AF94" i="1052" s="1"/>
  <c r="AF58" i="1052"/>
  <c r="AD64" i="1052"/>
  <c r="AE61" i="1052"/>
  <c r="AE175" i="1052"/>
  <c r="AE174" i="1051"/>
  <c r="AC121" i="1052"/>
  <c r="AC111" i="1052"/>
  <c r="R197" i="1051"/>
  <c r="R196" i="1051"/>
  <c r="R198" i="1051"/>
  <c r="AD211" i="1051"/>
  <c r="AD99" i="1051"/>
  <c r="AD140" i="1051"/>
  <c r="O122" i="1051"/>
  <c r="AD176" i="1052"/>
  <c r="R203" i="1050"/>
  <c r="R91" i="1050"/>
  <c r="AF91" i="1050" s="1"/>
  <c r="AF55" i="1050"/>
  <c r="P225" i="1050"/>
  <c r="P113" i="1050"/>
  <c r="P114" i="1050" s="1"/>
  <c r="P115" i="1050" s="1"/>
  <c r="P116" i="1050" s="1"/>
  <c r="O115" i="1050"/>
  <c r="O116" i="1050" s="1"/>
  <c r="O126" i="1050" s="1"/>
  <c r="AE208" i="1050"/>
  <c r="AE96" i="1050"/>
  <c r="R207" i="1050"/>
  <c r="R95" i="1050"/>
  <c r="AF95" i="1050" s="1"/>
  <c r="AF59" i="1050"/>
  <c r="AE172" i="1050"/>
  <c r="AE58" i="1050"/>
  <c r="R202" i="1050"/>
  <c r="R142" i="1050"/>
  <c r="R143" i="1050" s="1"/>
  <c r="R90" i="1050"/>
  <c r="AG70" i="1050"/>
  <c r="AF53" i="1050"/>
  <c r="R212" i="1050"/>
  <c r="R100" i="1050"/>
  <c r="AF100" i="1050" s="1"/>
  <c r="AF64" i="1050"/>
  <c r="Q145" i="1050"/>
  <c r="Q147" i="1050" s="1"/>
  <c r="M126" i="1050"/>
  <c r="R111" i="1050"/>
  <c r="R121" i="1050"/>
  <c r="AF121" i="1050" s="1"/>
  <c r="AF123" i="1050"/>
  <c r="D179" i="1050"/>
  <c r="B66" i="1050"/>
  <c r="AB145" i="1050"/>
  <c r="AB146" i="1050" s="1"/>
  <c r="R211" i="1050"/>
  <c r="R99" i="1050"/>
  <c r="AF99" i="1050" s="1"/>
  <c r="R140" i="1050"/>
  <c r="AF63" i="1050"/>
  <c r="AD212" i="1050"/>
  <c r="AD100" i="1050"/>
  <c r="AD70" i="1050"/>
  <c r="AD71" i="1050"/>
  <c r="P144" i="1050"/>
  <c r="AE217" i="1050"/>
  <c r="AE132" i="1050"/>
  <c r="AE179" i="1050"/>
  <c r="AE168" i="1050"/>
  <c r="AE139" i="1050"/>
  <c r="AE134" i="1050"/>
  <c r="AE167" i="1050"/>
  <c r="AE131" i="1050"/>
  <c r="AE133" i="1050"/>
  <c r="AE65" i="1050"/>
  <c r="AD198" i="1050"/>
  <c r="AD196" i="1050"/>
  <c r="AD197" i="1050"/>
  <c r="AD209" i="1050"/>
  <c r="AD97" i="1050"/>
  <c r="AD55" i="1050"/>
  <c r="AC219" i="1050"/>
  <c r="AC106" i="1050"/>
  <c r="AC110" i="1050" s="1"/>
  <c r="AC89" i="1050"/>
  <c r="Q219" i="1050"/>
  <c r="Q106" i="1050"/>
  <c r="Q110" i="1050" s="1"/>
  <c r="Q128" i="1050" s="1"/>
  <c r="AD206" i="1050"/>
  <c r="AD94" i="1050"/>
  <c r="R210" i="1050"/>
  <c r="R98" i="1050"/>
  <c r="AF98" i="1050" s="1"/>
  <c r="AF62" i="1050"/>
  <c r="R204" i="1050"/>
  <c r="R92" i="1050"/>
  <c r="AF92" i="1050" s="1"/>
  <c r="AF56" i="1050"/>
  <c r="AD214" i="1050"/>
  <c r="AD102" i="1050"/>
  <c r="P146" i="1050"/>
  <c r="R215" i="1050"/>
  <c r="R103" i="1050"/>
  <c r="AF103" i="1050" s="1"/>
  <c r="R185" i="1050"/>
  <c r="R184" i="1050"/>
  <c r="AF68" i="1050"/>
  <c r="AD111" i="1050"/>
  <c r="AD121" i="1050"/>
  <c r="AD205" i="1050"/>
  <c r="AD93" i="1050"/>
  <c r="R221" i="1050"/>
  <c r="R109" i="1050"/>
  <c r="R70" i="1050"/>
  <c r="R209" i="1050"/>
  <c r="R97" i="1050"/>
  <c r="AF97" i="1050" s="1"/>
  <c r="AF61" i="1050"/>
  <c r="P128" i="1050"/>
  <c r="P119" i="1050"/>
  <c r="P120" i="1050"/>
  <c r="AD211" i="1050"/>
  <c r="AD99" i="1050"/>
  <c r="AD140" i="1050"/>
  <c r="AE171" i="1050"/>
  <c r="AE57" i="1050"/>
  <c r="AE125" i="1050"/>
  <c r="AE129" i="1050"/>
  <c r="AE163" i="1050" s="1"/>
  <c r="AE123" i="1050"/>
  <c r="AE130" i="1050"/>
  <c r="AE164" i="1050" s="1"/>
  <c r="AE69" i="1050"/>
  <c r="AE54" i="1050"/>
  <c r="AE53" i="1050"/>
  <c r="AE216" i="1050"/>
  <c r="AE104" i="1050"/>
  <c r="AE66" i="1050"/>
  <c r="AE181" i="1050"/>
  <c r="AE236" i="1050"/>
  <c r="AE180" i="1050"/>
  <c r="AE67" i="1050"/>
  <c r="AE177" i="1050"/>
  <c r="AE178" i="1050"/>
  <c r="AE63" i="1050"/>
  <c r="AE64" i="1050"/>
  <c r="Q112" i="1050"/>
  <c r="AD213" i="1050"/>
  <c r="AD101" i="1050"/>
  <c r="AB113" i="1050"/>
  <c r="AB225" i="1050" s="1"/>
  <c r="AC113" i="1050"/>
  <c r="AC225" i="1050" s="1"/>
  <c r="O122" i="1050"/>
  <c r="R205" i="1050"/>
  <c r="R93" i="1050"/>
  <c r="AF93" i="1050" s="1"/>
  <c r="AF57" i="1050"/>
  <c r="R71" i="1050"/>
  <c r="AF71" i="1050" s="1"/>
  <c r="AF54" i="1050"/>
  <c r="AB120" i="1050"/>
  <c r="AB128" i="1050"/>
  <c r="AB119" i="1050"/>
  <c r="R197" i="1050"/>
  <c r="R198" i="1050"/>
  <c r="R196" i="1050"/>
  <c r="R214" i="1050"/>
  <c r="R102" i="1050"/>
  <c r="AF102" i="1050" s="1"/>
  <c r="AF67" i="1050"/>
  <c r="AE173" i="1050"/>
  <c r="AE59" i="1050"/>
  <c r="AE209" i="1050"/>
  <c r="AE97" i="1050"/>
  <c r="AE210" i="1050"/>
  <c r="AE98" i="1050"/>
  <c r="AD210" i="1050"/>
  <c r="AD98" i="1050"/>
  <c r="AC145" i="1050"/>
  <c r="AC146" i="1050" s="1"/>
  <c r="AC147" i="1050"/>
  <c r="AC141" i="1050"/>
  <c r="AC148" i="1050" s="1"/>
  <c r="R206" i="1050"/>
  <c r="R94" i="1050"/>
  <c r="AF94" i="1050" s="1"/>
  <c r="AF58" i="1050"/>
  <c r="R208" i="1050"/>
  <c r="R96" i="1050"/>
  <c r="AF96" i="1050" s="1"/>
  <c r="AF60" i="1050"/>
  <c r="AD207" i="1050"/>
  <c r="AD95" i="1050"/>
  <c r="AC203" i="1050"/>
  <c r="AC91" i="1050"/>
  <c r="Q141" i="1050"/>
  <c r="Q144" i="1050" s="1"/>
  <c r="R213" i="1050"/>
  <c r="R101" i="1050"/>
  <c r="AF101" i="1050" s="1"/>
  <c r="AF66" i="1050"/>
  <c r="D235" i="1050"/>
  <c r="B124" i="1050"/>
  <c r="AE166" i="1050"/>
  <c r="AE165" i="1050"/>
  <c r="AE169" i="1050" s="1"/>
  <c r="AD202" i="1050"/>
  <c r="AD142" i="1050"/>
  <c r="AD143" i="1050" s="1"/>
  <c r="AD90" i="1050"/>
  <c r="Q225" i="1063" l="1"/>
  <c r="Q113" i="1063"/>
  <c r="Q114" i="1063" s="1"/>
  <c r="Q115" i="1063" s="1"/>
  <c r="Q116" i="1063" s="1"/>
  <c r="Q119" i="1060"/>
  <c r="Q120" i="1060"/>
  <c r="AE120" i="1057"/>
  <c r="AE119" i="1057"/>
  <c r="AE122" i="1057" s="1"/>
  <c r="AE128" i="1057"/>
  <c r="R225" i="1061"/>
  <c r="R113" i="1061"/>
  <c r="AF113" i="1061" s="1"/>
  <c r="AF112" i="1061"/>
  <c r="P115" i="1061"/>
  <c r="P116" i="1061" s="1"/>
  <c r="AB119" i="1058"/>
  <c r="AB128" i="1058"/>
  <c r="AB120" i="1058"/>
  <c r="R145" i="1060"/>
  <c r="R147" i="1060" s="1"/>
  <c r="AE208" i="1064"/>
  <c r="AE96" i="1064"/>
  <c r="AB128" i="1060"/>
  <c r="AB120" i="1060"/>
  <c r="AB119" i="1060"/>
  <c r="AC128" i="1059"/>
  <c r="AC119" i="1059"/>
  <c r="AC120" i="1059"/>
  <c r="P115" i="1062"/>
  <c r="P116" i="1062" s="1"/>
  <c r="AF89" i="1062"/>
  <c r="Q120" i="1061"/>
  <c r="Q119" i="1061"/>
  <c r="Q122" i="1061" s="1"/>
  <c r="Q128" i="1061"/>
  <c r="P128" i="1058"/>
  <c r="P120" i="1058"/>
  <c r="P119" i="1058"/>
  <c r="AB120" i="1063"/>
  <c r="AB119" i="1063"/>
  <c r="AB122" i="1063" s="1"/>
  <c r="AB128" i="1063"/>
  <c r="P115" i="1059"/>
  <c r="P116" i="1059" s="1"/>
  <c r="P126" i="1059" s="1"/>
  <c r="AE91" i="1058"/>
  <c r="AE203" i="1058"/>
  <c r="AD119" i="1057"/>
  <c r="AD120" i="1057"/>
  <c r="Q144" i="1051"/>
  <c r="AB122" i="1051"/>
  <c r="AB146" i="1054"/>
  <c r="AB144" i="1055"/>
  <c r="Q144" i="1056"/>
  <c r="AA114" i="1058"/>
  <c r="AA115" i="1058" s="1"/>
  <c r="AA116" i="1058" s="1"/>
  <c r="AA126" i="1058" s="1"/>
  <c r="AC145" i="1063"/>
  <c r="AC147" i="1063" s="1"/>
  <c r="AE208" i="1059"/>
  <c r="AE96" i="1059"/>
  <c r="AD71" i="1058"/>
  <c r="AD70" i="1058"/>
  <c r="AE62" i="1063"/>
  <c r="AC219" i="1064"/>
  <c r="AC106" i="1064"/>
  <c r="AE55" i="1064"/>
  <c r="AE60" i="1063"/>
  <c r="AD208" i="1058"/>
  <c r="AD96" i="1058"/>
  <c r="AD209" i="1060"/>
  <c r="AD97" i="1060"/>
  <c r="AD70" i="1064"/>
  <c r="AD71" i="1064"/>
  <c r="M126" i="1063"/>
  <c r="AC145" i="1064"/>
  <c r="AC144" i="1064" s="1"/>
  <c r="AD211" i="1060"/>
  <c r="AD99" i="1060"/>
  <c r="AD140" i="1060"/>
  <c r="AD101" i="1060"/>
  <c r="AD213" i="1060"/>
  <c r="B125" i="1061"/>
  <c r="D236" i="1061"/>
  <c r="AD212" i="1063"/>
  <c r="AD100" i="1063"/>
  <c r="AD70" i="1063"/>
  <c r="AD71" i="1063"/>
  <c r="AC113" i="1059"/>
  <c r="AC225" i="1059" s="1"/>
  <c r="D180" i="1064"/>
  <c r="B67" i="1064"/>
  <c r="AB114" i="1064"/>
  <c r="AB115" i="1064" s="1"/>
  <c r="AB116" i="1064" s="1"/>
  <c r="AB126" i="1064" s="1"/>
  <c r="AC219" i="1060"/>
  <c r="AC106" i="1060"/>
  <c r="AE130" i="1058"/>
  <c r="AE164" i="1058" s="1"/>
  <c r="AE125" i="1058"/>
  <c r="AE69" i="1058"/>
  <c r="AE129" i="1058"/>
  <c r="AE163" i="1058" s="1"/>
  <c r="AE123" i="1058"/>
  <c r="AE53" i="1058"/>
  <c r="AE54" i="1058"/>
  <c r="AE216" i="1058"/>
  <c r="AE104" i="1058"/>
  <c r="AE67" i="1058"/>
  <c r="AE66" i="1058"/>
  <c r="AE180" i="1058"/>
  <c r="AE236" i="1058"/>
  <c r="AE181" i="1058"/>
  <c r="AE217" i="1058"/>
  <c r="AE65" i="1058"/>
  <c r="AE139" i="1058"/>
  <c r="AE179" i="1058"/>
  <c r="AE167" i="1058"/>
  <c r="AE168" i="1058"/>
  <c r="N126" i="1059"/>
  <c r="AD212" i="1058"/>
  <c r="AD100" i="1058"/>
  <c r="AE61" i="1058"/>
  <c r="AD213" i="1062"/>
  <c r="AD101" i="1062"/>
  <c r="AD198" i="1062"/>
  <c r="AD197" i="1062"/>
  <c r="AD196" i="1062"/>
  <c r="AE213" i="1059"/>
  <c r="AE101" i="1059"/>
  <c r="AE202" i="1059"/>
  <c r="AE142" i="1059"/>
  <c r="AE143" i="1059" s="1"/>
  <c r="AE90" i="1059"/>
  <c r="AC146" i="1059"/>
  <c r="AE64" i="1058"/>
  <c r="AE62" i="1058"/>
  <c r="AB144" i="1054"/>
  <c r="AA122" i="1055"/>
  <c r="R145" i="1061"/>
  <c r="R147" i="1061" s="1"/>
  <c r="AE129" i="1063"/>
  <c r="AE163" i="1063" s="1"/>
  <c r="AE123" i="1063"/>
  <c r="AE130" i="1063"/>
  <c r="AE164" i="1063" s="1"/>
  <c r="AE69" i="1063"/>
  <c r="AE53" i="1063"/>
  <c r="AE54" i="1063"/>
  <c r="AE125" i="1063"/>
  <c r="AE216" i="1063"/>
  <c r="AE104" i="1063"/>
  <c r="AE181" i="1063"/>
  <c r="AE67" i="1063"/>
  <c r="AE236" i="1063"/>
  <c r="AE180" i="1063"/>
  <c r="AE66" i="1063"/>
  <c r="AE64" i="1063"/>
  <c r="AE178" i="1063"/>
  <c r="AE176" i="1063"/>
  <c r="Q118" i="1063"/>
  <c r="AE139" i="1063"/>
  <c r="AB144" i="1058"/>
  <c r="R147" i="1057"/>
  <c r="R145" i="1057"/>
  <c r="R144" i="1057" s="1"/>
  <c r="AE174" i="1063"/>
  <c r="AE206" i="1059"/>
  <c r="AE94" i="1059"/>
  <c r="AD212" i="1060"/>
  <c r="AD100" i="1060"/>
  <c r="AD214" i="1060"/>
  <c r="AD102" i="1060"/>
  <c r="AD209" i="1062"/>
  <c r="AD97" i="1062"/>
  <c r="AD112" i="1059"/>
  <c r="AD214" i="1063"/>
  <c r="AD102" i="1063"/>
  <c r="AD202" i="1063"/>
  <c r="AD142" i="1063"/>
  <c r="AD143" i="1063" s="1"/>
  <c r="AD90" i="1063"/>
  <c r="AD89" i="1063"/>
  <c r="AD118" i="1063"/>
  <c r="AE208" i="1062"/>
  <c r="AE96" i="1062"/>
  <c r="AB144" i="1063"/>
  <c r="AE53" i="1060"/>
  <c r="AE69" i="1060"/>
  <c r="AE54" i="1060"/>
  <c r="AE125" i="1060"/>
  <c r="AE130" i="1060"/>
  <c r="AE164" i="1060" s="1"/>
  <c r="AE129" i="1060"/>
  <c r="AE163" i="1060" s="1"/>
  <c r="AE123" i="1060"/>
  <c r="AE236" i="1060"/>
  <c r="AE104" i="1060"/>
  <c r="AE216" i="1060"/>
  <c r="AE181" i="1060"/>
  <c r="AE66" i="1060"/>
  <c r="AE180" i="1060"/>
  <c r="AE67" i="1060"/>
  <c r="AE178" i="1060"/>
  <c r="AE64" i="1060"/>
  <c r="R113" i="1057"/>
  <c r="R114" i="1057" s="1"/>
  <c r="R115" i="1057" s="1"/>
  <c r="R116" i="1057" s="1"/>
  <c r="R126" i="1057" s="1"/>
  <c r="R225" i="1057"/>
  <c r="AE144" i="1057"/>
  <c r="AD98" i="1060"/>
  <c r="AD210" i="1060"/>
  <c r="D237" i="1057"/>
  <c r="B126" i="1057"/>
  <c r="D180" i="1058"/>
  <c r="B67" i="1058"/>
  <c r="AE95" i="1058"/>
  <c r="AE207" i="1058"/>
  <c r="AE129" i="1064"/>
  <c r="AE163" i="1064" s="1"/>
  <c r="AE125" i="1064"/>
  <c r="AE123" i="1064"/>
  <c r="AE130" i="1064"/>
  <c r="AE164" i="1064" s="1"/>
  <c r="AE69" i="1064"/>
  <c r="AE54" i="1064"/>
  <c r="AE53" i="1064"/>
  <c r="AE216" i="1064"/>
  <c r="AE104" i="1064"/>
  <c r="AE180" i="1064"/>
  <c r="AE67" i="1064"/>
  <c r="AE66" i="1064"/>
  <c r="AE181" i="1064"/>
  <c r="AE236" i="1064"/>
  <c r="AE205" i="1058"/>
  <c r="AE93" i="1058"/>
  <c r="R145" i="1063"/>
  <c r="R146" i="1063" s="1"/>
  <c r="AE174" i="1064"/>
  <c r="AE112" i="1061"/>
  <c r="AE175" i="1058"/>
  <c r="R89" i="1064"/>
  <c r="AD210" i="1062"/>
  <c r="AD98" i="1062"/>
  <c r="AD121" i="1062"/>
  <c r="AD111" i="1062"/>
  <c r="AE212" i="1059"/>
  <c r="AE100" i="1059"/>
  <c r="AD203" i="1064"/>
  <c r="AD91" i="1064"/>
  <c r="AE103" i="1062"/>
  <c r="AE215" i="1062"/>
  <c r="AE184" i="1062"/>
  <c r="AE185" i="1062"/>
  <c r="AE178" i="1058"/>
  <c r="AE176" i="1058"/>
  <c r="D180" i="1057"/>
  <c r="B67" i="1057"/>
  <c r="Q146" i="1064"/>
  <c r="R219" i="1064"/>
  <c r="R106" i="1064"/>
  <c r="AF106" i="1064" s="1"/>
  <c r="AF70" i="1064"/>
  <c r="P225" i="1058"/>
  <c r="P114" i="1058"/>
  <c r="P115" i="1058" s="1"/>
  <c r="P116" i="1058" s="1"/>
  <c r="P126" i="1058" s="1"/>
  <c r="P113" i="1058"/>
  <c r="AB122" i="1050"/>
  <c r="AF89" i="1061"/>
  <c r="AE203" i="1062"/>
  <c r="AE91" i="1062"/>
  <c r="R141" i="1063"/>
  <c r="R148" i="1063" s="1"/>
  <c r="AE208" i="1058"/>
  <c r="AE96" i="1058"/>
  <c r="R219" i="1061"/>
  <c r="R106" i="1061"/>
  <c r="AF106" i="1061" s="1"/>
  <c r="AF70" i="1061"/>
  <c r="AE203" i="1063"/>
  <c r="AE91" i="1063"/>
  <c r="AD208" i="1060"/>
  <c r="AD96" i="1060"/>
  <c r="AE205" i="1064"/>
  <c r="AE93" i="1064"/>
  <c r="R112" i="1059"/>
  <c r="AF111" i="1059"/>
  <c r="AD208" i="1064"/>
  <c r="AD96" i="1064"/>
  <c r="R203" i="1058"/>
  <c r="R91" i="1058"/>
  <c r="AF55" i="1058"/>
  <c r="R118" i="1058"/>
  <c r="R89" i="1058"/>
  <c r="R142" i="1058"/>
  <c r="R143" i="1058" s="1"/>
  <c r="AG70" i="1058"/>
  <c r="R70" i="1058"/>
  <c r="P115" i="1057"/>
  <c r="P116" i="1057" s="1"/>
  <c r="AE210" i="1059"/>
  <c r="AE98" i="1059"/>
  <c r="Q225" i="1060"/>
  <c r="Q113" i="1060"/>
  <c r="Q114" i="1060"/>
  <c r="Q115" i="1060" s="1"/>
  <c r="Q116" i="1060" s="1"/>
  <c r="AE125" i="1062"/>
  <c r="AE129" i="1062"/>
  <c r="AE163" i="1062" s="1"/>
  <c r="AE123" i="1062"/>
  <c r="AE53" i="1062"/>
  <c r="AE130" i="1062"/>
  <c r="AE164" i="1062" s="1"/>
  <c r="AE69" i="1062"/>
  <c r="AE54" i="1062"/>
  <c r="AE104" i="1062"/>
  <c r="AE216" i="1062"/>
  <c r="AE181" i="1062"/>
  <c r="AE236" i="1062"/>
  <c r="AE66" i="1062"/>
  <c r="AE180" i="1062"/>
  <c r="AE67" i="1062"/>
  <c r="AE178" i="1062"/>
  <c r="AE64" i="1062"/>
  <c r="AE179" i="1062"/>
  <c r="AE65" i="1062"/>
  <c r="AE168" i="1062"/>
  <c r="AE177" i="1062"/>
  <c r="AE167" i="1062"/>
  <c r="AE176" i="1062"/>
  <c r="AE63" i="1062"/>
  <c r="AE217" i="1062"/>
  <c r="AE139" i="1062"/>
  <c r="AE62" i="1062"/>
  <c r="AB146" i="1063"/>
  <c r="AB148" i="1063" s="1"/>
  <c r="R219" i="1063"/>
  <c r="R106" i="1063"/>
  <c r="AF70" i="1063"/>
  <c r="AC113" i="1057"/>
  <c r="AC225" i="1057" s="1"/>
  <c r="AC114" i="1057"/>
  <c r="AC115" i="1057" s="1"/>
  <c r="AC116" i="1057" s="1"/>
  <c r="Q128" i="1060"/>
  <c r="D236" i="1058"/>
  <c r="B125" i="1058"/>
  <c r="R110" i="1064"/>
  <c r="AF90" i="1064"/>
  <c r="AD140" i="1058"/>
  <c r="AF111" i="1060"/>
  <c r="AF89" i="1057"/>
  <c r="Q122" i="1064"/>
  <c r="P122" i="1059"/>
  <c r="R118" i="1064"/>
  <c r="AC114" i="1050"/>
  <c r="AC115" i="1050" s="1"/>
  <c r="AC116" i="1050" s="1"/>
  <c r="AB144" i="1050"/>
  <c r="P122" i="1053"/>
  <c r="AB114" i="1054"/>
  <c r="AB115" i="1054" s="1"/>
  <c r="AB116" i="1054" s="1"/>
  <c r="AB126" i="1054" s="1"/>
  <c r="AB113" i="1063"/>
  <c r="AB225" i="1063" s="1"/>
  <c r="AE209" i="1059"/>
  <c r="AE97" i="1059"/>
  <c r="AE98" i="1060"/>
  <c r="AE210" i="1060"/>
  <c r="AE207" i="1060"/>
  <c r="AE95" i="1060"/>
  <c r="AE118" i="1061"/>
  <c r="AD145" i="1059"/>
  <c r="AD146" i="1059" s="1"/>
  <c r="AB147" i="1058"/>
  <c r="AB148" i="1058" s="1"/>
  <c r="B125" i="1064"/>
  <c r="D236" i="1064"/>
  <c r="AF89" i="1059"/>
  <c r="P126" i="1062"/>
  <c r="AD128" i="1057"/>
  <c r="B67" i="1063"/>
  <c r="D180" i="1063"/>
  <c r="Q225" i="1062"/>
  <c r="Q114" i="1062"/>
  <c r="Q115" i="1062" s="1"/>
  <c r="Q116" i="1062" s="1"/>
  <c r="Q113" i="1062"/>
  <c r="AD214" i="1064"/>
  <c r="AD102" i="1064"/>
  <c r="D180" i="1061"/>
  <c r="B67" i="1061"/>
  <c r="R203" i="1060"/>
  <c r="R91" i="1060"/>
  <c r="AF55" i="1060"/>
  <c r="AG70" i="1060"/>
  <c r="AD70" i="1060"/>
  <c r="AD71" i="1060"/>
  <c r="AE215" i="1060"/>
  <c r="AE103" i="1060"/>
  <c r="AE185" i="1060"/>
  <c r="AE184" i="1060"/>
  <c r="D180" i="1059"/>
  <c r="B67" i="1059"/>
  <c r="Q120" i="1062"/>
  <c r="Q119" i="1062"/>
  <c r="Q122" i="1062" s="1"/>
  <c r="AD213" i="1063"/>
  <c r="AD101" i="1063"/>
  <c r="AB113" i="1062"/>
  <c r="AB225" i="1062" s="1"/>
  <c r="AB114" i="1062"/>
  <c r="AB115" i="1062" s="1"/>
  <c r="AB116" i="1062" s="1"/>
  <c r="AB126" i="1062" s="1"/>
  <c r="AD114" i="1057"/>
  <c r="AD115" i="1057" s="1"/>
  <c r="AD116" i="1057" s="1"/>
  <c r="AD126" i="1057" s="1"/>
  <c r="AE205" i="1063"/>
  <c r="AE93" i="1063"/>
  <c r="AB146" i="1062"/>
  <c r="AE209" i="1062"/>
  <c r="AE97" i="1062"/>
  <c r="R219" i="1059"/>
  <c r="R106" i="1059"/>
  <c r="AF106" i="1059" s="1"/>
  <c r="AF70" i="1059"/>
  <c r="AE212" i="1064"/>
  <c r="AE100" i="1064"/>
  <c r="P112" i="1064"/>
  <c r="P89" i="1064"/>
  <c r="Q119" i="1057"/>
  <c r="Q120" i="1057"/>
  <c r="AB148" i="1060"/>
  <c r="AC114" i="1058"/>
  <c r="AC115" i="1058" s="1"/>
  <c r="AC116" i="1058" s="1"/>
  <c r="AC113" i="1058"/>
  <c r="AC225" i="1058" s="1"/>
  <c r="AA114" i="1063"/>
  <c r="AA115" i="1063" s="1"/>
  <c r="AA116" i="1063" s="1"/>
  <c r="AA126" i="1063" s="1"/>
  <c r="AC126" i="1057"/>
  <c r="AE94" i="1060"/>
  <c r="AE206" i="1060"/>
  <c r="Q225" i="1059"/>
  <c r="Q114" i="1059"/>
  <c r="Q115" i="1059" s="1"/>
  <c r="Q116" i="1059" s="1"/>
  <c r="Q126" i="1059" s="1"/>
  <c r="Q113" i="1059"/>
  <c r="AF112" i="1059"/>
  <c r="R147" i="1064"/>
  <c r="R145" i="1064"/>
  <c r="AD211" i="1062"/>
  <c r="AD99" i="1062"/>
  <c r="AD140" i="1062"/>
  <c r="AC141" i="1064"/>
  <c r="AC148" i="1064" s="1"/>
  <c r="AC146" i="1064"/>
  <c r="AE203" i="1059"/>
  <c r="AE91" i="1059"/>
  <c r="R203" i="1063"/>
  <c r="R91" i="1063"/>
  <c r="AF91" i="1063" s="1"/>
  <c r="AF55" i="1063"/>
  <c r="AE215" i="1059"/>
  <c r="AE103" i="1059"/>
  <c r="AE184" i="1059"/>
  <c r="AE185" i="1059"/>
  <c r="P122" i="1062"/>
  <c r="AD210" i="1064"/>
  <c r="AD98" i="1064"/>
  <c r="R110" i="1061"/>
  <c r="AF90" i="1061"/>
  <c r="AE211" i="1059"/>
  <c r="AE99" i="1059"/>
  <c r="AE140" i="1059"/>
  <c r="AC141" i="1062"/>
  <c r="AE91" i="1060"/>
  <c r="AE203" i="1060"/>
  <c r="AE206" i="1058"/>
  <c r="AE94" i="1058"/>
  <c r="AD213" i="1064"/>
  <c r="AD101" i="1064"/>
  <c r="AD111" i="1064"/>
  <c r="AD112" i="1064" s="1"/>
  <c r="AD121" i="1064"/>
  <c r="AE208" i="1060"/>
  <c r="AE96" i="1060"/>
  <c r="R141" i="1062"/>
  <c r="D180" i="1060"/>
  <c r="B67" i="1060"/>
  <c r="P122" i="1060"/>
  <c r="AC219" i="1063"/>
  <c r="AC106" i="1063"/>
  <c r="D237" i="1060"/>
  <c r="B126" i="1060"/>
  <c r="O115" i="1058"/>
  <c r="O116" i="1058" s="1"/>
  <c r="R148" i="1062"/>
  <c r="R145" i="1062"/>
  <c r="R147" i="1062" s="1"/>
  <c r="AD209" i="1058"/>
  <c r="AD97" i="1058"/>
  <c r="AC112" i="1064"/>
  <c r="Q148" i="1063"/>
  <c r="Q144" i="1063"/>
  <c r="Q145" i="1063"/>
  <c r="Q146" i="1063" s="1"/>
  <c r="AD212" i="1062"/>
  <c r="AD100" i="1062"/>
  <c r="AC117" i="1060"/>
  <c r="AE62" i="1064"/>
  <c r="AD210" i="1058"/>
  <c r="AD98" i="1058"/>
  <c r="AE63" i="1064"/>
  <c r="AE141" i="1061"/>
  <c r="Q128" i="1057"/>
  <c r="AB148" i="1053"/>
  <c r="AB114" i="1056"/>
  <c r="AB115" i="1056" s="1"/>
  <c r="AB116" i="1056" s="1"/>
  <c r="AB126" i="1056" s="1"/>
  <c r="Q219" i="1063"/>
  <c r="Q106" i="1063"/>
  <c r="AE97" i="1060"/>
  <c r="AE209" i="1060"/>
  <c r="AC145" i="1058"/>
  <c r="AC147" i="1058" s="1"/>
  <c r="AC148" i="1058"/>
  <c r="AE215" i="1064"/>
  <c r="AE103" i="1064"/>
  <c r="AE185" i="1064"/>
  <c r="AE184" i="1064"/>
  <c r="AD213" i="1058"/>
  <c r="AD101" i="1058"/>
  <c r="AD202" i="1058"/>
  <c r="AD89" i="1058"/>
  <c r="AD142" i="1058"/>
  <c r="AD143" i="1058" s="1"/>
  <c r="AD90" i="1058"/>
  <c r="AD118" i="1058"/>
  <c r="AC113" i="1060"/>
  <c r="AC225" i="1060" s="1"/>
  <c r="Q119" i="1059"/>
  <c r="Q120" i="1059"/>
  <c r="AE95" i="1062"/>
  <c r="AE207" i="1062"/>
  <c r="AB148" i="1064"/>
  <c r="AC141" i="1058"/>
  <c r="AC144" i="1058" s="1"/>
  <c r="AC146" i="1058"/>
  <c r="AE65" i="1063"/>
  <c r="AE168" i="1063"/>
  <c r="AD140" i="1064"/>
  <c r="R141" i="1059"/>
  <c r="AD120" i="1061"/>
  <c r="AD119" i="1061"/>
  <c r="AB120" i="1064"/>
  <c r="AB119" i="1064"/>
  <c r="AB128" i="1064"/>
  <c r="AD219" i="1059"/>
  <c r="AD106" i="1059"/>
  <c r="AD110" i="1059" s="1"/>
  <c r="AD198" i="1064"/>
  <c r="AD196" i="1064"/>
  <c r="AD197" i="1064"/>
  <c r="AC117" i="1064"/>
  <c r="AB147" i="1062"/>
  <c r="AD121" i="1060"/>
  <c r="AD111" i="1060"/>
  <c r="AD112" i="1060" s="1"/>
  <c r="AA122" i="1060"/>
  <c r="AD111" i="1063"/>
  <c r="AD112" i="1063" s="1"/>
  <c r="AD121" i="1063"/>
  <c r="AE211" i="1058"/>
  <c r="AE99" i="1058"/>
  <c r="AE140" i="1058"/>
  <c r="AE209" i="1064"/>
  <c r="AE97" i="1064"/>
  <c r="AE63" i="1063"/>
  <c r="R112" i="1062"/>
  <c r="AA114" i="1064"/>
  <c r="AA115" i="1064" s="1"/>
  <c r="AA116" i="1064" s="1"/>
  <c r="AA126" i="1064" s="1"/>
  <c r="R118" i="1062"/>
  <c r="AE206" i="1062"/>
  <c r="AE94" i="1062"/>
  <c r="R146" i="1064"/>
  <c r="R141" i="1064"/>
  <c r="R148" i="1064" s="1"/>
  <c r="AC146" i="1063"/>
  <c r="AC141" i="1063"/>
  <c r="AC144" i="1063" s="1"/>
  <c r="D237" i="1059"/>
  <c r="B126" i="1059"/>
  <c r="Q144" i="1057"/>
  <c r="Q89" i="1063"/>
  <c r="AC89" i="1060"/>
  <c r="AE121" i="1059"/>
  <c r="AE111" i="1059"/>
  <c r="AE176" i="1064"/>
  <c r="AE177" i="1064"/>
  <c r="S118" i="1057"/>
  <c r="O122" i="1058"/>
  <c r="Q144" i="1053"/>
  <c r="AE219" i="1061"/>
  <c r="AE106" i="1061"/>
  <c r="AE110" i="1061" s="1"/>
  <c r="AC110" i="1063"/>
  <c r="AE215" i="1058"/>
  <c r="AE103" i="1058"/>
  <c r="AE185" i="1058"/>
  <c r="AE184" i="1058"/>
  <c r="AC126" i="1058"/>
  <c r="AD214" i="1058"/>
  <c r="AD102" i="1058"/>
  <c r="AD121" i="1058"/>
  <c r="AD111" i="1058"/>
  <c r="AD112" i="1058" s="1"/>
  <c r="AE205" i="1059"/>
  <c r="AE93" i="1059"/>
  <c r="AE148" i="1061"/>
  <c r="AE147" i="1061"/>
  <c r="AE145" i="1061"/>
  <c r="AE146" i="1061" s="1"/>
  <c r="AE179" i="1063"/>
  <c r="AB128" i="1062"/>
  <c r="AB120" i="1062"/>
  <c r="AB119" i="1062"/>
  <c r="AB122" i="1062" s="1"/>
  <c r="AF90" i="1057"/>
  <c r="AE206" i="1064"/>
  <c r="AE94" i="1064"/>
  <c r="R110" i="1059"/>
  <c r="R128" i="1059" s="1"/>
  <c r="AF90" i="1059"/>
  <c r="AE211" i="1060"/>
  <c r="AE99" i="1060"/>
  <c r="AE140" i="1060"/>
  <c r="AC89" i="1064"/>
  <c r="AD141" i="1063"/>
  <c r="AD197" i="1060"/>
  <c r="AD196" i="1060"/>
  <c r="AD198" i="1060"/>
  <c r="AC112" i="1063"/>
  <c r="AD196" i="1063"/>
  <c r="AD198" i="1063"/>
  <c r="AD197" i="1063"/>
  <c r="Q144" i="1062"/>
  <c r="R70" i="1060"/>
  <c r="R112" i="1060" s="1"/>
  <c r="AE177" i="1063"/>
  <c r="R219" i="1057"/>
  <c r="R106" i="1057"/>
  <c r="AF106" i="1057" s="1"/>
  <c r="AF70" i="1057"/>
  <c r="R219" i="1062"/>
  <c r="R106" i="1062"/>
  <c r="AF106" i="1062" s="1"/>
  <c r="AF70" i="1062"/>
  <c r="R89" i="1063"/>
  <c r="R112" i="1063"/>
  <c r="AF111" i="1063"/>
  <c r="Q110" i="1063"/>
  <c r="AD214" i="1062"/>
  <c r="AD102" i="1062"/>
  <c r="AD70" i="1062"/>
  <c r="AD71" i="1062"/>
  <c r="AC145" i="1060"/>
  <c r="AC146" i="1060" s="1"/>
  <c r="AC147" i="1060"/>
  <c r="AC148" i="1060"/>
  <c r="AC144" i="1060"/>
  <c r="AE198" i="1059"/>
  <c r="AE197" i="1059"/>
  <c r="AE196" i="1059"/>
  <c r="R146" i="1057"/>
  <c r="R141" i="1057"/>
  <c r="R148" i="1057" s="1"/>
  <c r="D180" i="1062"/>
  <c r="B67" i="1062"/>
  <c r="AC114" i="1061"/>
  <c r="AC115" i="1061" s="1"/>
  <c r="AC116" i="1061" s="1"/>
  <c r="AC126" i="1061" s="1"/>
  <c r="AF118" i="1059"/>
  <c r="P112" i="1063"/>
  <c r="P89" i="1063"/>
  <c r="O126" i="1062"/>
  <c r="AF118" i="1057"/>
  <c r="AC112" i="1055"/>
  <c r="R118" i="1061"/>
  <c r="AD198" i="1058"/>
  <c r="AD196" i="1058"/>
  <c r="AD197" i="1058"/>
  <c r="AD203" i="1060"/>
  <c r="AD91" i="1060"/>
  <c r="AB144" i="1064"/>
  <c r="AE167" i="1063"/>
  <c r="AE217" i="1063"/>
  <c r="AC219" i="1062"/>
  <c r="AC106" i="1062"/>
  <c r="AC110" i="1062" s="1"/>
  <c r="R148" i="1059"/>
  <c r="R144" i="1059"/>
  <c r="R147" i="1059"/>
  <c r="R145" i="1059"/>
  <c r="R146" i="1059" s="1"/>
  <c r="Q126" i="1062"/>
  <c r="AD202" i="1064"/>
  <c r="AD142" i="1064"/>
  <c r="AD143" i="1064" s="1"/>
  <c r="AD90" i="1064"/>
  <c r="AD89" i="1064"/>
  <c r="AD118" i="1064"/>
  <c r="AC110" i="1064"/>
  <c r="AD90" i="1060"/>
  <c r="AD202" i="1060"/>
  <c r="AD142" i="1060"/>
  <c r="AD143" i="1060" s="1"/>
  <c r="AD89" i="1060"/>
  <c r="AD118" i="1060"/>
  <c r="AC112" i="1062"/>
  <c r="AB114" i="1058"/>
  <c r="AB115" i="1058" s="1"/>
  <c r="AB116" i="1058" s="1"/>
  <c r="AB126" i="1058" s="1"/>
  <c r="R112" i="1064"/>
  <c r="R141" i="1060"/>
  <c r="R148" i="1060" s="1"/>
  <c r="R146" i="1060"/>
  <c r="Q113" i="1057"/>
  <c r="Q114" i="1057" s="1"/>
  <c r="Q225" i="1057"/>
  <c r="P89" i="1060"/>
  <c r="P112" i="1060"/>
  <c r="AF112" i="1057"/>
  <c r="AA122" i="1063"/>
  <c r="P122" i="1061"/>
  <c r="R110" i="1062"/>
  <c r="AF90" i="1062"/>
  <c r="D236" i="1063"/>
  <c r="B125" i="1063"/>
  <c r="R110" i="1063"/>
  <c r="AF90" i="1063"/>
  <c r="AE207" i="1064"/>
  <c r="AE95" i="1064"/>
  <c r="AC148" i="1062"/>
  <c r="AC145" i="1062"/>
  <c r="AC147" i="1062" s="1"/>
  <c r="AC144" i="1062"/>
  <c r="AE206" i="1063"/>
  <c r="AE94" i="1063"/>
  <c r="AD202" i="1062"/>
  <c r="AD142" i="1062"/>
  <c r="AD143" i="1062" s="1"/>
  <c r="AD89" i="1062"/>
  <c r="AD90" i="1062"/>
  <c r="AD118" i="1062"/>
  <c r="AC110" i="1060"/>
  <c r="AE214" i="1059"/>
  <c r="AE102" i="1059"/>
  <c r="AE70" i="1059"/>
  <c r="AE118" i="1059" s="1"/>
  <c r="AE71" i="1059"/>
  <c r="P147" i="1063"/>
  <c r="Q128" i="1062"/>
  <c r="AD97" i="1063"/>
  <c r="AD209" i="1063"/>
  <c r="R141" i="1061"/>
  <c r="R148" i="1061" s="1"/>
  <c r="R146" i="1061"/>
  <c r="AC219" i="1058"/>
  <c r="AC106" i="1058"/>
  <c r="AC110" i="1058" s="1"/>
  <c r="AC122" i="1061"/>
  <c r="D238" i="1062"/>
  <c r="B127" i="1062"/>
  <c r="B128" i="1062" s="1"/>
  <c r="B129" i="1062" s="1"/>
  <c r="B130" i="1062" s="1"/>
  <c r="B131" i="1062" s="1"/>
  <c r="B132" i="1062" s="1"/>
  <c r="B133" i="1062" s="1"/>
  <c r="B134" i="1062" s="1"/>
  <c r="AE61" i="1063"/>
  <c r="Q126" i="1060"/>
  <c r="Q128" i="1059"/>
  <c r="Q122" i="1058"/>
  <c r="AA122" i="1062"/>
  <c r="AE209" i="1055"/>
  <c r="AE97" i="1055"/>
  <c r="AD145" i="1056"/>
  <c r="AD144" i="1056" s="1"/>
  <c r="AD147" i="1056"/>
  <c r="Q119" i="1054"/>
  <c r="Q122" i="1054" s="1"/>
  <c r="Q120" i="1054"/>
  <c r="Q128" i="1054"/>
  <c r="P115" i="1056"/>
  <c r="P116" i="1056" s="1"/>
  <c r="Q120" i="1053"/>
  <c r="Q119" i="1053"/>
  <c r="Q122" i="1053" s="1"/>
  <c r="Q128" i="1053"/>
  <c r="AD141" i="1055"/>
  <c r="AD141" i="1053"/>
  <c r="P119" i="1055"/>
  <c r="P120" i="1055"/>
  <c r="P128" i="1055"/>
  <c r="Q119" i="1055"/>
  <c r="Q120" i="1055"/>
  <c r="Q128" i="1055"/>
  <c r="AB120" i="1054"/>
  <c r="AB128" i="1054"/>
  <c r="AB119" i="1054"/>
  <c r="P115" i="1054"/>
  <c r="P116" i="1054" s="1"/>
  <c r="AA122" i="1051"/>
  <c r="AC219" i="1053"/>
  <c r="AC106" i="1053"/>
  <c r="R219" i="1054"/>
  <c r="R106" i="1054"/>
  <c r="AF106" i="1054" s="1"/>
  <c r="AF70" i="1054"/>
  <c r="Q225" i="1054"/>
  <c r="Q113" i="1054"/>
  <c r="Q114" i="1054" s="1"/>
  <c r="D237" i="1055"/>
  <c r="B126" i="1055"/>
  <c r="AC119" i="1056"/>
  <c r="AC120" i="1056"/>
  <c r="AC128" i="1056"/>
  <c r="R203" i="1055"/>
  <c r="R91" i="1055"/>
  <c r="AF55" i="1055"/>
  <c r="AG70" i="1055"/>
  <c r="R142" i="1055"/>
  <c r="R143" i="1055" s="1"/>
  <c r="R70" i="1055"/>
  <c r="R89" i="1055"/>
  <c r="R118" i="1056"/>
  <c r="R112" i="1053"/>
  <c r="AF111" i="1053"/>
  <c r="AE207" i="1053"/>
  <c r="AE95" i="1053"/>
  <c r="AD99" i="1054"/>
  <c r="AD211" i="1054"/>
  <c r="AD140" i="1054"/>
  <c r="AB113" i="1055"/>
  <c r="AB225" i="1055" s="1"/>
  <c r="AD146" i="1056"/>
  <c r="AD148" i="1056" s="1"/>
  <c r="AD141" i="1056"/>
  <c r="R145" i="1056"/>
  <c r="R147" i="1056" s="1"/>
  <c r="AB120" i="1053"/>
  <c r="AB119" i="1053"/>
  <c r="AB128" i="1053"/>
  <c r="AE205" i="1055"/>
  <c r="AE93" i="1055"/>
  <c r="AE202" i="1056"/>
  <c r="AE90" i="1056"/>
  <c r="AB148" i="1054"/>
  <c r="AC148" i="1056"/>
  <c r="AC145" i="1056"/>
  <c r="AC146" i="1056" s="1"/>
  <c r="AC144" i="1056"/>
  <c r="AC147" i="1056"/>
  <c r="AD214" i="1053"/>
  <c r="AD102" i="1053"/>
  <c r="R219" i="1053"/>
  <c r="R106" i="1053"/>
  <c r="AF106" i="1053" s="1"/>
  <c r="AF70" i="1053"/>
  <c r="AE207" i="1054"/>
  <c r="AE95" i="1054"/>
  <c r="D236" i="1056"/>
  <c r="B125" i="1056"/>
  <c r="AC145" i="1055"/>
  <c r="AC147" i="1055" s="1"/>
  <c r="D180" i="1054"/>
  <c r="B67" i="1054"/>
  <c r="R89" i="1053"/>
  <c r="AD111" i="1055"/>
  <c r="AD121" i="1055"/>
  <c r="P147" i="1052"/>
  <c r="AE208" i="1056"/>
  <c r="AE96" i="1056"/>
  <c r="AE213" i="1056"/>
  <c r="AE101" i="1056"/>
  <c r="AE121" i="1056"/>
  <c r="AE111" i="1056"/>
  <c r="AE205" i="1056"/>
  <c r="AE93" i="1056"/>
  <c r="AC113" i="1054"/>
  <c r="AC225" i="1054" s="1"/>
  <c r="AE206" i="1053"/>
  <c r="AE94" i="1053"/>
  <c r="AD70" i="1053"/>
  <c r="AD89" i="1053" s="1"/>
  <c r="AD71" i="1053"/>
  <c r="AE100" i="1054"/>
  <c r="AE212" i="1054"/>
  <c r="AD112" i="1056"/>
  <c r="Q120" i="1056"/>
  <c r="Q119" i="1056"/>
  <c r="AD203" i="1056"/>
  <c r="AD91" i="1056"/>
  <c r="AE130" i="1055"/>
  <c r="AE164" i="1055" s="1"/>
  <c r="AE129" i="1055"/>
  <c r="AE163" i="1055" s="1"/>
  <c r="AE125" i="1055"/>
  <c r="AE123" i="1055"/>
  <c r="AE54" i="1055"/>
  <c r="AE69" i="1055"/>
  <c r="AE53" i="1055"/>
  <c r="AE104" i="1055"/>
  <c r="AE216" i="1055"/>
  <c r="AE180" i="1055"/>
  <c r="AE67" i="1055"/>
  <c r="AE66" i="1055"/>
  <c r="AE181" i="1055"/>
  <c r="AE236" i="1055"/>
  <c r="AE175" i="1055"/>
  <c r="Q147" i="1053"/>
  <c r="AE209" i="1054"/>
  <c r="AE97" i="1054"/>
  <c r="AA122" i="1054"/>
  <c r="AC113" i="1055"/>
  <c r="AC225" i="1055" s="1"/>
  <c r="AE211" i="1055"/>
  <c r="AE99" i="1055"/>
  <c r="P147" i="1055"/>
  <c r="AD210" i="1055"/>
  <c r="AD98" i="1055"/>
  <c r="AC110" i="1053"/>
  <c r="AE55" i="1055"/>
  <c r="R141" i="1055"/>
  <c r="AC113" i="1056"/>
  <c r="AC225" i="1056" s="1"/>
  <c r="AE215" i="1054"/>
  <c r="AE103" i="1054"/>
  <c r="AE184" i="1054"/>
  <c r="AE185" i="1054"/>
  <c r="AD209" i="1055"/>
  <c r="AD97" i="1055"/>
  <c r="AE208" i="1055"/>
  <c r="AE96" i="1055"/>
  <c r="AB144" i="1056"/>
  <c r="AE129" i="1053"/>
  <c r="AE163" i="1053" s="1"/>
  <c r="AE123" i="1053"/>
  <c r="AE69" i="1053"/>
  <c r="AE54" i="1053"/>
  <c r="AE125" i="1053"/>
  <c r="AE130" i="1053"/>
  <c r="AE164" i="1053" s="1"/>
  <c r="AE53" i="1053"/>
  <c r="AE216" i="1053"/>
  <c r="AE104" i="1053"/>
  <c r="AE66" i="1053"/>
  <c r="AE181" i="1053"/>
  <c r="AE236" i="1053"/>
  <c r="AE180" i="1053"/>
  <c r="AE67" i="1053"/>
  <c r="AE174" i="1053"/>
  <c r="AE60" i="1053"/>
  <c r="AE176" i="1053"/>
  <c r="AE167" i="1053"/>
  <c r="AE62" i="1053"/>
  <c r="AE217" i="1053"/>
  <c r="AE139" i="1053"/>
  <c r="AE65" i="1053"/>
  <c r="AE178" i="1053"/>
  <c r="AE179" i="1053"/>
  <c r="AE64" i="1053"/>
  <c r="AE168" i="1053"/>
  <c r="AD90" i="1054"/>
  <c r="AD202" i="1054"/>
  <c r="AD142" i="1054"/>
  <c r="AD143" i="1054" s="1"/>
  <c r="AF90" i="1053"/>
  <c r="AE212" i="1056"/>
  <c r="AE100" i="1056"/>
  <c r="AB120" i="1056"/>
  <c r="AB128" i="1056"/>
  <c r="AB119" i="1056"/>
  <c r="AB122" i="1056" s="1"/>
  <c r="AF89" i="1055"/>
  <c r="AC146" i="1055"/>
  <c r="AC141" i="1055"/>
  <c r="AC148" i="1055" s="1"/>
  <c r="AC148" i="1053"/>
  <c r="AC145" i="1053"/>
  <c r="AC146" i="1053" s="1"/>
  <c r="AC144" i="1053"/>
  <c r="AD219" i="1056"/>
  <c r="AD106" i="1056"/>
  <c r="AD110" i="1056" s="1"/>
  <c r="AE207" i="1056"/>
  <c r="AE95" i="1056"/>
  <c r="AB147" i="1055"/>
  <c r="AB148" i="1055" s="1"/>
  <c r="AD212" i="1053"/>
  <c r="AD100" i="1053"/>
  <c r="AD213" i="1053"/>
  <c r="AD101" i="1053"/>
  <c r="AD111" i="1053"/>
  <c r="AD121" i="1053"/>
  <c r="AE209" i="1053"/>
  <c r="AE97" i="1053"/>
  <c r="AE210" i="1056"/>
  <c r="AE98" i="1056"/>
  <c r="AE55" i="1054"/>
  <c r="AE55" i="1056"/>
  <c r="AE142" i="1056" s="1"/>
  <c r="AE143" i="1056" s="1"/>
  <c r="AB148" i="1056"/>
  <c r="D180" i="1056"/>
  <c r="B67" i="1056"/>
  <c r="D180" i="1053"/>
  <c r="B67" i="1053"/>
  <c r="AE215" i="1056"/>
  <c r="AE103" i="1056"/>
  <c r="AE185" i="1056"/>
  <c r="AE184" i="1056"/>
  <c r="AC145" i="1054"/>
  <c r="AC146" i="1054" s="1"/>
  <c r="AC148" i="1054"/>
  <c r="AE211" i="1056"/>
  <c r="AE99" i="1056"/>
  <c r="AE140" i="1056"/>
  <c r="AD213" i="1054"/>
  <c r="AD101" i="1054"/>
  <c r="AD70" i="1054"/>
  <c r="AD71" i="1054"/>
  <c r="O126" i="1053"/>
  <c r="AE215" i="1053"/>
  <c r="AE103" i="1053"/>
  <c r="AE185" i="1053"/>
  <c r="AE184" i="1053"/>
  <c r="R145" i="1053"/>
  <c r="AD202" i="1055"/>
  <c r="AD142" i="1055"/>
  <c r="AD143" i="1055" s="1"/>
  <c r="AD90" i="1055"/>
  <c r="Q146" i="1056"/>
  <c r="AD212" i="1055"/>
  <c r="AD100" i="1055"/>
  <c r="Q148" i="1050"/>
  <c r="AD118" i="1050"/>
  <c r="Q147" i="1051"/>
  <c r="AA114" i="1052"/>
  <c r="AA115" i="1052" s="1"/>
  <c r="AA116" i="1052" s="1"/>
  <c r="AA126" i="1052" s="1"/>
  <c r="AE210" i="1054"/>
  <c r="AE98" i="1054"/>
  <c r="AE70" i="1056"/>
  <c r="AE71" i="1056"/>
  <c r="AE207" i="1055"/>
  <c r="AE95" i="1055"/>
  <c r="AD210" i="1053"/>
  <c r="AD98" i="1053"/>
  <c r="AD198" i="1053"/>
  <c r="AD196" i="1053"/>
  <c r="AD197" i="1053"/>
  <c r="AC219" i="1055"/>
  <c r="AC106" i="1055"/>
  <c r="AC110" i="1055" s="1"/>
  <c r="R141" i="1054"/>
  <c r="AE203" i="1053"/>
  <c r="AE91" i="1053"/>
  <c r="AB147" i="1056"/>
  <c r="Q225" i="1055"/>
  <c r="Q113" i="1055"/>
  <c r="Q114" i="1055" s="1"/>
  <c r="Q115" i="1055" s="1"/>
  <c r="Q116" i="1055" s="1"/>
  <c r="Q126" i="1055" s="1"/>
  <c r="AD214" i="1054"/>
  <c r="AD102" i="1054"/>
  <c r="AE64" i="1055"/>
  <c r="AD71" i="1055"/>
  <c r="AD89" i="1055" s="1"/>
  <c r="AD70" i="1055"/>
  <c r="AD118" i="1055" s="1"/>
  <c r="AD118" i="1056"/>
  <c r="R112" i="1056"/>
  <c r="AF111" i="1056"/>
  <c r="P126" i="1050"/>
  <c r="AC117" i="1051"/>
  <c r="AD112" i="1051"/>
  <c r="R118" i="1051"/>
  <c r="S118" i="1051" s="1"/>
  <c r="AA122" i="1056"/>
  <c r="AE214" i="1056"/>
  <c r="AE102" i="1056"/>
  <c r="AE211" i="1054"/>
  <c r="AE99" i="1054"/>
  <c r="AE140" i="1054"/>
  <c r="AD208" i="1053"/>
  <c r="AD96" i="1053"/>
  <c r="R203" i="1054"/>
  <c r="R91" i="1054"/>
  <c r="AF55" i="1054"/>
  <c r="R142" i="1054"/>
  <c r="R143" i="1054" s="1"/>
  <c r="AG70" i="1054"/>
  <c r="R89" i="1054"/>
  <c r="R112" i="1054"/>
  <c r="R118" i="1054"/>
  <c r="AE206" i="1054"/>
  <c r="AE94" i="1054"/>
  <c r="AE206" i="1055"/>
  <c r="AE94" i="1055"/>
  <c r="AC112" i="1053"/>
  <c r="AC117" i="1055"/>
  <c r="AE62" i="1055"/>
  <c r="R141" i="1053"/>
  <c r="R148" i="1053" s="1"/>
  <c r="AD111" i="1054"/>
  <c r="AD112" i="1054" s="1"/>
  <c r="AD121" i="1054"/>
  <c r="AC219" i="1054"/>
  <c r="AC106" i="1054"/>
  <c r="AC110" i="1054" s="1"/>
  <c r="AE205" i="1054"/>
  <c r="AE93" i="1054"/>
  <c r="AE130" i="1054"/>
  <c r="AE164" i="1054" s="1"/>
  <c r="AE129" i="1054"/>
  <c r="AE163" i="1054" s="1"/>
  <c r="AE125" i="1054"/>
  <c r="AE123" i="1054"/>
  <c r="AE69" i="1054"/>
  <c r="AE53" i="1054"/>
  <c r="AE54" i="1054"/>
  <c r="AE104" i="1054"/>
  <c r="AE216" i="1054"/>
  <c r="AE67" i="1054"/>
  <c r="AE66" i="1054"/>
  <c r="AE181" i="1054"/>
  <c r="AE180" i="1054"/>
  <c r="AE236" i="1054"/>
  <c r="AE178" i="1055"/>
  <c r="AD213" i="1055"/>
  <c r="AD101" i="1055"/>
  <c r="AD197" i="1055"/>
  <c r="AD196" i="1055"/>
  <c r="AD198" i="1055"/>
  <c r="AD89" i="1056"/>
  <c r="AD203" i="1054"/>
  <c r="AD91" i="1054"/>
  <c r="AE209" i="1056"/>
  <c r="AE97" i="1056"/>
  <c r="R89" i="1056"/>
  <c r="AA122" i="1053"/>
  <c r="P144" i="1052"/>
  <c r="AD203" i="1055"/>
  <c r="AD91" i="1055"/>
  <c r="P89" i="1053"/>
  <c r="P112" i="1053"/>
  <c r="P225" i="1055"/>
  <c r="P113" i="1055"/>
  <c r="P114" i="1055" s="1"/>
  <c r="AD98" i="1054"/>
  <c r="AD210" i="1054"/>
  <c r="AE196" i="1056"/>
  <c r="AE198" i="1056"/>
  <c r="AE197" i="1056"/>
  <c r="D237" i="1053"/>
  <c r="B126" i="1053"/>
  <c r="AD202" i="1053"/>
  <c r="AD90" i="1053"/>
  <c r="AD142" i="1053"/>
  <c r="AD143" i="1053" s="1"/>
  <c r="AD118" i="1053"/>
  <c r="D180" i="1055"/>
  <c r="B67" i="1055"/>
  <c r="AB119" i="1055"/>
  <c r="AB128" i="1055"/>
  <c r="AB120" i="1055"/>
  <c r="AE206" i="1056"/>
  <c r="AE94" i="1056"/>
  <c r="AC89" i="1055"/>
  <c r="AE63" i="1053"/>
  <c r="AD197" i="1054"/>
  <c r="AD198" i="1054"/>
  <c r="AD196" i="1054"/>
  <c r="D236" i="1054"/>
  <c r="B125" i="1054"/>
  <c r="R118" i="1053"/>
  <c r="AE208" i="1054"/>
  <c r="AE96" i="1054"/>
  <c r="R141" i="1056"/>
  <c r="R148" i="1056" s="1"/>
  <c r="AD214" i="1055"/>
  <c r="AD102" i="1055"/>
  <c r="R110" i="1056"/>
  <c r="AF90" i="1056"/>
  <c r="AC113" i="1051"/>
  <c r="AC225" i="1051" s="1"/>
  <c r="AF118" i="1051"/>
  <c r="Q120" i="1051"/>
  <c r="Q119" i="1051"/>
  <c r="Q122" i="1051" s="1"/>
  <c r="Q128" i="1051"/>
  <c r="P89" i="1051"/>
  <c r="P112" i="1051"/>
  <c r="D236" i="1051"/>
  <c r="B125" i="1051"/>
  <c r="R89" i="1051"/>
  <c r="AD89" i="1050"/>
  <c r="AE209" i="1052"/>
  <c r="AE97" i="1052"/>
  <c r="Q145" i="1052"/>
  <c r="Q146" i="1052" s="1"/>
  <c r="Q148" i="1052"/>
  <c r="AE212" i="1052"/>
  <c r="AE100" i="1052"/>
  <c r="AE111" i="1051"/>
  <c r="AE121" i="1051"/>
  <c r="AB114" i="1051"/>
  <c r="AB115" i="1051" s="1"/>
  <c r="AB116" i="1051" s="1"/>
  <c r="AB126" i="1051" s="1"/>
  <c r="AE55" i="1051"/>
  <c r="AD142" i="1052"/>
  <c r="AD143" i="1052" s="1"/>
  <c r="AD202" i="1052"/>
  <c r="AD90" i="1052"/>
  <c r="AB147" i="1052"/>
  <c r="AD219" i="1051"/>
  <c r="AD106" i="1051"/>
  <c r="AE130" i="1052"/>
  <c r="AE164" i="1052" s="1"/>
  <c r="AE129" i="1052"/>
  <c r="AE163" i="1052" s="1"/>
  <c r="AE125" i="1052"/>
  <c r="AE123" i="1052"/>
  <c r="AE69" i="1052"/>
  <c r="AE54" i="1052"/>
  <c r="AE53" i="1052"/>
  <c r="AE216" i="1052"/>
  <c r="AE104" i="1052"/>
  <c r="AE236" i="1052"/>
  <c r="AE180" i="1052"/>
  <c r="AE66" i="1052"/>
  <c r="AE67" i="1052"/>
  <c r="AE181" i="1052"/>
  <c r="AE139" i="1052"/>
  <c r="AD110" i="1051"/>
  <c r="AD128" i="1051" s="1"/>
  <c r="Q146" i="1050"/>
  <c r="AD212" i="1052"/>
  <c r="AD100" i="1052"/>
  <c r="Q110" i="1052"/>
  <c r="AE210" i="1052"/>
  <c r="AE98" i="1052"/>
  <c r="D180" i="1051"/>
  <c r="B67" i="1051"/>
  <c r="AD203" i="1052"/>
  <c r="AD91" i="1052"/>
  <c r="D236" i="1052"/>
  <c r="B125" i="1052"/>
  <c r="AD71" i="1052"/>
  <c r="AD70" i="1052"/>
  <c r="R141" i="1051"/>
  <c r="R148" i="1051" s="1"/>
  <c r="AA122" i="1052"/>
  <c r="AE168" i="1052"/>
  <c r="AE206" i="1051"/>
  <c r="AE94" i="1051"/>
  <c r="AD89" i="1051"/>
  <c r="AF90" i="1051"/>
  <c r="AA114" i="1051"/>
  <c r="AA115" i="1051" s="1"/>
  <c r="AA116" i="1051" s="1"/>
  <c r="AA126" i="1051" s="1"/>
  <c r="R141" i="1052"/>
  <c r="AE208" i="1051"/>
  <c r="AE96" i="1051"/>
  <c r="AE214" i="1051"/>
  <c r="AE102" i="1051"/>
  <c r="AE202" i="1051"/>
  <c r="AE90" i="1051"/>
  <c r="AE142" i="1051"/>
  <c r="AE143" i="1051" s="1"/>
  <c r="AD113" i="1051"/>
  <c r="AD225" i="1051" s="1"/>
  <c r="AC145" i="1052"/>
  <c r="R112" i="1051"/>
  <c r="AF111" i="1051"/>
  <c r="AE211" i="1052"/>
  <c r="AE99" i="1052"/>
  <c r="AE55" i="1052"/>
  <c r="AD145" i="1051"/>
  <c r="AD147" i="1051" s="1"/>
  <c r="AD144" i="1051"/>
  <c r="R145" i="1051"/>
  <c r="R147" i="1051" s="1"/>
  <c r="AD210" i="1052"/>
  <c r="AD98" i="1052"/>
  <c r="AE213" i="1051"/>
  <c r="AE101" i="1051"/>
  <c r="AE70" i="1051"/>
  <c r="AE71" i="1051"/>
  <c r="R219" i="1051"/>
  <c r="R106" i="1051"/>
  <c r="AF106" i="1051" s="1"/>
  <c r="AF70" i="1051"/>
  <c r="AE205" i="1051"/>
  <c r="AE93" i="1051"/>
  <c r="AC219" i="1052"/>
  <c r="AC106" i="1052"/>
  <c r="AC110" i="1052" s="1"/>
  <c r="AB120" i="1052"/>
  <c r="AB119" i="1052"/>
  <c r="AB128" i="1052"/>
  <c r="AD211" i="1052"/>
  <c r="AD99" i="1052"/>
  <c r="AD140" i="1052"/>
  <c r="R203" i="1052"/>
  <c r="R91" i="1052"/>
  <c r="AF55" i="1052"/>
  <c r="AG70" i="1052"/>
  <c r="R142" i="1052"/>
  <c r="R143" i="1052" s="1"/>
  <c r="R70" i="1052"/>
  <c r="R112" i="1052" s="1"/>
  <c r="AD214" i="1052"/>
  <c r="AD102" i="1052"/>
  <c r="AD197" i="1052"/>
  <c r="AD196" i="1052"/>
  <c r="AD198" i="1052"/>
  <c r="AE205" i="1052"/>
  <c r="AE93" i="1052"/>
  <c r="D180" i="1052"/>
  <c r="B67" i="1052"/>
  <c r="P86" i="1052"/>
  <c r="AC44" i="1052"/>
  <c r="AC86" i="1052" s="1"/>
  <c r="AC89" i="1052" s="1"/>
  <c r="AE140" i="1051"/>
  <c r="AB148" i="1052"/>
  <c r="Q225" i="1052"/>
  <c r="Q114" i="1052"/>
  <c r="Q115" i="1052" s="1"/>
  <c r="Q116" i="1052" s="1"/>
  <c r="Q126" i="1052" s="1"/>
  <c r="Q113" i="1052"/>
  <c r="P120" i="1052"/>
  <c r="P119" i="1052"/>
  <c r="P128" i="1052"/>
  <c r="AE198" i="1051"/>
  <c r="AE196" i="1051"/>
  <c r="AE197" i="1051"/>
  <c r="AD213" i="1052"/>
  <c r="AD101" i="1052"/>
  <c r="AD121" i="1052"/>
  <c r="AD111" i="1052"/>
  <c r="Q225" i="1051"/>
  <c r="Q113" i="1051"/>
  <c r="Q114" i="1051" s="1"/>
  <c r="Q115" i="1051" s="1"/>
  <c r="Q116" i="1051" s="1"/>
  <c r="Q126" i="1051" s="1"/>
  <c r="AE60" i="1052"/>
  <c r="AE140" i="1052" s="1"/>
  <c r="AD209" i="1052"/>
  <c r="AD97" i="1052"/>
  <c r="AE215" i="1052"/>
  <c r="AE103" i="1052"/>
  <c r="AE184" i="1052"/>
  <c r="AE185" i="1052"/>
  <c r="P122" i="1051"/>
  <c r="AC145" i="1051"/>
  <c r="AC146" i="1051" s="1"/>
  <c r="AC148" i="1051"/>
  <c r="AD141" i="1051"/>
  <c r="AC219" i="1051"/>
  <c r="AC106" i="1051"/>
  <c r="AC110" i="1051" s="1"/>
  <c r="AC89" i="1051"/>
  <c r="AE206" i="1052"/>
  <c r="AE94" i="1052"/>
  <c r="AE207" i="1052"/>
  <c r="AE95" i="1052"/>
  <c r="AC117" i="1052"/>
  <c r="AB114" i="1052"/>
  <c r="AB115" i="1052" s="1"/>
  <c r="AB116" i="1052" s="1"/>
  <c r="AB126" i="1052" s="1"/>
  <c r="AE174" i="1052"/>
  <c r="AE65" i="1052"/>
  <c r="AE217" i="1052"/>
  <c r="AC141" i="1052"/>
  <c r="AC148" i="1052" s="1"/>
  <c r="AC128" i="1050"/>
  <c r="AC120" i="1050"/>
  <c r="AC119" i="1050"/>
  <c r="AC122" i="1050" s="1"/>
  <c r="AE205" i="1050"/>
  <c r="AE93" i="1050"/>
  <c r="AB114" i="1050"/>
  <c r="AB115" i="1050" s="1"/>
  <c r="AB116" i="1050" s="1"/>
  <c r="AB126" i="1050" s="1"/>
  <c r="AC144" i="1050"/>
  <c r="R118" i="1050"/>
  <c r="Q120" i="1050"/>
  <c r="Q119" i="1050"/>
  <c r="D180" i="1050"/>
  <c r="B67" i="1050"/>
  <c r="R89" i="1050"/>
  <c r="AE202" i="1050"/>
  <c r="AE90" i="1050"/>
  <c r="AE71" i="1050"/>
  <c r="AB147" i="1050"/>
  <c r="AB148" i="1050" s="1"/>
  <c r="AE207" i="1050"/>
  <c r="AE95" i="1050"/>
  <c r="Q225" i="1050"/>
  <c r="Q113" i="1050"/>
  <c r="Q114" i="1050"/>
  <c r="Q115" i="1050" s="1"/>
  <c r="Q116" i="1050" s="1"/>
  <c r="Q126" i="1050" s="1"/>
  <c r="AE121" i="1050"/>
  <c r="AE111" i="1050"/>
  <c r="R219" i="1050"/>
  <c r="R106" i="1050"/>
  <c r="AF106" i="1050" s="1"/>
  <c r="AF70" i="1050"/>
  <c r="R141" i="1050"/>
  <c r="R148" i="1050" s="1"/>
  <c r="AF90" i="1050"/>
  <c r="AD219" i="1050"/>
  <c r="AD106" i="1050"/>
  <c r="AD110" i="1050" s="1"/>
  <c r="AD128" i="1050" s="1"/>
  <c r="AD145" i="1050"/>
  <c r="AD144" i="1050" s="1"/>
  <c r="AD141" i="1050"/>
  <c r="AD112" i="1050"/>
  <c r="AE212" i="1050"/>
  <c r="AE100" i="1050"/>
  <c r="AE213" i="1050"/>
  <c r="AE101" i="1050"/>
  <c r="AE198" i="1050"/>
  <c r="AE196" i="1050"/>
  <c r="AE197" i="1050"/>
  <c r="R145" i="1050"/>
  <c r="R112" i="1050"/>
  <c r="AF111" i="1050"/>
  <c r="AE206" i="1050"/>
  <c r="AE94" i="1050"/>
  <c r="AE214" i="1050"/>
  <c r="AE102" i="1050"/>
  <c r="AD203" i="1050"/>
  <c r="AD91" i="1050"/>
  <c r="D236" i="1050"/>
  <c r="B125" i="1050"/>
  <c r="AE211" i="1050"/>
  <c r="AE99" i="1050"/>
  <c r="AE140" i="1050"/>
  <c r="P122" i="1050"/>
  <c r="AC126" i="1050"/>
  <c r="AE55" i="1050"/>
  <c r="S128" i="1059" l="1"/>
  <c r="AF128" i="1059"/>
  <c r="R225" i="1060"/>
  <c r="R113" i="1060"/>
  <c r="AE120" i="1061"/>
  <c r="AE119" i="1061"/>
  <c r="AE122" i="1061" s="1"/>
  <c r="AC128" i="1058"/>
  <c r="AC120" i="1058"/>
  <c r="AC119" i="1058"/>
  <c r="AC122" i="1058" s="1"/>
  <c r="Q115" i="1057"/>
  <c r="Q116" i="1057" s="1"/>
  <c r="Q126" i="1057" s="1"/>
  <c r="AF114" i="1057"/>
  <c r="AC128" i="1062"/>
  <c r="AC120" i="1062"/>
  <c r="AC119" i="1062"/>
  <c r="AD120" i="1059"/>
  <c r="AD119" i="1059"/>
  <c r="AD122" i="1059" s="1"/>
  <c r="AD128" i="1059"/>
  <c r="R146" i="1056"/>
  <c r="AD147" i="1062"/>
  <c r="AD145" i="1062"/>
  <c r="AD144" i="1062"/>
  <c r="Q119" i="1063"/>
  <c r="Q122" i="1063" s="1"/>
  <c r="Q120" i="1063"/>
  <c r="Q126" i="1063"/>
  <c r="AD145" i="1058"/>
  <c r="AD147" i="1058" s="1"/>
  <c r="AD113" i="1064"/>
  <c r="AD225" i="1064" s="1"/>
  <c r="AC146" i="1062"/>
  <c r="R144" i="1064"/>
  <c r="Q122" i="1057"/>
  <c r="D237" i="1064"/>
  <c r="B126" i="1064"/>
  <c r="AE210" i="1062"/>
  <c r="AE98" i="1062"/>
  <c r="AE197" i="1062"/>
  <c r="AE198" i="1062"/>
  <c r="AE196" i="1062"/>
  <c r="P126" i="1057"/>
  <c r="AF126" i="1057" s="1"/>
  <c r="AF116" i="1057"/>
  <c r="AE142" i="1060"/>
  <c r="AE143" i="1060" s="1"/>
  <c r="AE90" i="1060"/>
  <c r="AE202" i="1060"/>
  <c r="AE212" i="1063"/>
  <c r="AE100" i="1063"/>
  <c r="AE121" i="1058"/>
  <c r="AE111" i="1058"/>
  <c r="D181" i="1064"/>
  <c r="B68" i="1064"/>
  <c r="AB122" i="1058"/>
  <c r="R110" i="1053"/>
  <c r="Q122" i="1056"/>
  <c r="AE219" i="1059"/>
  <c r="AE106" i="1059"/>
  <c r="D181" i="1062"/>
  <c r="B68" i="1062"/>
  <c r="AE141" i="1060"/>
  <c r="R110" i="1057"/>
  <c r="R118" i="1060"/>
  <c r="AD113" i="1060"/>
  <c r="AD225" i="1060" s="1"/>
  <c r="AD141" i="1064"/>
  <c r="B68" i="1060"/>
  <c r="D181" i="1060"/>
  <c r="AE141" i="1059"/>
  <c r="AE146" i="1059"/>
  <c r="AF89" i="1064"/>
  <c r="D181" i="1061"/>
  <c r="B68" i="1061"/>
  <c r="AF91" i="1058"/>
  <c r="AD112" i="1062"/>
  <c r="R144" i="1063"/>
  <c r="AE213" i="1064"/>
  <c r="AE101" i="1064"/>
  <c r="D238" i="1057"/>
  <c r="B127" i="1057"/>
  <c r="B128" i="1057" s="1"/>
  <c r="B129" i="1057" s="1"/>
  <c r="B130" i="1057" s="1"/>
  <c r="B131" i="1057" s="1"/>
  <c r="B132" i="1057" s="1"/>
  <c r="B133" i="1057" s="1"/>
  <c r="B134" i="1057" s="1"/>
  <c r="AE100" i="1060"/>
  <c r="AE212" i="1060"/>
  <c r="AE213" i="1063"/>
  <c r="AE101" i="1063"/>
  <c r="AE70" i="1063"/>
  <c r="AE71" i="1063"/>
  <c r="R144" i="1061"/>
  <c r="AE89" i="1059"/>
  <c r="AE197" i="1058"/>
  <c r="AE198" i="1058"/>
  <c r="AE196" i="1058"/>
  <c r="D237" i="1061"/>
  <c r="B126" i="1061"/>
  <c r="AC147" i="1064"/>
  <c r="AE210" i="1063"/>
  <c r="AE98" i="1063"/>
  <c r="AC148" i="1063"/>
  <c r="R225" i="1064"/>
  <c r="R114" i="1064"/>
  <c r="R115" i="1064" s="1"/>
  <c r="R116" i="1064" s="1"/>
  <c r="R113" i="1064"/>
  <c r="AF112" i="1064"/>
  <c r="AC119" i="1064"/>
  <c r="AC128" i="1064"/>
  <c r="AC120" i="1064"/>
  <c r="AC113" i="1063"/>
  <c r="AC225" i="1063" s="1"/>
  <c r="AE210" i="1064"/>
  <c r="AE98" i="1064"/>
  <c r="AC113" i="1064"/>
  <c r="AC225" i="1064" s="1"/>
  <c r="O126" i="1058"/>
  <c r="P225" i="1064"/>
  <c r="P113" i="1064"/>
  <c r="P114" i="1064" s="1"/>
  <c r="D181" i="1063"/>
  <c r="B68" i="1063"/>
  <c r="AD146" i="1058"/>
  <c r="AD141" i="1058"/>
  <c r="AE212" i="1062"/>
  <c r="AE100" i="1062"/>
  <c r="R219" i="1058"/>
  <c r="R106" i="1058"/>
  <c r="AF106" i="1058" s="1"/>
  <c r="AF70" i="1058"/>
  <c r="AE214" i="1064"/>
  <c r="AE102" i="1064"/>
  <c r="AE121" i="1064"/>
  <c r="AE111" i="1064"/>
  <c r="AE121" i="1060"/>
  <c r="AE111" i="1060"/>
  <c r="AE202" i="1063"/>
  <c r="AE142" i="1063"/>
  <c r="AE143" i="1063" s="1"/>
  <c r="AE90" i="1063"/>
  <c r="AE89" i="1063"/>
  <c r="AE118" i="1063"/>
  <c r="AE110" i="1059"/>
  <c r="AE213" i="1058"/>
  <c r="AE101" i="1058"/>
  <c r="AD219" i="1058"/>
  <c r="AD106" i="1058"/>
  <c r="AD122" i="1057"/>
  <c r="AC122" i="1059"/>
  <c r="P126" i="1061"/>
  <c r="R144" i="1053"/>
  <c r="AD112" i="1053"/>
  <c r="AC114" i="1055"/>
  <c r="AC115" i="1055" s="1"/>
  <c r="AC116" i="1055" s="1"/>
  <c r="AC126" i="1055" s="1"/>
  <c r="AB114" i="1055"/>
  <c r="AB115" i="1055" s="1"/>
  <c r="AB116" i="1055" s="1"/>
  <c r="AB126" i="1055" s="1"/>
  <c r="R120" i="1063"/>
  <c r="AF120" i="1063" s="1"/>
  <c r="R119" i="1063"/>
  <c r="AF110" i="1063"/>
  <c r="P225" i="1060"/>
  <c r="P113" i="1060"/>
  <c r="P114" i="1060" s="1"/>
  <c r="AF112" i="1060"/>
  <c r="R225" i="1063"/>
  <c r="R113" i="1063"/>
  <c r="R114" i="1063" s="1"/>
  <c r="R115" i="1063" s="1"/>
  <c r="R116" i="1063" s="1"/>
  <c r="R126" i="1063" s="1"/>
  <c r="D238" i="1059"/>
  <c r="B127" i="1059"/>
  <c r="B128" i="1059" s="1"/>
  <c r="B129" i="1059" s="1"/>
  <c r="B130" i="1059" s="1"/>
  <c r="B131" i="1059" s="1"/>
  <c r="B132" i="1059" s="1"/>
  <c r="B133" i="1059" s="1"/>
  <c r="B134" i="1059" s="1"/>
  <c r="R128" i="1062"/>
  <c r="AF128" i="1062" s="1"/>
  <c r="AF118" i="1062"/>
  <c r="S118" i="1062"/>
  <c r="AE141" i="1058"/>
  <c r="AB122" i="1064"/>
  <c r="Q122" i="1059"/>
  <c r="D238" i="1060"/>
  <c r="B127" i="1060"/>
  <c r="B128" i="1060" s="1"/>
  <c r="B129" i="1060" s="1"/>
  <c r="B130" i="1060" s="1"/>
  <c r="B131" i="1060" s="1"/>
  <c r="B132" i="1060" s="1"/>
  <c r="B133" i="1060" s="1"/>
  <c r="B134" i="1060" s="1"/>
  <c r="AB148" i="1062"/>
  <c r="AE99" i="1062"/>
  <c r="AE211" i="1062"/>
  <c r="AE140" i="1062"/>
  <c r="AE71" i="1062"/>
  <c r="AE70" i="1062"/>
  <c r="R112" i="1058"/>
  <c r="R147" i="1063"/>
  <c r="AE214" i="1060"/>
  <c r="AE102" i="1060"/>
  <c r="AE196" i="1060"/>
  <c r="AE198" i="1060"/>
  <c r="AE197" i="1060"/>
  <c r="AD113" i="1059"/>
  <c r="AD225" i="1059" s="1"/>
  <c r="AD114" i="1059"/>
  <c r="AD115" i="1059" s="1"/>
  <c r="AD116" i="1059" s="1"/>
  <c r="AD126" i="1059" s="1"/>
  <c r="AE145" i="1059"/>
  <c r="AE147" i="1059"/>
  <c r="AE144" i="1059"/>
  <c r="AE148" i="1059"/>
  <c r="AE214" i="1058"/>
  <c r="AE102" i="1058"/>
  <c r="AC114" i="1059"/>
  <c r="AC115" i="1059" s="1"/>
  <c r="AC116" i="1059" s="1"/>
  <c r="AC126" i="1059" s="1"/>
  <c r="AE208" i="1063"/>
  <c r="AE96" i="1063"/>
  <c r="R144" i="1060"/>
  <c r="R147" i="1053"/>
  <c r="AE209" i="1063"/>
  <c r="AE97" i="1063"/>
  <c r="AC128" i="1060"/>
  <c r="AC120" i="1060"/>
  <c r="AC119" i="1060"/>
  <c r="AC122" i="1060" s="1"/>
  <c r="D237" i="1063"/>
  <c r="B126" i="1063"/>
  <c r="AC113" i="1062"/>
  <c r="AC225" i="1062" s="1"/>
  <c r="AD114" i="1058"/>
  <c r="AD115" i="1058" s="1"/>
  <c r="AD116" i="1058" s="1"/>
  <c r="AD126" i="1058" s="1"/>
  <c r="AD113" i="1058"/>
  <c r="AD225" i="1058" s="1"/>
  <c r="AC114" i="1060"/>
  <c r="AC115" i="1060" s="1"/>
  <c r="AC116" i="1060" s="1"/>
  <c r="R146" i="1062"/>
  <c r="AD219" i="1060"/>
  <c r="AD106" i="1060"/>
  <c r="AD110" i="1060" s="1"/>
  <c r="AD144" i="1059"/>
  <c r="R128" i="1064"/>
  <c r="AF118" i="1064"/>
  <c r="S118" i="1064"/>
  <c r="R119" i="1064"/>
  <c r="R120" i="1064"/>
  <c r="AF120" i="1064" s="1"/>
  <c r="AF110" i="1064"/>
  <c r="AE214" i="1062"/>
  <c r="AE102" i="1062"/>
  <c r="AE196" i="1064"/>
  <c r="AE197" i="1064"/>
  <c r="AE198" i="1064"/>
  <c r="AF118" i="1063"/>
  <c r="S118" i="1063"/>
  <c r="Q128" i="1063"/>
  <c r="AE214" i="1063"/>
  <c r="AE102" i="1063"/>
  <c r="AE209" i="1058"/>
  <c r="AE97" i="1058"/>
  <c r="AD146" i="1060"/>
  <c r="AD141" i="1060"/>
  <c r="AE203" i="1064"/>
  <c r="AE91" i="1064"/>
  <c r="R128" i="1063"/>
  <c r="Q122" i="1060"/>
  <c r="AC122" i="1056"/>
  <c r="AD110" i="1064"/>
  <c r="AF89" i="1063"/>
  <c r="AD219" i="1062"/>
  <c r="AD106" i="1062"/>
  <c r="R219" i="1060"/>
  <c r="R106" i="1060"/>
  <c r="AF106" i="1060" s="1"/>
  <c r="AF70" i="1060"/>
  <c r="R89" i="1060"/>
  <c r="R119" i="1059"/>
  <c r="R120" i="1059"/>
  <c r="AF120" i="1059" s="1"/>
  <c r="AF110" i="1059"/>
  <c r="AC119" i="1063"/>
  <c r="AC128" i="1063"/>
  <c r="AC120" i="1063"/>
  <c r="AE112" i="1059"/>
  <c r="R225" i="1062"/>
  <c r="R113" i="1062"/>
  <c r="AF113" i="1062" s="1"/>
  <c r="AD122" i="1061"/>
  <c r="R144" i="1062"/>
  <c r="AD146" i="1062"/>
  <c r="AD148" i="1062" s="1"/>
  <c r="AD141" i="1062"/>
  <c r="D181" i="1059"/>
  <c r="B68" i="1059"/>
  <c r="AF112" i="1062"/>
  <c r="AD147" i="1059"/>
  <c r="AD148" i="1059" s="1"/>
  <c r="AB114" i="1063"/>
  <c r="AB115" i="1063" s="1"/>
  <c r="AB116" i="1063" s="1"/>
  <c r="AB126" i="1063" s="1"/>
  <c r="B126" i="1058"/>
  <c r="D237" i="1058"/>
  <c r="AF106" i="1063"/>
  <c r="R145" i="1058"/>
  <c r="R146" i="1058" s="1"/>
  <c r="R148" i="1058"/>
  <c r="D181" i="1057"/>
  <c r="B68" i="1057"/>
  <c r="R126" i="1064"/>
  <c r="AE213" i="1060"/>
  <c r="AE101" i="1060"/>
  <c r="AE111" i="1063"/>
  <c r="AE112" i="1063" s="1"/>
  <c r="AE121" i="1063"/>
  <c r="AE210" i="1058"/>
  <c r="AE98" i="1058"/>
  <c r="AD219" i="1063"/>
  <c r="AD106" i="1063"/>
  <c r="P122" i="1058"/>
  <c r="AB122" i="1060"/>
  <c r="AB122" i="1052"/>
  <c r="R146" i="1053"/>
  <c r="AD110" i="1062"/>
  <c r="AD128" i="1062" s="1"/>
  <c r="AD145" i="1064"/>
  <c r="AD146" i="1064" s="1"/>
  <c r="AD144" i="1064"/>
  <c r="P225" i="1063"/>
  <c r="P114" i="1063"/>
  <c r="P113" i="1063"/>
  <c r="AF112" i="1063"/>
  <c r="AE144" i="1061"/>
  <c r="AE211" i="1063"/>
  <c r="AE99" i="1063"/>
  <c r="AE140" i="1063"/>
  <c r="AD128" i="1058"/>
  <c r="Q147" i="1063"/>
  <c r="R119" i="1061"/>
  <c r="R120" i="1061"/>
  <c r="AF120" i="1061" s="1"/>
  <c r="AF110" i="1061"/>
  <c r="AE128" i="1061"/>
  <c r="AE213" i="1062"/>
  <c r="AE101" i="1062"/>
  <c r="AE202" i="1062"/>
  <c r="AE89" i="1062"/>
  <c r="AE90" i="1062"/>
  <c r="AE142" i="1062"/>
  <c r="AE143" i="1062" s="1"/>
  <c r="AE118" i="1062"/>
  <c r="AF89" i="1058"/>
  <c r="R225" i="1059"/>
  <c r="R113" i="1059"/>
  <c r="AF113" i="1059" s="1"/>
  <c r="AE202" i="1064"/>
  <c r="AE142" i="1064"/>
  <c r="AE143" i="1064" s="1"/>
  <c r="AE90" i="1064"/>
  <c r="AE70" i="1060"/>
  <c r="AE71" i="1060"/>
  <c r="AD110" i="1063"/>
  <c r="AE197" i="1063"/>
  <c r="AE196" i="1063"/>
  <c r="AE198" i="1063"/>
  <c r="AE212" i="1058"/>
  <c r="AE100" i="1058"/>
  <c r="AE71" i="1058"/>
  <c r="AE70" i="1058"/>
  <c r="AE89" i="1058" s="1"/>
  <c r="AD219" i="1064"/>
  <c r="AD106" i="1064"/>
  <c r="R114" i="1061"/>
  <c r="R119" i="1062"/>
  <c r="R120" i="1062"/>
  <c r="AF120" i="1062" s="1"/>
  <c r="AF110" i="1062"/>
  <c r="AD147" i="1060"/>
  <c r="AD145" i="1060"/>
  <c r="AD144" i="1060"/>
  <c r="R128" i="1061"/>
  <c r="AF128" i="1061" s="1"/>
  <c r="S118" i="1061"/>
  <c r="AF118" i="1061"/>
  <c r="AC126" i="1060"/>
  <c r="AD113" i="1063"/>
  <c r="AD225" i="1063" s="1"/>
  <c r="AD110" i="1058"/>
  <c r="AE211" i="1064"/>
  <c r="AE99" i="1064"/>
  <c r="AE140" i="1064"/>
  <c r="AF91" i="1060"/>
  <c r="R110" i="1060"/>
  <c r="AE121" i="1062"/>
  <c r="AE111" i="1062"/>
  <c r="AE112" i="1062" s="1"/>
  <c r="S118" i="1058"/>
  <c r="AF118" i="1058"/>
  <c r="AE113" i="1061"/>
  <c r="AE225" i="1061" s="1"/>
  <c r="AE70" i="1064"/>
  <c r="AE71" i="1064"/>
  <c r="D181" i="1058"/>
  <c r="B68" i="1058"/>
  <c r="AF113" i="1057"/>
  <c r="AD147" i="1063"/>
  <c r="AD145" i="1063"/>
  <c r="AD146" i="1063" s="1"/>
  <c r="AE202" i="1058"/>
  <c r="AE142" i="1058"/>
  <c r="AE143" i="1058" s="1"/>
  <c r="AE90" i="1058"/>
  <c r="AC120" i="1054"/>
  <c r="AC119" i="1054"/>
  <c r="AC128" i="1054"/>
  <c r="Q115" i="1054"/>
  <c r="Q116" i="1054" s="1"/>
  <c r="Q126" i="1054" s="1"/>
  <c r="AE147" i="1056"/>
  <c r="AE145" i="1056"/>
  <c r="AC128" i="1055"/>
  <c r="AC120" i="1055"/>
  <c r="AC119" i="1055"/>
  <c r="AC122" i="1055" s="1"/>
  <c r="P115" i="1055"/>
  <c r="P116" i="1055" s="1"/>
  <c r="AD119" i="1056"/>
  <c r="AD120" i="1056"/>
  <c r="D237" i="1054"/>
  <c r="B126" i="1054"/>
  <c r="P225" i="1053"/>
  <c r="P113" i="1053"/>
  <c r="P114" i="1053" s="1"/>
  <c r="AE210" i="1055"/>
  <c r="AE98" i="1055"/>
  <c r="R225" i="1054"/>
  <c r="R113" i="1054"/>
  <c r="AF113" i="1054" s="1"/>
  <c r="AF112" i="1054"/>
  <c r="AE212" i="1055"/>
  <c r="AE100" i="1055"/>
  <c r="AD219" i="1054"/>
  <c r="AD106" i="1054"/>
  <c r="AD110" i="1054" s="1"/>
  <c r="AC147" i="1054"/>
  <c r="D181" i="1056"/>
  <c r="B68" i="1056"/>
  <c r="AE210" i="1053"/>
  <c r="AE98" i="1053"/>
  <c r="AD112" i="1055"/>
  <c r="D237" i="1056"/>
  <c r="B126" i="1056"/>
  <c r="AF91" i="1055"/>
  <c r="AF89" i="1053"/>
  <c r="AE71" i="1054"/>
  <c r="AE70" i="1054"/>
  <c r="AF89" i="1054"/>
  <c r="AE141" i="1054"/>
  <c r="AE213" i="1053"/>
  <c r="AE101" i="1053"/>
  <c r="AE111" i="1053"/>
  <c r="AE121" i="1053"/>
  <c r="AE203" i="1055"/>
  <c r="AE91" i="1055"/>
  <c r="AE71" i="1055"/>
  <c r="AE118" i="1055" s="1"/>
  <c r="AE70" i="1055"/>
  <c r="R144" i="1056"/>
  <c r="AD141" i="1054"/>
  <c r="R128" i="1056"/>
  <c r="S118" i="1056"/>
  <c r="AF118" i="1056"/>
  <c r="Q122" i="1055"/>
  <c r="AE142" i="1054"/>
  <c r="AE143" i="1054" s="1"/>
  <c r="AE90" i="1054"/>
  <c r="AE202" i="1054"/>
  <c r="AE118" i="1054"/>
  <c r="AC113" i="1053"/>
  <c r="AC225" i="1053" s="1"/>
  <c r="AD113" i="1053"/>
  <c r="AD225" i="1053" s="1"/>
  <c r="R120" i="1053"/>
  <c r="AF120" i="1053" s="1"/>
  <c r="R119" i="1053"/>
  <c r="AF110" i="1053"/>
  <c r="AE212" i="1053"/>
  <c r="AE100" i="1053"/>
  <c r="AE196" i="1053"/>
  <c r="AE197" i="1053"/>
  <c r="AE198" i="1053"/>
  <c r="AC120" i="1053"/>
  <c r="AC119" i="1053"/>
  <c r="AC128" i="1053"/>
  <c r="AE213" i="1055"/>
  <c r="AE101" i="1055"/>
  <c r="AE111" i="1055"/>
  <c r="AE112" i="1055" s="1"/>
  <c r="AE121" i="1055"/>
  <c r="AD113" i="1056"/>
  <c r="AD225" i="1056" s="1"/>
  <c r="D181" i="1054"/>
  <c r="B68" i="1054"/>
  <c r="P126" i="1054"/>
  <c r="AB122" i="1055"/>
  <c r="D238" i="1053"/>
  <c r="B127" i="1053"/>
  <c r="B128" i="1053" s="1"/>
  <c r="B129" i="1053" s="1"/>
  <c r="B130" i="1053" s="1"/>
  <c r="B131" i="1053" s="1"/>
  <c r="B132" i="1053" s="1"/>
  <c r="B133" i="1053" s="1"/>
  <c r="B134" i="1053" s="1"/>
  <c r="R148" i="1054"/>
  <c r="R145" i="1054"/>
  <c r="R146" i="1054" s="1"/>
  <c r="R144" i="1054"/>
  <c r="AD147" i="1055"/>
  <c r="AD144" i="1055"/>
  <c r="AD145" i="1055"/>
  <c r="AD146" i="1055" s="1"/>
  <c r="AE141" i="1056"/>
  <c r="AE148" i="1056" s="1"/>
  <c r="AE146" i="1056"/>
  <c r="AE203" i="1056"/>
  <c r="AE91" i="1056"/>
  <c r="AD118" i="1054"/>
  <c r="AE208" i="1053"/>
  <c r="AE96" i="1053"/>
  <c r="AE214" i="1055"/>
  <c r="AE102" i="1055"/>
  <c r="AC114" i="1054"/>
  <c r="AC115" i="1054" s="1"/>
  <c r="AC116" i="1054" s="1"/>
  <c r="AC126" i="1054" s="1"/>
  <c r="R219" i="1055"/>
  <c r="R106" i="1055"/>
  <c r="AF106" i="1055" s="1"/>
  <c r="AF70" i="1055"/>
  <c r="R118" i="1055"/>
  <c r="AC147" i="1051"/>
  <c r="R225" i="1056"/>
  <c r="R113" i="1056"/>
  <c r="AF113" i="1056" s="1"/>
  <c r="AF112" i="1056"/>
  <c r="AE203" i="1054"/>
  <c r="AE91" i="1054"/>
  <c r="AD145" i="1054"/>
  <c r="AD146" i="1054" s="1"/>
  <c r="AE202" i="1053"/>
  <c r="AE142" i="1053"/>
  <c r="AE143" i="1053" s="1"/>
  <c r="AE90" i="1053"/>
  <c r="AE196" i="1055"/>
  <c r="AE197" i="1055"/>
  <c r="AE198" i="1055"/>
  <c r="AC144" i="1055"/>
  <c r="R145" i="1055"/>
  <c r="R146" i="1055" s="1"/>
  <c r="R148" i="1055"/>
  <c r="AB122" i="1054"/>
  <c r="AC144" i="1052"/>
  <c r="AE121" i="1054"/>
  <c r="AE111" i="1054"/>
  <c r="R144" i="1050"/>
  <c r="AE211" i="1053"/>
  <c r="AE99" i="1053"/>
  <c r="AE140" i="1053"/>
  <c r="AE213" i="1054"/>
  <c r="AE101" i="1054"/>
  <c r="AD113" i="1054"/>
  <c r="AD225" i="1054" s="1"/>
  <c r="AF91" i="1054"/>
  <c r="R110" i="1054"/>
  <c r="AD128" i="1056"/>
  <c r="AD89" i="1054"/>
  <c r="AE214" i="1053"/>
  <c r="AE102" i="1053"/>
  <c r="AC114" i="1056"/>
  <c r="AC115" i="1056" s="1"/>
  <c r="AC116" i="1056" s="1"/>
  <c r="AC126" i="1056" s="1"/>
  <c r="R112" i="1055"/>
  <c r="D238" i="1055"/>
  <c r="B127" i="1055"/>
  <c r="B128" i="1055" s="1"/>
  <c r="B129" i="1055" s="1"/>
  <c r="B130" i="1055" s="1"/>
  <c r="B131" i="1055" s="1"/>
  <c r="B132" i="1055" s="1"/>
  <c r="B133" i="1055" s="1"/>
  <c r="B134" i="1055" s="1"/>
  <c r="P122" i="1055"/>
  <c r="AD146" i="1051"/>
  <c r="AD148" i="1051" s="1"/>
  <c r="AF89" i="1056"/>
  <c r="AE214" i="1054"/>
  <c r="AE102" i="1054"/>
  <c r="AE197" i="1054"/>
  <c r="AE196" i="1054"/>
  <c r="AE198" i="1054"/>
  <c r="AD219" i="1055"/>
  <c r="AD106" i="1055"/>
  <c r="AD110" i="1055" s="1"/>
  <c r="AE219" i="1056"/>
  <c r="AE106" i="1056"/>
  <c r="AC144" i="1054"/>
  <c r="D181" i="1053"/>
  <c r="B68" i="1053"/>
  <c r="AC147" i="1053"/>
  <c r="AE140" i="1055"/>
  <c r="AE112" i="1056"/>
  <c r="AE118" i="1056"/>
  <c r="D181" i="1055"/>
  <c r="B68" i="1055"/>
  <c r="R120" i="1056"/>
  <c r="AF120" i="1056" s="1"/>
  <c r="R119" i="1056"/>
  <c r="AF110" i="1056"/>
  <c r="R128" i="1053"/>
  <c r="AF118" i="1053"/>
  <c r="S118" i="1053"/>
  <c r="AD145" i="1053"/>
  <c r="AD146" i="1053" s="1"/>
  <c r="R128" i="1054"/>
  <c r="AF128" i="1054" s="1"/>
  <c r="AF118" i="1054"/>
  <c r="S118" i="1054"/>
  <c r="AE71" i="1053"/>
  <c r="AE70" i="1053"/>
  <c r="AE202" i="1055"/>
  <c r="AE142" i="1055"/>
  <c r="AE143" i="1055" s="1"/>
  <c r="AE90" i="1055"/>
  <c r="AE89" i="1055"/>
  <c r="AD219" i="1053"/>
  <c r="AD106" i="1053"/>
  <c r="AD110" i="1053" s="1"/>
  <c r="AE89" i="1056"/>
  <c r="AB122" i="1053"/>
  <c r="R225" i="1053"/>
  <c r="R113" i="1053"/>
  <c r="AF113" i="1053" s="1"/>
  <c r="AF112" i="1053"/>
  <c r="P126" i="1056"/>
  <c r="R225" i="1052"/>
  <c r="R113" i="1052"/>
  <c r="R114" i="1052" s="1"/>
  <c r="R115" i="1052" s="1"/>
  <c r="R116" i="1052" s="1"/>
  <c r="AC119" i="1051"/>
  <c r="AC128" i="1051"/>
  <c r="AC120" i="1051"/>
  <c r="AC128" i="1052"/>
  <c r="AC120" i="1052"/>
  <c r="AC119" i="1052"/>
  <c r="AE141" i="1052"/>
  <c r="AD146" i="1050"/>
  <c r="R144" i="1051"/>
  <c r="R146" i="1051"/>
  <c r="AE202" i="1052"/>
  <c r="AE142" i="1052"/>
  <c r="AE143" i="1052" s="1"/>
  <c r="AE90" i="1052"/>
  <c r="AF89" i="1051"/>
  <c r="R110" i="1051"/>
  <c r="AD219" i="1052"/>
  <c r="AD106" i="1052"/>
  <c r="AE70" i="1052"/>
  <c r="AE71" i="1052"/>
  <c r="AE118" i="1052" s="1"/>
  <c r="AE208" i="1052"/>
  <c r="AE96" i="1052"/>
  <c r="D181" i="1052"/>
  <c r="B68" i="1052"/>
  <c r="AE214" i="1052"/>
  <c r="AE102" i="1052"/>
  <c r="AD118" i="1052"/>
  <c r="AE112" i="1051"/>
  <c r="P89" i="1052"/>
  <c r="P112" i="1052"/>
  <c r="AD147" i="1050"/>
  <c r="AD114" i="1051"/>
  <c r="AD115" i="1051" s="1"/>
  <c r="AD116" i="1051" s="1"/>
  <c r="AD126" i="1051" s="1"/>
  <c r="AC112" i="1052"/>
  <c r="AF91" i="1052"/>
  <c r="AE219" i="1051"/>
  <c r="AE106" i="1051"/>
  <c r="AE110" i="1051" s="1"/>
  <c r="AE118" i="1051"/>
  <c r="D237" i="1052"/>
  <c r="B126" i="1052"/>
  <c r="Q119" i="1052"/>
  <c r="Q120" i="1052"/>
  <c r="AE213" i="1052"/>
  <c r="AE101" i="1052"/>
  <c r="AE121" i="1052"/>
  <c r="AE111" i="1052"/>
  <c r="AD110" i="1052"/>
  <c r="Q128" i="1052"/>
  <c r="R219" i="1052"/>
  <c r="R106" i="1052"/>
  <c r="AF106" i="1052" s="1"/>
  <c r="AF70" i="1052"/>
  <c r="R225" i="1051"/>
  <c r="R113" i="1051"/>
  <c r="AE145" i="1051"/>
  <c r="AE147" i="1051" s="1"/>
  <c r="AD89" i="1052"/>
  <c r="R145" i="1052"/>
  <c r="R146" i="1052" s="1"/>
  <c r="R148" i="1052"/>
  <c r="AE197" i="1052"/>
  <c r="AE196" i="1052"/>
  <c r="AE198" i="1052"/>
  <c r="Q147" i="1052"/>
  <c r="D237" i="1051"/>
  <c r="B126" i="1051"/>
  <c r="AD141" i="1052"/>
  <c r="AC146" i="1052"/>
  <c r="AC144" i="1051"/>
  <c r="AD112" i="1052"/>
  <c r="P122" i="1052"/>
  <c r="R118" i="1052"/>
  <c r="AC147" i="1052"/>
  <c r="AE89" i="1051"/>
  <c r="AD145" i="1052"/>
  <c r="AD146" i="1052" s="1"/>
  <c r="Q144" i="1052"/>
  <c r="AE141" i="1051"/>
  <c r="AE148" i="1051" s="1"/>
  <c r="R89" i="1052"/>
  <c r="AE203" i="1052"/>
  <c r="AE91" i="1052"/>
  <c r="D181" i="1051"/>
  <c r="B68" i="1051"/>
  <c r="AD120" i="1051"/>
  <c r="AD119" i="1051"/>
  <c r="AE203" i="1051"/>
  <c r="AE91" i="1051"/>
  <c r="P113" i="1051"/>
  <c r="P114" i="1051" s="1"/>
  <c r="P225" i="1051"/>
  <c r="AF112" i="1051"/>
  <c r="AC114" i="1051"/>
  <c r="AC115" i="1051" s="1"/>
  <c r="AC116" i="1051" s="1"/>
  <c r="AC126" i="1051" s="1"/>
  <c r="AF89" i="1050"/>
  <c r="AD113" i="1050"/>
  <c r="AD225" i="1050" s="1"/>
  <c r="AD114" i="1050"/>
  <c r="AD115" i="1050" s="1"/>
  <c r="AD116" i="1050" s="1"/>
  <c r="AD126" i="1050" s="1"/>
  <c r="AE203" i="1050"/>
  <c r="AE91" i="1050"/>
  <c r="R147" i="1050"/>
  <c r="AD119" i="1050"/>
  <c r="AD120" i="1050"/>
  <c r="AE70" i="1050"/>
  <c r="AE118" i="1050" s="1"/>
  <c r="D181" i="1050"/>
  <c r="B68" i="1050"/>
  <c r="D237" i="1050"/>
  <c r="B126" i="1050"/>
  <c r="R225" i="1050"/>
  <c r="R113" i="1050"/>
  <c r="AF113" i="1050" s="1"/>
  <c r="AF112" i="1050"/>
  <c r="R110" i="1050"/>
  <c r="R128" i="1050" s="1"/>
  <c r="Q122" i="1050"/>
  <c r="AE141" i="1050"/>
  <c r="R146" i="1050"/>
  <c r="AE142" i="1050"/>
  <c r="AE143" i="1050" s="1"/>
  <c r="AF118" i="1050"/>
  <c r="S118" i="1050"/>
  <c r="P115" i="1064" l="1"/>
  <c r="P116" i="1064" s="1"/>
  <c r="AF114" i="1064"/>
  <c r="AD119" i="1060"/>
  <c r="AD120" i="1060"/>
  <c r="AD128" i="1060"/>
  <c r="P115" i="1060"/>
  <c r="P116" i="1060" s="1"/>
  <c r="AC122" i="1054"/>
  <c r="AE113" i="1062"/>
  <c r="AE225" i="1062" s="1"/>
  <c r="AE114" i="1062"/>
  <c r="AE115" i="1062" s="1"/>
  <c r="AE116" i="1062" s="1"/>
  <c r="AE126" i="1062" s="1"/>
  <c r="AD114" i="1063"/>
  <c r="AD115" i="1063" s="1"/>
  <c r="AD116" i="1063" s="1"/>
  <c r="AD126" i="1063" s="1"/>
  <c r="AD120" i="1063"/>
  <c r="AD119" i="1063"/>
  <c r="AD122" i="1063" s="1"/>
  <c r="R114" i="1059"/>
  <c r="P115" i="1063"/>
  <c r="P116" i="1063" s="1"/>
  <c r="AF114" i="1063"/>
  <c r="R144" i="1058"/>
  <c r="R114" i="1062"/>
  <c r="R225" i="1058"/>
  <c r="R114" i="1058"/>
  <c r="R113" i="1058"/>
  <c r="AF113" i="1058" s="1"/>
  <c r="AF112" i="1058"/>
  <c r="AE112" i="1058"/>
  <c r="AE110" i="1060"/>
  <c r="AC122" i="1062"/>
  <c r="AE219" i="1058"/>
  <c r="AE106" i="1058"/>
  <c r="AE114" i="1063"/>
  <c r="AE115" i="1063" s="1"/>
  <c r="AE116" i="1063" s="1"/>
  <c r="AE113" i="1063"/>
  <c r="AE225" i="1063" s="1"/>
  <c r="R122" i="1059"/>
  <c r="AF122" i="1059" s="1"/>
  <c r="AF119" i="1059"/>
  <c r="AE219" i="1062"/>
  <c r="AE106" i="1062"/>
  <c r="AE112" i="1060"/>
  <c r="AD114" i="1062"/>
  <c r="AD115" i="1062" s="1"/>
  <c r="AD116" i="1062" s="1"/>
  <c r="AD126" i="1062" s="1"/>
  <c r="AD113" i="1062"/>
  <c r="AD225" i="1062" s="1"/>
  <c r="R128" i="1060"/>
  <c r="S118" i="1060"/>
  <c r="AF118" i="1060"/>
  <c r="AE148" i="1060"/>
  <c r="AE145" i="1060"/>
  <c r="AE146" i="1060" s="1"/>
  <c r="AD114" i="1064"/>
  <c r="AD115" i="1064" s="1"/>
  <c r="AD116" i="1064" s="1"/>
  <c r="AD126" i="1064" s="1"/>
  <c r="R114" i="1056"/>
  <c r="AE219" i="1064"/>
  <c r="AE106" i="1064"/>
  <c r="R120" i="1060"/>
  <c r="AF120" i="1060" s="1"/>
  <c r="R119" i="1060"/>
  <c r="AF110" i="1060"/>
  <c r="AE219" i="1060"/>
  <c r="AE106" i="1060"/>
  <c r="AE141" i="1063"/>
  <c r="D182" i="1059"/>
  <c r="B69" i="1059"/>
  <c r="AF89" i="1060"/>
  <c r="AD119" i="1064"/>
  <c r="AD122" i="1064" s="1"/>
  <c r="AD120" i="1064"/>
  <c r="AC114" i="1062"/>
  <c r="AC115" i="1062" s="1"/>
  <c r="AC116" i="1062" s="1"/>
  <c r="AC126" i="1062" s="1"/>
  <c r="AC114" i="1063"/>
  <c r="AC115" i="1063" s="1"/>
  <c r="AC116" i="1063" s="1"/>
  <c r="AC126" i="1063" s="1"/>
  <c r="R110" i="1058"/>
  <c r="R120" i="1057"/>
  <c r="AF120" i="1057" s="1"/>
  <c r="R119" i="1057"/>
  <c r="AF110" i="1057"/>
  <c r="R128" i="1057"/>
  <c r="AD144" i="1058"/>
  <c r="R144" i="1055"/>
  <c r="AD144" i="1063"/>
  <c r="AE114" i="1061"/>
  <c r="AE115" i="1061" s="1"/>
  <c r="AE116" i="1061" s="1"/>
  <c r="AE126" i="1061" s="1"/>
  <c r="R122" i="1062"/>
  <c r="AF122" i="1062" s="1"/>
  <c r="AF119" i="1062"/>
  <c r="AE118" i="1064"/>
  <c r="R147" i="1058"/>
  <c r="AE113" i="1059"/>
  <c r="AE225" i="1059" s="1"/>
  <c r="AD148" i="1060"/>
  <c r="AD128" i="1063"/>
  <c r="R122" i="1064"/>
  <c r="AF122" i="1064" s="1"/>
  <c r="AF119" i="1064"/>
  <c r="AE141" i="1062"/>
  <c r="AE144" i="1062" s="1"/>
  <c r="AE146" i="1062"/>
  <c r="AE120" i="1059"/>
  <c r="AE119" i="1059"/>
  <c r="AE122" i="1059" s="1"/>
  <c r="AE112" i="1064"/>
  <c r="D182" i="1060"/>
  <c r="B69" i="1060"/>
  <c r="D238" i="1064"/>
  <c r="B127" i="1064"/>
  <c r="B128" i="1064" s="1"/>
  <c r="B129" i="1064" s="1"/>
  <c r="B130" i="1064" s="1"/>
  <c r="B131" i="1064" s="1"/>
  <c r="B132" i="1064" s="1"/>
  <c r="B133" i="1064" s="1"/>
  <c r="B134" i="1064" s="1"/>
  <c r="AE128" i="1059"/>
  <c r="AF113" i="1060"/>
  <c r="AD148" i="1063"/>
  <c r="AE141" i="1064"/>
  <c r="AE148" i="1064" s="1"/>
  <c r="AE89" i="1064"/>
  <c r="AD147" i="1064"/>
  <c r="AD148" i="1064" s="1"/>
  <c r="D238" i="1063"/>
  <c r="B127" i="1063"/>
  <c r="B128" i="1063" s="1"/>
  <c r="B129" i="1063" s="1"/>
  <c r="B130" i="1063" s="1"/>
  <c r="B131" i="1063" s="1"/>
  <c r="B132" i="1063" s="1"/>
  <c r="B133" i="1063" s="1"/>
  <c r="B134" i="1063" s="1"/>
  <c r="D182" i="1061"/>
  <c r="B69" i="1061"/>
  <c r="R114" i="1060"/>
  <c r="R115" i="1060" s="1"/>
  <c r="R116" i="1060" s="1"/>
  <c r="R126" i="1060" s="1"/>
  <c r="AE118" i="1058"/>
  <c r="R115" i="1061"/>
  <c r="R116" i="1061" s="1"/>
  <c r="AF114" i="1061"/>
  <c r="AE110" i="1064"/>
  <c r="AF113" i="1063"/>
  <c r="R122" i="1063"/>
  <c r="AF122" i="1063" s="1"/>
  <c r="AF119" i="1063"/>
  <c r="AE126" i="1063"/>
  <c r="AD148" i="1058"/>
  <c r="AC122" i="1064"/>
  <c r="D182" i="1062"/>
  <c r="B69" i="1062"/>
  <c r="S128" i="1061"/>
  <c r="AE118" i="1060"/>
  <c r="AD122" i="1050"/>
  <c r="AE110" i="1058"/>
  <c r="AE145" i="1064"/>
  <c r="AE144" i="1064" s="1"/>
  <c r="AE147" i="1062"/>
  <c r="AE145" i="1062"/>
  <c r="AE148" i="1062"/>
  <c r="AD120" i="1062"/>
  <c r="AD119" i="1062"/>
  <c r="D182" i="1057"/>
  <c r="B69" i="1057"/>
  <c r="B127" i="1058"/>
  <c r="B128" i="1058" s="1"/>
  <c r="B129" i="1058" s="1"/>
  <c r="B130" i="1058" s="1"/>
  <c r="B131" i="1058" s="1"/>
  <c r="B132" i="1058" s="1"/>
  <c r="B133" i="1058" s="1"/>
  <c r="B134" i="1058" s="1"/>
  <c r="D238" i="1058"/>
  <c r="AC122" i="1063"/>
  <c r="AF128" i="1064"/>
  <c r="S128" i="1064"/>
  <c r="D182" i="1063"/>
  <c r="B69" i="1063"/>
  <c r="AC114" i="1064"/>
  <c r="AC115" i="1064" s="1"/>
  <c r="AC116" i="1064" s="1"/>
  <c r="AC126" i="1064" s="1"/>
  <c r="D182" i="1064"/>
  <c r="B69" i="1064"/>
  <c r="Q122" i="1052"/>
  <c r="AE112" i="1054"/>
  <c r="AE113" i="1054" s="1"/>
  <c r="AE225" i="1054" s="1"/>
  <c r="AE110" i="1056"/>
  <c r="AE147" i="1058"/>
  <c r="AE145" i="1058"/>
  <c r="AE146" i="1058" s="1"/>
  <c r="AE148" i="1058"/>
  <c r="AE144" i="1058"/>
  <c r="D182" i="1058"/>
  <c r="B69" i="1058"/>
  <c r="AD120" i="1058"/>
  <c r="AD119" i="1058"/>
  <c r="AE110" i="1062"/>
  <c r="AE128" i="1062" s="1"/>
  <c r="R122" i="1061"/>
  <c r="AF122" i="1061" s="1"/>
  <c r="AF119" i="1061"/>
  <c r="S128" i="1062"/>
  <c r="S128" i="1063"/>
  <c r="AF128" i="1063"/>
  <c r="AD128" i="1064"/>
  <c r="AE145" i="1063"/>
  <c r="AE147" i="1063" s="1"/>
  <c r="AE148" i="1063"/>
  <c r="AE144" i="1063"/>
  <c r="AF113" i="1064"/>
  <c r="D238" i="1061"/>
  <c r="B127" i="1061"/>
  <c r="B128" i="1061" s="1"/>
  <c r="B129" i="1061" s="1"/>
  <c r="B130" i="1061" s="1"/>
  <c r="B131" i="1061" s="1"/>
  <c r="B132" i="1061" s="1"/>
  <c r="B133" i="1061" s="1"/>
  <c r="B134" i="1061" s="1"/>
  <c r="AE219" i="1063"/>
  <c r="AE106" i="1063"/>
  <c r="AE110" i="1063" s="1"/>
  <c r="AD114" i="1060"/>
  <c r="AD115" i="1060" s="1"/>
  <c r="AD116" i="1060" s="1"/>
  <c r="AD126" i="1060" s="1"/>
  <c r="AE89" i="1060"/>
  <c r="P115" i="1053"/>
  <c r="P116" i="1053" s="1"/>
  <c r="AD119" i="1055"/>
  <c r="AD120" i="1055"/>
  <c r="AD128" i="1055"/>
  <c r="AD119" i="1053"/>
  <c r="AD120" i="1053"/>
  <c r="AD128" i="1053"/>
  <c r="AE119" i="1056"/>
  <c r="AE120" i="1056"/>
  <c r="AE146" i="1051"/>
  <c r="AE144" i="1051"/>
  <c r="AE219" i="1053"/>
  <c r="AE106" i="1053"/>
  <c r="R119" i="1054"/>
  <c r="R120" i="1054"/>
  <c r="AF120" i="1054" s="1"/>
  <c r="AF110" i="1054"/>
  <c r="AE110" i="1053"/>
  <c r="AD128" i="1054"/>
  <c r="AE113" i="1055"/>
  <c r="AE225" i="1055" s="1"/>
  <c r="AE219" i="1055"/>
  <c r="AE106" i="1055"/>
  <c r="R126" i="1052"/>
  <c r="AE112" i="1052"/>
  <c r="AE128" i="1056"/>
  <c r="R147" i="1055"/>
  <c r="AE145" i="1053"/>
  <c r="AE147" i="1053" s="1"/>
  <c r="AD114" i="1055"/>
  <c r="AD115" i="1055" s="1"/>
  <c r="AD116" i="1055" s="1"/>
  <c r="AD126" i="1055" s="1"/>
  <c r="AD113" i="1055"/>
  <c r="AD225" i="1055" s="1"/>
  <c r="AD122" i="1056"/>
  <c r="AE144" i="1056"/>
  <c r="AD119" i="1054"/>
  <c r="AD122" i="1054" s="1"/>
  <c r="AD120" i="1054"/>
  <c r="AE113" i="1056"/>
  <c r="AE225" i="1056" s="1"/>
  <c r="R225" i="1055"/>
  <c r="R113" i="1055"/>
  <c r="AF113" i="1055" s="1"/>
  <c r="AF112" i="1055"/>
  <c r="AD114" i="1054"/>
  <c r="AD115" i="1054" s="1"/>
  <c r="AD116" i="1054" s="1"/>
  <c r="AD126" i="1054" s="1"/>
  <c r="R115" i="1056"/>
  <c r="R116" i="1056" s="1"/>
  <c r="AF114" i="1056"/>
  <c r="R147" i="1054"/>
  <c r="AC114" i="1053"/>
  <c r="AC115" i="1053" s="1"/>
  <c r="AC116" i="1053" s="1"/>
  <c r="AC126" i="1053" s="1"/>
  <c r="S128" i="1054"/>
  <c r="AF128" i="1053"/>
  <c r="S128" i="1053"/>
  <c r="D182" i="1054"/>
  <c r="B69" i="1054"/>
  <c r="S128" i="1056"/>
  <c r="AF128" i="1056"/>
  <c r="P126" i="1055"/>
  <c r="AE141" i="1055"/>
  <c r="R110" i="1052"/>
  <c r="R119" i="1052" s="1"/>
  <c r="R114" i="1053"/>
  <c r="R115" i="1053" s="1"/>
  <c r="R116" i="1053" s="1"/>
  <c r="R126" i="1053" s="1"/>
  <c r="AD147" i="1054"/>
  <c r="AD148" i="1054" s="1"/>
  <c r="AC122" i="1053"/>
  <c r="R122" i="1053"/>
  <c r="AF122" i="1053" s="1"/>
  <c r="AF119" i="1053"/>
  <c r="R110" i="1055"/>
  <c r="R128" i="1055" s="1"/>
  <c r="D182" i="1056"/>
  <c r="B69" i="1056"/>
  <c r="AC122" i="1051"/>
  <c r="AE110" i="1055"/>
  <c r="R122" i="1056"/>
  <c r="AF122" i="1056" s="1"/>
  <c r="AF119" i="1056"/>
  <c r="D182" i="1053"/>
  <c r="B69" i="1053"/>
  <c r="AD144" i="1054"/>
  <c r="AD148" i="1055"/>
  <c r="AD114" i="1056"/>
  <c r="AD115" i="1056" s="1"/>
  <c r="AD116" i="1056" s="1"/>
  <c r="AD126" i="1056" s="1"/>
  <c r="AE112" i="1053"/>
  <c r="AE219" i="1054"/>
  <c r="AE106" i="1054"/>
  <c r="AE110" i="1054" s="1"/>
  <c r="AE128" i="1054" s="1"/>
  <c r="AE145" i="1055"/>
  <c r="AE146" i="1055" s="1"/>
  <c r="AE148" i="1055"/>
  <c r="AD144" i="1053"/>
  <c r="AE141" i="1053"/>
  <c r="AE148" i="1053" s="1"/>
  <c r="AE118" i="1053"/>
  <c r="AE147" i="1054"/>
  <c r="AE145" i="1054"/>
  <c r="AE146" i="1054" s="1"/>
  <c r="AE148" i="1054"/>
  <c r="D238" i="1054"/>
  <c r="B127" i="1054"/>
  <c r="B128" i="1054" s="1"/>
  <c r="B129" i="1054" s="1"/>
  <c r="B130" i="1054" s="1"/>
  <c r="B131" i="1054" s="1"/>
  <c r="B132" i="1054" s="1"/>
  <c r="B133" i="1054" s="1"/>
  <c r="B134" i="1054" s="1"/>
  <c r="AD147" i="1053"/>
  <c r="AD148" i="1053" s="1"/>
  <c r="D182" i="1055"/>
  <c r="B69" i="1055"/>
  <c r="AE89" i="1053"/>
  <c r="S118" i="1055"/>
  <c r="AF118" i="1055"/>
  <c r="AD114" i="1053"/>
  <c r="AD115" i="1053" s="1"/>
  <c r="AD116" i="1053" s="1"/>
  <c r="AD126" i="1053" s="1"/>
  <c r="AE89" i="1054"/>
  <c r="D238" i="1056"/>
  <c r="B127" i="1056"/>
  <c r="B128" i="1056" s="1"/>
  <c r="B129" i="1056" s="1"/>
  <c r="B130" i="1056" s="1"/>
  <c r="B131" i="1056" s="1"/>
  <c r="B132" i="1056" s="1"/>
  <c r="B133" i="1056" s="1"/>
  <c r="B134" i="1056" s="1"/>
  <c r="R114" i="1054"/>
  <c r="D182" i="1051"/>
  <c r="B69" i="1051"/>
  <c r="AD144" i="1052"/>
  <c r="AD113" i="1052"/>
  <c r="AD225" i="1052" s="1"/>
  <c r="D238" i="1051"/>
  <c r="B127" i="1051"/>
  <c r="B128" i="1051" s="1"/>
  <c r="B129" i="1051" s="1"/>
  <c r="B130" i="1051" s="1"/>
  <c r="B131" i="1051" s="1"/>
  <c r="B132" i="1051" s="1"/>
  <c r="B133" i="1051" s="1"/>
  <c r="B134" i="1051" s="1"/>
  <c r="AD119" i="1052"/>
  <c r="AD120" i="1052"/>
  <c r="D182" i="1052"/>
  <c r="B69" i="1052"/>
  <c r="R120" i="1051"/>
  <c r="AF120" i="1051" s="1"/>
  <c r="R119" i="1051"/>
  <c r="AF110" i="1051"/>
  <c r="R128" i="1051"/>
  <c r="AF113" i="1051"/>
  <c r="AE113" i="1052"/>
  <c r="AE225" i="1052" s="1"/>
  <c r="AE128" i="1051"/>
  <c r="P225" i="1052"/>
  <c r="P113" i="1052"/>
  <c r="AF113" i="1052" s="1"/>
  <c r="AF112" i="1052"/>
  <c r="AD147" i="1052"/>
  <c r="AD148" i="1052" s="1"/>
  <c r="R114" i="1051"/>
  <c r="R115" i="1051" s="1"/>
  <c r="R116" i="1051" s="1"/>
  <c r="R126" i="1051" s="1"/>
  <c r="AF89" i="1052"/>
  <c r="AE114" i="1051"/>
  <c r="AE115" i="1051" s="1"/>
  <c r="AE116" i="1051" s="1"/>
  <c r="AE126" i="1051" s="1"/>
  <c r="AE113" i="1051"/>
  <c r="AE225" i="1051" s="1"/>
  <c r="AD148" i="1050"/>
  <c r="AD128" i="1052"/>
  <c r="P115" i="1051"/>
  <c r="P116" i="1051" s="1"/>
  <c r="R120" i="1052"/>
  <c r="AF120" i="1052" s="1"/>
  <c r="AE89" i="1050"/>
  <c r="R128" i="1052"/>
  <c r="S128" i="1052" s="1"/>
  <c r="S118" i="1052"/>
  <c r="AF118" i="1052"/>
  <c r="AE219" i="1052"/>
  <c r="AE106" i="1052"/>
  <c r="AE110" i="1052" s="1"/>
  <c r="AE89" i="1052"/>
  <c r="AD122" i="1051"/>
  <c r="R144" i="1052"/>
  <c r="AC113" i="1052"/>
  <c r="AC225" i="1052" s="1"/>
  <c r="AE145" i="1052"/>
  <c r="AE146" i="1052" s="1"/>
  <c r="AE148" i="1052"/>
  <c r="AE144" i="1052"/>
  <c r="AE119" i="1051"/>
  <c r="AE120" i="1051"/>
  <c r="R147" i="1052"/>
  <c r="D238" i="1052"/>
  <c r="B127" i="1052"/>
  <c r="B128" i="1052" s="1"/>
  <c r="B129" i="1052" s="1"/>
  <c r="B130" i="1052" s="1"/>
  <c r="B131" i="1052" s="1"/>
  <c r="B132" i="1052" s="1"/>
  <c r="B133" i="1052" s="1"/>
  <c r="B134" i="1052" s="1"/>
  <c r="AC122" i="1052"/>
  <c r="D238" i="1050"/>
  <c r="B127" i="1050"/>
  <c r="B128" i="1050" s="1"/>
  <c r="B129" i="1050" s="1"/>
  <c r="B130" i="1050" s="1"/>
  <c r="B131" i="1050" s="1"/>
  <c r="B132" i="1050" s="1"/>
  <c r="B133" i="1050" s="1"/>
  <c r="B134" i="1050" s="1"/>
  <c r="S128" i="1050"/>
  <c r="AF128" i="1050"/>
  <c r="AE148" i="1050"/>
  <c r="AE145" i="1050"/>
  <c r="AE146" i="1050" s="1"/>
  <c r="D182" i="1050"/>
  <c r="B69" i="1050"/>
  <c r="R119" i="1050"/>
  <c r="R120" i="1050"/>
  <c r="AF120" i="1050" s="1"/>
  <c r="AF110" i="1050"/>
  <c r="AE219" i="1050"/>
  <c r="AE106" i="1050"/>
  <c r="AE110" i="1050" s="1"/>
  <c r="R114" i="1050"/>
  <c r="AE112" i="1050"/>
  <c r="AE120" i="1063" l="1"/>
  <c r="AE119" i="1063"/>
  <c r="AE122" i="1063" s="1"/>
  <c r="AE128" i="1063"/>
  <c r="R126" i="1061"/>
  <c r="AF126" i="1061" s="1"/>
  <c r="AF116" i="1061"/>
  <c r="R115" i="1058"/>
  <c r="R116" i="1058" s="1"/>
  <c r="AF114" i="1058"/>
  <c r="AF116" i="1060"/>
  <c r="P126" i="1060"/>
  <c r="AF126" i="1060" s="1"/>
  <c r="D183" i="1058"/>
  <c r="B70" i="1058"/>
  <c r="AE120" i="1058"/>
  <c r="AE119" i="1058"/>
  <c r="AE128" i="1058"/>
  <c r="S128" i="1057"/>
  <c r="AF128" i="1057"/>
  <c r="AE144" i="1060"/>
  <c r="D183" i="1064"/>
  <c r="B70" i="1064"/>
  <c r="AE126" i="1064"/>
  <c r="D183" i="1060"/>
  <c r="B70" i="1060"/>
  <c r="AE128" i="1064"/>
  <c r="AE113" i="1060"/>
  <c r="AE225" i="1060" s="1"/>
  <c r="R115" i="1062"/>
  <c r="R116" i="1062" s="1"/>
  <c r="AF114" i="1062"/>
  <c r="AE128" i="1060"/>
  <c r="B70" i="1061"/>
  <c r="D183" i="1061"/>
  <c r="AE146" i="1064"/>
  <c r="R122" i="1057"/>
  <c r="AF122" i="1057" s="1"/>
  <c r="AF119" i="1057"/>
  <c r="R122" i="1060"/>
  <c r="AF122" i="1060" s="1"/>
  <c r="AF119" i="1060"/>
  <c r="AE147" i="1060"/>
  <c r="AD122" i="1060"/>
  <c r="D183" i="1059"/>
  <c r="B70" i="1059"/>
  <c r="AE120" i="1060"/>
  <c r="AE119" i="1060"/>
  <c r="AF110" i="1052"/>
  <c r="AD122" i="1052"/>
  <c r="AE128" i="1053"/>
  <c r="D183" i="1063"/>
  <c r="B70" i="1063"/>
  <c r="D183" i="1057"/>
  <c r="B70" i="1057"/>
  <c r="AE147" i="1064"/>
  <c r="D183" i="1062"/>
  <c r="B70" i="1062"/>
  <c r="AE114" i="1064"/>
  <c r="AE115" i="1064" s="1"/>
  <c r="AE116" i="1064" s="1"/>
  <c r="AE113" i="1064"/>
  <c r="AE225" i="1064" s="1"/>
  <c r="R119" i="1058"/>
  <c r="R120" i="1058"/>
  <c r="AF120" i="1058" s="1"/>
  <c r="AF110" i="1058"/>
  <c r="R128" i="1058"/>
  <c r="AE113" i="1058"/>
  <c r="AE225" i="1058" s="1"/>
  <c r="AE114" i="1058"/>
  <c r="AE115" i="1058" s="1"/>
  <c r="AE116" i="1058" s="1"/>
  <c r="AE126" i="1058" s="1"/>
  <c r="AF116" i="1063"/>
  <c r="P126" i="1063"/>
  <c r="AF126" i="1063" s="1"/>
  <c r="AE119" i="1062"/>
  <c r="AE120" i="1062"/>
  <c r="AE119" i="1064"/>
  <c r="AE120" i="1064"/>
  <c r="AE146" i="1063"/>
  <c r="AF116" i="1064"/>
  <c r="P126" i="1064"/>
  <c r="AF126" i="1064" s="1"/>
  <c r="AD122" i="1058"/>
  <c r="AD122" i="1062"/>
  <c r="AE114" i="1059"/>
  <c r="AE115" i="1059" s="1"/>
  <c r="AE116" i="1059" s="1"/>
  <c r="AE126" i="1059" s="1"/>
  <c r="AF128" i="1060"/>
  <c r="S128" i="1060"/>
  <c r="R115" i="1059"/>
  <c r="R116" i="1059" s="1"/>
  <c r="AF114" i="1059"/>
  <c r="AF114" i="1060"/>
  <c r="AE119" i="1054"/>
  <c r="AE120" i="1054"/>
  <c r="AE120" i="1055"/>
  <c r="AE119" i="1055"/>
  <c r="AE114" i="1052"/>
  <c r="AE115" i="1052" s="1"/>
  <c r="AE116" i="1052" s="1"/>
  <c r="AE126" i="1052" s="1"/>
  <c r="S128" i="1055"/>
  <c r="AF128" i="1055"/>
  <c r="R114" i="1055"/>
  <c r="AE114" i="1055"/>
  <c r="AE115" i="1055" s="1"/>
  <c r="AE116" i="1055" s="1"/>
  <c r="AE126" i="1055" s="1"/>
  <c r="R115" i="1054"/>
  <c r="R116" i="1054" s="1"/>
  <c r="AF114" i="1054"/>
  <c r="AE144" i="1054"/>
  <c r="AE144" i="1055"/>
  <c r="AE128" i="1055"/>
  <c r="AD122" i="1053"/>
  <c r="D183" i="1055"/>
  <c r="B70" i="1055"/>
  <c r="AF126" i="1053"/>
  <c r="AE147" i="1055"/>
  <c r="AE144" i="1053"/>
  <c r="AE119" i="1053"/>
  <c r="AE120" i="1053"/>
  <c r="R119" i="1055"/>
  <c r="R120" i="1055"/>
  <c r="AF120" i="1055" s="1"/>
  <c r="AF110" i="1055"/>
  <c r="AE114" i="1056"/>
  <c r="AE115" i="1056" s="1"/>
  <c r="AE116" i="1056" s="1"/>
  <c r="AE126" i="1056" s="1"/>
  <c r="AD122" i="1055"/>
  <c r="D183" i="1056"/>
  <c r="B70" i="1056"/>
  <c r="D183" i="1053"/>
  <c r="B70" i="1053"/>
  <c r="D183" i="1054"/>
  <c r="B70" i="1054"/>
  <c r="R126" i="1056"/>
  <c r="AF126" i="1056" s="1"/>
  <c r="AF116" i="1056"/>
  <c r="P114" i="1052"/>
  <c r="AF114" i="1052" s="1"/>
  <c r="AE146" i="1053"/>
  <c r="AE114" i="1054"/>
  <c r="AE115" i="1054" s="1"/>
  <c r="AE116" i="1054" s="1"/>
  <c r="AE126" i="1054" s="1"/>
  <c r="AE122" i="1056"/>
  <c r="AF114" i="1053"/>
  <c r="AE113" i="1053"/>
  <c r="AE225" i="1053" s="1"/>
  <c r="R122" i="1054"/>
  <c r="AF122" i="1054" s="1"/>
  <c r="AF119" i="1054"/>
  <c r="AF116" i="1053"/>
  <c r="P126" i="1053"/>
  <c r="AE120" i="1052"/>
  <c r="AE119" i="1052"/>
  <c r="AE122" i="1052" s="1"/>
  <c r="AE128" i="1052"/>
  <c r="R122" i="1051"/>
  <c r="AF122" i="1051" s="1"/>
  <c r="AF119" i="1051"/>
  <c r="AD114" i="1052"/>
  <c r="AD115" i="1052" s="1"/>
  <c r="AD116" i="1052" s="1"/>
  <c r="AD126" i="1052" s="1"/>
  <c r="R122" i="1052"/>
  <c r="AF122" i="1052" s="1"/>
  <c r="AF119" i="1052"/>
  <c r="B70" i="1052"/>
  <c r="D183" i="1052"/>
  <c r="AE144" i="1050"/>
  <c r="AE147" i="1052"/>
  <c r="AF114" i="1051"/>
  <c r="D183" i="1051"/>
  <c r="B70" i="1051"/>
  <c r="AF116" i="1051"/>
  <c r="P126" i="1051"/>
  <c r="AF126" i="1051" s="1"/>
  <c r="AC114" i="1052"/>
  <c r="AC115" i="1052" s="1"/>
  <c r="AC116" i="1052" s="1"/>
  <c r="AC126" i="1052" s="1"/>
  <c r="AF128" i="1052"/>
  <c r="AE122" i="1051"/>
  <c r="AF128" i="1051"/>
  <c r="S128" i="1051"/>
  <c r="AE119" i="1050"/>
  <c r="AE120" i="1050"/>
  <c r="AE128" i="1050"/>
  <c r="AE113" i="1050"/>
  <c r="AE225" i="1050" s="1"/>
  <c r="R122" i="1050"/>
  <c r="AF122" i="1050" s="1"/>
  <c r="AF119" i="1050"/>
  <c r="D183" i="1050"/>
  <c r="B70" i="1050"/>
  <c r="R115" i="1050"/>
  <c r="R116" i="1050" s="1"/>
  <c r="AF114" i="1050"/>
  <c r="AE147" i="1050"/>
  <c r="AE122" i="1062" l="1"/>
  <c r="R122" i="1058"/>
  <c r="AF122" i="1058" s="1"/>
  <c r="AF119" i="1058"/>
  <c r="D184" i="1063"/>
  <c r="B71" i="1063"/>
  <c r="D184" i="1059"/>
  <c r="B71" i="1059"/>
  <c r="D184" i="1060"/>
  <c r="B71" i="1060"/>
  <c r="AF116" i="1058"/>
  <c r="R126" i="1058"/>
  <c r="AF126" i="1058" s="1"/>
  <c r="B71" i="1061"/>
  <c r="D184" i="1061"/>
  <c r="AE122" i="1058"/>
  <c r="D184" i="1062"/>
  <c r="B71" i="1062"/>
  <c r="R126" i="1059"/>
  <c r="AF126" i="1059" s="1"/>
  <c r="AF116" i="1059"/>
  <c r="D184" i="1064"/>
  <c r="B71" i="1064"/>
  <c r="B71" i="1058"/>
  <c r="D184" i="1058"/>
  <c r="S128" i="1058"/>
  <c r="AF128" i="1058"/>
  <c r="R126" i="1062"/>
  <c r="AF126" i="1062" s="1"/>
  <c r="AF116" i="1062"/>
  <c r="AE122" i="1055"/>
  <c r="AE122" i="1064"/>
  <c r="D184" i="1057"/>
  <c r="B71" i="1057"/>
  <c r="AE122" i="1060"/>
  <c r="AE114" i="1060"/>
  <c r="AE115" i="1060" s="1"/>
  <c r="AE116" i="1060" s="1"/>
  <c r="AE126" i="1060" s="1"/>
  <c r="D184" i="1056"/>
  <c r="B71" i="1056"/>
  <c r="R115" i="1055"/>
  <c r="R116" i="1055" s="1"/>
  <c r="AF114" i="1055"/>
  <c r="AE122" i="1053"/>
  <c r="P115" i="1052"/>
  <c r="P116" i="1052" s="1"/>
  <c r="AF116" i="1052" s="1"/>
  <c r="AE114" i="1053"/>
  <c r="AE115" i="1053" s="1"/>
  <c r="AE116" i="1053" s="1"/>
  <c r="AE126" i="1053" s="1"/>
  <c r="D184" i="1055"/>
  <c r="B71" i="1055"/>
  <c r="B71" i="1053"/>
  <c r="D184" i="1053"/>
  <c r="R122" i="1055"/>
  <c r="AF122" i="1055" s="1"/>
  <c r="AF119" i="1055"/>
  <c r="R126" i="1054"/>
  <c r="AF126" i="1054" s="1"/>
  <c r="AF116" i="1054"/>
  <c r="D184" i="1054"/>
  <c r="B71" i="1054"/>
  <c r="AE122" i="1054"/>
  <c r="D184" i="1052"/>
  <c r="B71" i="1052"/>
  <c r="AE122" i="1050"/>
  <c r="D184" i="1051"/>
  <c r="B71" i="1051"/>
  <c r="AE114" i="1050"/>
  <c r="AE115" i="1050" s="1"/>
  <c r="AE116" i="1050" s="1"/>
  <c r="AE126" i="1050" s="1"/>
  <c r="D184" i="1050"/>
  <c r="B71" i="1050"/>
  <c r="R126" i="1050"/>
  <c r="AF126" i="1050" s="1"/>
  <c r="AF116" i="1050"/>
  <c r="D185" i="1062" l="1"/>
  <c r="B72" i="1062"/>
  <c r="D185" i="1059"/>
  <c r="B72" i="1059"/>
  <c r="B72" i="1057"/>
  <c r="D185" i="1057"/>
  <c r="D185" i="1058"/>
  <c r="B72" i="1058"/>
  <c r="D185" i="1063"/>
  <c r="B72" i="1063"/>
  <c r="D185" i="1064"/>
  <c r="B72" i="1064"/>
  <c r="D185" i="1061"/>
  <c r="B72" i="1061"/>
  <c r="D185" i="1060"/>
  <c r="B72" i="1060"/>
  <c r="P126" i="1052"/>
  <c r="AF126" i="1052" s="1"/>
  <c r="R126" i="1055"/>
  <c r="AF126" i="1055" s="1"/>
  <c r="AF116" i="1055"/>
  <c r="D185" i="1053"/>
  <c r="B72" i="1053"/>
  <c r="D185" i="1056"/>
  <c r="B72" i="1056"/>
  <c r="D185" i="1054"/>
  <c r="B72" i="1054"/>
  <c r="D185" i="1055"/>
  <c r="B72" i="1055"/>
  <c r="B72" i="1051"/>
  <c r="D185" i="1051"/>
  <c r="D185" i="1052"/>
  <c r="B72" i="1052"/>
  <c r="D185" i="1050"/>
  <c r="B72" i="1050"/>
  <c r="B73" i="1060" l="1"/>
  <c r="D186" i="1060"/>
  <c r="D186" i="1058"/>
  <c r="B73" i="1058"/>
  <c r="B73" i="1061"/>
  <c r="D186" i="1061"/>
  <c r="D186" i="1057"/>
  <c r="B73" i="1057"/>
  <c r="D186" i="1064"/>
  <c r="B73" i="1064"/>
  <c r="D186" i="1059"/>
  <c r="B73" i="1059"/>
  <c r="D186" i="1063"/>
  <c r="B73" i="1063"/>
  <c r="D186" i="1062"/>
  <c r="B73" i="1062"/>
  <c r="D186" i="1056"/>
  <c r="B73" i="1056"/>
  <c r="D186" i="1053"/>
  <c r="B73" i="1053"/>
  <c r="D186" i="1055"/>
  <c r="B73" i="1055"/>
  <c r="D186" i="1054"/>
  <c r="B73" i="1054"/>
  <c r="D186" i="1052"/>
  <c r="B73" i="1052"/>
  <c r="D186" i="1051"/>
  <c r="B73" i="1051"/>
  <c r="D186" i="1050"/>
  <c r="B73" i="1050"/>
  <c r="D187" i="1062" l="1"/>
  <c r="B74" i="1062"/>
  <c r="D187" i="1057"/>
  <c r="B74" i="1057"/>
  <c r="D187" i="1063"/>
  <c r="B74" i="1063"/>
  <c r="D187" i="1061"/>
  <c r="B74" i="1061"/>
  <c r="D187" i="1059"/>
  <c r="B74" i="1059"/>
  <c r="D187" i="1058"/>
  <c r="B74" i="1058"/>
  <c r="D187" i="1064"/>
  <c r="B74" i="1064"/>
  <c r="B74" i="1060"/>
  <c r="D187" i="1060"/>
  <c r="D187" i="1054"/>
  <c r="B74" i="1054"/>
  <c r="D187" i="1055"/>
  <c r="B74" i="1055"/>
  <c r="D187" i="1053"/>
  <c r="B74" i="1053"/>
  <c r="D187" i="1056"/>
  <c r="B74" i="1056"/>
  <c r="D187" i="1051"/>
  <c r="B74" i="1051"/>
  <c r="D187" i="1052"/>
  <c r="B74" i="1052"/>
  <c r="D187" i="1050"/>
  <c r="B74" i="1050"/>
  <c r="B75" i="1061" l="1"/>
  <c r="D188" i="1061"/>
  <c r="D188" i="1060"/>
  <c r="B75" i="1060"/>
  <c r="D188" i="1064"/>
  <c r="B75" i="1064"/>
  <c r="D188" i="1063"/>
  <c r="B75" i="1063"/>
  <c r="B75" i="1058"/>
  <c r="D188" i="1058"/>
  <c r="D188" i="1057"/>
  <c r="B75" i="1057"/>
  <c r="D188" i="1059"/>
  <c r="B75" i="1059"/>
  <c r="D188" i="1062"/>
  <c r="B75" i="1062"/>
  <c r="D188" i="1053"/>
  <c r="B75" i="1053"/>
  <c r="D188" i="1055"/>
  <c r="B75" i="1055"/>
  <c r="D188" i="1056"/>
  <c r="B75" i="1056"/>
  <c r="D188" i="1054"/>
  <c r="B75" i="1054"/>
  <c r="D188" i="1052"/>
  <c r="B75" i="1052"/>
  <c r="D188" i="1051"/>
  <c r="B75" i="1051"/>
  <c r="D188" i="1050"/>
  <c r="B75" i="1050"/>
  <c r="B76" i="1063" l="1"/>
  <c r="D189" i="1063"/>
  <c r="D189" i="1062"/>
  <c r="B76" i="1062"/>
  <c r="D189" i="1064"/>
  <c r="B76" i="1064"/>
  <c r="D189" i="1059"/>
  <c r="B76" i="1059"/>
  <c r="D189" i="1057"/>
  <c r="B76" i="1057"/>
  <c r="D189" i="1060"/>
  <c r="B76" i="1060"/>
  <c r="D189" i="1058"/>
  <c r="B76" i="1058"/>
  <c r="D189" i="1061"/>
  <c r="B76" i="1061"/>
  <c r="D189" i="1054"/>
  <c r="B76" i="1054"/>
  <c r="D189" i="1056"/>
  <c r="B76" i="1056"/>
  <c r="D189" i="1053"/>
  <c r="B76" i="1053"/>
  <c r="D189" i="1055"/>
  <c r="B76" i="1055"/>
  <c r="D189" i="1051"/>
  <c r="B76" i="1051"/>
  <c r="D189" i="1052"/>
  <c r="B76" i="1052"/>
  <c r="D189" i="1050"/>
  <c r="B76" i="1050"/>
  <c r="D190" i="1064" l="1"/>
  <c r="B77" i="1064"/>
  <c r="D190" i="1061"/>
  <c r="B77" i="1061"/>
  <c r="D190" i="1059"/>
  <c r="B77" i="1059"/>
  <c r="D190" i="1058"/>
  <c r="B77" i="1058"/>
  <c r="D190" i="1060"/>
  <c r="B77" i="1060"/>
  <c r="D190" i="1062"/>
  <c r="B77" i="1062"/>
  <c r="D190" i="1057"/>
  <c r="B77" i="1057"/>
  <c r="D190" i="1063"/>
  <c r="B77" i="1063"/>
  <c r="D190" i="1055"/>
  <c r="B77" i="1055"/>
  <c r="D190" i="1053"/>
  <c r="B77" i="1053"/>
  <c r="D190" i="1056"/>
  <c r="B77" i="1056"/>
  <c r="B77" i="1054"/>
  <c r="D190" i="1054"/>
  <c r="D190" i="1052"/>
  <c r="B77" i="1052"/>
  <c r="D190" i="1051"/>
  <c r="B77" i="1051"/>
  <c r="D190" i="1050"/>
  <c r="B77" i="1050"/>
  <c r="D191" i="1057" l="1"/>
  <c r="B80" i="1057"/>
  <c r="B78" i="1057"/>
  <c r="B79" i="1057" s="1"/>
  <c r="D191" i="1063"/>
  <c r="B78" i="1063"/>
  <c r="B79" i="1063" s="1"/>
  <c r="B80" i="1063"/>
  <c r="B80" i="1058"/>
  <c r="D191" i="1058"/>
  <c r="B78" i="1058"/>
  <c r="B79" i="1058" s="1"/>
  <c r="D191" i="1059"/>
  <c r="B80" i="1059"/>
  <c r="B78" i="1059"/>
  <c r="B79" i="1059" s="1"/>
  <c r="D191" i="1062"/>
  <c r="B78" i="1062"/>
  <c r="B79" i="1062" s="1"/>
  <c r="B80" i="1062"/>
  <c r="D191" i="1061"/>
  <c r="B80" i="1061"/>
  <c r="B78" i="1061"/>
  <c r="B79" i="1061" s="1"/>
  <c r="B78" i="1060"/>
  <c r="B79" i="1060" s="1"/>
  <c r="B80" i="1060"/>
  <c r="D191" i="1060"/>
  <c r="D191" i="1064"/>
  <c r="B80" i="1064"/>
  <c r="B78" i="1064"/>
  <c r="B79" i="1064" s="1"/>
  <c r="D191" i="1054"/>
  <c r="B80" i="1054"/>
  <c r="B78" i="1054"/>
  <c r="B79" i="1054" s="1"/>
  <c r="D191" i="1056"/>
  <c r="B78" i="1056"/>
  <c r="B79" i="1056" s="1"/>
  <c r="B80" i="1056"/>
  <c r="D191" i="1055"/>
  <c r="B78" i="1055"/>
  <c r="B79" i="1055" s="1"/>
  <c r="B80" i="1055"/>
  <c r="D191" i="1053"/>
  <c r="B80" i="1053"/>
  <c r="B78" i="1053"/>
  <c r="B79" i="1053" s="1"/>
  <c r="D191" i="1051"/>
  <c r="B80" i="1051"/>
  <c r="B78" i="1051"/>
  <c r="B79" i="1051" s="1"/>
  <c r="D191" i="1052"/>
  <c r="B80" i="1052"/>
  <c r="B78" i="1052"/>
  <c r="B79" i="1052" s="1"/>
  <c r="D191" i="1050"/>
  <c r="B78" i="1050"/>
  <c r="B79" i="1050" s="1"/>
  <c r="B80" i="1050"/>
  <c r="D194" i="1064" l="1"/>
  <c r="B81" i="1064"/>
  <c r="D194" i="1062"/>
  <c r="B81" i="1062"/>
  <c r="D194" i="1058"/>
  <c r="B81" i="1058"/>
  <c r="D194" i="1063"/>
  <c r="B81" i="1063"/>
  <c r="D194" i="1060"/>
  <c r="B81" i="1060"/>
  <c r="D194" i="1059"/>
  <c r="B81" i="1059"/>
  <c r="D194" i="1057"/>
  <c r="B81" i="1057"/>
  <c r="D194" i="1061"/>
  <c r="B81" i="1061"/>
  <c r="D194" i="1056"/>
  <c r="B81" i="1056"/>
  <c r="D194" i="1053"/>
  <c r="B81" i="1053"/>
  <c r="D194" i="1054"/>
  <c r="B81" i="1054"/>
  <c r="D194" i="1055"/>
  <c r="B81" i="1055"/>
  <c r="D194" i="1052"/>
  <c r="B81" i="1052"/>
  <c r="D194" i="1051"/>
  <c r="B81" i="1051"/>
  <c r="D194" i="1050"/>
  <c r="B81" i="1050"/>
  <c r="D195" i="1061" l="1"/>
  <c r="D196" i="1061"/>
  <c r="B82" i="1061"/>
  <c r="D196" i="1063"/>
  <c r="D195" i="1063"/>
  <c r="B82" i="1063"/>
  <c r="D195" i="1057"/>
  <c r="D196" i="1057"/>
  <c r="B82" i="1057"/>
  <c r="D196" i="1058"/>
  <c r="D195" i="1058"/>
  <c r="B82" i="1058"/>
  <c r="D196" i="1059"/>
  <c r="D195" i="1059"/>
  <c r="B82" i="1059"/>
  <c r="D196" i="1062"/>
  <c r="D195" i="1062"/>
  <c r="B82" i="1062"/>
  <c r="D195" i="1060"/>
  <c r="B82" i="1060"/>
  <c r="D196" i="1060"/>
  <c r="D196" i="1064"/>
  <c r="D195" i="1064"/>
  <c r="B82" i="1064"/>
  <c r="D196" i="1055"/>
  <c r="D195" i="1055"/>
  <c r="B82" i="1055"/>
  <c r="D196" i="1054"/>
  <c r="B82" i="1054"/>
  <c r="D195" i="1054"/>
  <c r="D196" i="1053"/>
  <c r="D195" i="1053"/>
  <c r="B82" i="1053"/>
  <c r="D196" i="1056"/>
  <c r="D195" i="1056"/>
  <c r="B82" i="1056"/>
  <c r="D195" i="1051"/>
  <c r="D196" i="1051"/>
  <c r="B82" i="1051"/>
  <c r="D196" i="1052"/>
  <c r="D195" i="1052"/>
  <c r="B82" i="1052"/>
  <c r="D195" i="1050"/>
  <c r="D196" i="1050"/>
  <c r="B82" i="1050"/>
  <c r="D197" i="1063" l="1"/>
  <c r="B83" i="1063"/>
  <c r="B83" i="1060"/>
  <c r="D197" i="1060"/>
  <c r="D197" i="1058"/>
  <c r="B83" i="1058"/>
  <c r="D197" i="1059"/>
  <c r="B83" i="1059"/>
  <c r="D197" i="1061"/>
  <c r="B83" i="1061"/>
  <c r="D197" i="1062"/>
  <c r="B83" i="1062"/>
  <c r="D197" i="1064"/>
  <c r="B83" i="1064"/>
  <c r="D197" i="1057"/>
  <c r="B83" i="1057"/>
  <c r="D197" i="1056"/>
  <c r="B83" i="1056"/>
  <c r="D197" i="1055"/>
  <c r="B83" i="1055"/>
  <c r="D197" i="1054"/>
  <c r="B83" i="1054"/>
  <c r="D197" i="1053"/>
  <c r="B83" i="1053"/>
  <c r="D197" i="1052"/>
  <c r="B83" i="1052"/>
  <c r="D197" i="1051"/>
  <c r="B83" i="1051"/>
  <c r="D197" i="1050"/>
  <c r="B83" i="1050"/>
  <c r="D198" i="1060" l="1"/>
  <c r="B84" i="1060"/>
  <c r="B85" i="1060" s="1"/>
  <c r="B86" i="1060" s="1"/>
  <c r="B87" i="1060" s="1"/>
  <c r="D198" i="1061"/>
  <c r="B84" i="1061"/>
  <c r="B85" i="1061" s="1"/>
  <c r="B86" i="1061" s="1"/>
  <c r="B87" i="1061" s="1"/>
  <c r="D198" i="1057"/>
  <c r="B84" i="1057"/>
  <c r="B85" i="1057" s="1"/>
  <c r="B86" i="1057" s="1"/>
  <c r="B87" i="1057" s="1"/>
  <c r="D198" i="1059"/>
  <c r="B84" i="1059"/>
  <c r="B85" i="1059" s="1"/>
  <c r="B86" i="1059" s="1"/>
  <c r="B87" i="1059" s="1"/>
  <c r="D198" i="1064"/>
  <c r="B84" i="1064"/>
  <c r="B85" i="1064" s="1"/>
  <c r="B86" i="1064" s="1"/>
  <c r="B87" i="1064" s="1"/>
  <c r="B84" i="1058"/>
  <c r="B85" i="1058" s="1"/>
  <c r="B86" i="1058" s="1"/>
  <c r="B87" i="1058" s="1"/>
  <c r="D198" i="1058"/>
  <c r="D198" i="1062"/>
  <c r="B84" i="1062"/>
  <c r="B85" i="1062" s="1"/>
  <c r="B86" i="1062" s="1"/>
  <c r="B87" i="1062" s="1"/>
  <c r="D198" i="1063"/>
  <c r="B84" i="1063"/>
  <c r="B85" i="1063" s="1"/>
  <c r="B86" i="1063" s="1"/>
  <c r="B87" i="1063" s="1"/>
  <c r="D198" i="1056"/>
  <c r="B84" i="1056"/>
  <c r="B85" i="1056" s="1"/>
  <c r="B86" i="1056" s="1"/>
  <c r="B87" i="1056" s="1"/>
  <c r="B84" i="1053"/>
  <c r="B85" i="1053" s="1"/>
  <c r="B86" i="1053" s="1"/>
  <c r="B87" i="1053" s="1"/>
  <c r="D198" i="1053"/>
  <c r="D198" i="1054"/>
  <c r="B84" i="1054"/>
  <c r="B85" i="1054" s="1"/>
  <c r="B86" i="1054" s="1"/>
  <c r="B87" i="1054" s="1"/>
  <c r="D198" i="1055"/>
  <c r="B84" i="1055"/>
  <c r="B85" i="1055" s="1"/>
  <c r="B86" i="1055" s="1"/>
  <c r="B87" i="1055" s="1"/>
  <c r="D198" i="1051"/>
  <c r="B84" i="1051"/>
  <c r="B85" i="1051" s="1"/>
  <c r="B86" i="1051" s="1"/>
  <c r="B87" i="1051" s="1"/>
  <c r="D198" i="1052"/>
  <c r="B84" i="1052"/>
  <c r="B85" i="1052" s="1"/>
  <c r="B86" i="1052" s="1"/>
  <c r="B87" i="1052" s="1"/>
  <c r="D198" i="1050"/>
  <c r="B84" i="1050"/>
  <c r="B85" i="1050" s="1"/>
  <c r="B86" i="1050" s="1"/>
  <c r="B87" i="1050" s="1"/>
  <c r="D199" i="1063" l="1"/>
  <c r="B89" i="1063"/>
  <c r="D199" i="1059"/>
  <c r="B89" i="1059"/>
  <c r="D199" i="1062"/>
  <c r="B89" i="1062"/>
  <c r="D199" i="1057"/>
  <c r="B89" i="1057"/>
  <c r="D199" i="1061"/>
  <c r="B89" i="1061"/>
  <c r="D199" i="1058"/>
  <c r="B89" i="1058"/>
  <c r="D199" i="1064"/>
  <c r="B89" i="1064"/>
  <c r="D199" i="1060"/>
  <c r="B89" i="1060"/>
  <c r="D199" i="1055"/>
  <c r="B89" i="1055"/>
  <c r="D199" i="1054"/>
  <c r="B89" i="1054"/>
  <c r="D199" i="1053"/>
  <c r="B89" i="1053"/>
  <c r="D199" i="1056"/>
  <c r="B89" i="1056"/>
  <c r="D199" i="1052"/>
  <c r="B89" i="1052"/>
  <c r="D199" i="1051"/>
  <c r="B89" i="1051"/>
  <c r="D199" i="1050"/>
  <c r="B89" i="1050"/>
  <c r="D201" i="1064" l="1"/>
  <c r="B90" i="1064"/>
  <c r="B90" i="1060"/>
  <c r="D201" i="1060"/>
  <c r="B90" i="1063"/>
  <c r="D201" i="1063"/>
  <c r="D201" i="1057"/>
  <c r="B90" i="1057"/>
  <c r="D201" i="1062"/>
  <c r="B90" i="1062"/>
  <c r="D201" i="1058"/>
  <c r="B90" i="1058"/>
  <c r="D201" i="1059"/>
  <c r="B90" i="1059"/>
  <c r="D201" i="1061"/>
  <c r="B90" i="1061"/>
  <c r="D201" i="1053"/>
  <c r="B90" i="1053"/>
  <c r="D201" i="1056"/>
  <c r="B90" i="1056"/>
  <c r="D201" i="1054"/>
  <c r="B90" i="1054"/>
  <c r="D201" i="1055"/>
  <c r="B90" i="1055"/>
  <c r="D201" i="1051"/>
  <c r="B90" i="1051"/>
  <c r="D201" i="1052"/>
  <c r="B90" i="1052"/>
  <c r="D201" i="1050"/>
  <c r="B90" i="1050"/>
  <c r="B91" i="1060" l="1"/>
  <c r="D202" i="1060"/>
  <c r="D202" i="1061"/>
  <c r="B91" i="1061"/>
  <c r="D202" i="1063"/>
  <c r="B91" i="1063"/>
  <c r="D202" i="1062"/>
  <c r="B91" i="1062"/>
  <c r="D202" i="1064"/>
  <c r="B91" i="1064"/>
  <c r="D202" i="1057"/>
  <c r="B91" i="1057"/>
  <c r="D202" i="1059"/>
  <c r="B91" i="1059"/>
  <c r="D202" i="1058"/>
  <c r="B91" i="1058"/>
  <c r="D202" i="1055"/>
  <c r="B91" i="1055"/>
  <c r="D202" i="1054"/>
  <c r="B91" i="1054"/>
  <c r="D202" i="1056"/>
  <c r="B91" i="1056"/>
  <c r="D202" i="1053"/>
  <c r="B91" i="1053"/>
  <c r="D202" i="1052"/>
  <c r="B91" i="1052"/>
  <c r="D202" i="1051"/>
  <c r="B91" i="1051"/>
  <c r="D202" i="1050"/>
  <c r="B91" i="1050"/>
  <c r="B92" i="1058" l="1"/>
  <c r="D203" i="1058"/>
  <c r="D203" i="1062"/>
  <c r="B92" i="1062"/>
  <c r="B92" i="1059"/>
  <c r="D203" i="1059"/>
  <c r="D203" i="1063"/>
  <c r="B92" i="1063"/>
  <c r="D203" i="1057"/>
  <c r="B92" i="1057"/>
  <c r="D203" i="1061"/>
  <c r="B92" i="1061"/>
  <c r="D203" i="1064"/>
  <c r="B92" i="1064"/>
  <c r="D203" i="1060"/>
  <c r="B92" i="1060"/>
  <c r="D203" i="1056"/>
  <c r="B92" i="1056"/>
  <c r="D203" i="1053"/>
  <c r="B92" i="1053"/>
  <c r="D203" i="1054"/>
  <c r="B92" i="1054"/>
  <c r="D203" i="1055"/>
  <c r="B92" i="1055"/>
  <c r="D203" i="1051"/>
  <c r="B92" i="1051"/>
  <c r="D203" i="1052"/>
  <c r="B92" i="1052"/>
  <c r="D203" i="1050"/>
  <c r="B92" i="1050"/>
  <c r="D204" i="1060" l="1"/>
  <c r="B93" i="1060"/>
  <c r="D204" i="1063"/>
  <c r="B93" i="1063"/>
  <c r="D204" i="1064"/>
  <c r="B93" i="1064"/>
  <c r="D204" i="1059"/>
  <c r="B93" i="1059"/>
  <c r="D204" i="1061"/>
  <c r="B93" i="1061"/>
  <c r="D204" i="1062"/>
  <c r="B93" i="1062"/>
  <c r="D204" i="1057"/>
  <c r="B93" i="1057"/>
  <c r="D204" i="1058"/>
  <c r="B93" i="1058"/>
  <c r="D204" i="1055"/>
  <c r="B93" i="1055"/>
  <c r="D204" i="1054"/>
  <c r="B93" i="1054"/>
  <c r="B93" i="1053"/>
  <c r="D204" i="1053"/>
  <c r="D204" i="1056"/>
  <c r="B93" i="1056"/>
  <c r="D204" i="1052"/>
  <c r="B93" i="1052"/>
  <c r="D204" i="1051"/>
  <c r="B93" i="1051"/>
  <c r="D204" i="1050"/>
  <c r="B93" i="1050"/>
  <c r="D205" i="1058" l="1"/>
  <c r="B94" i="1058"/>
  <c r="D205" i="1059"/>
  <c r="B94" i="1059"/>
  <c r="D205" i="1057"/>
  <c r="B94" i="1057"/>
  <c r="D205" i="1064"/>
  <c r="B94" i="1064"/>
  <c r="D205" i="1063"/>
  <c r="B94" i="1063"/>
  <c r="D205" i="1061"/>
  <c r="B94" i="1061"/>
  <c r="D205" i="1060"/>
  <c r="B94" i="1060"/>
  <c r="D205" i="1062"/>
  <c r="B94" i="1062"/>
  <c r="D205" i="1056"/>
  <c r="B94" i="1056"/>
  <c r="D205" i="1054"/>
  <c r="B94" i="1054"/>
  <c r="D205" i="1055"/>
  <c r="B94" i="1055"/>
  <c r="D205" i="1053"/>
  <c r="B94" i="1053"/>
  <c r="D205" i="1051"/>
  <c r="B94" i="1051"/>
  <c r="D205" i="1052"/>
  <c r="B94" i="1052"/>
  <c r="D205" i="1050"/>
  <c r="B94" i="1050"/>
  <c r="D206" i="1062" l="1"/>
  <c r="B95" i="1062"/>
  <c r="D206" i="1060"/>
  <c r="B95" i="1060"/>
  <c r="D206" i="1059"/>
  <c r="B95" i="1059"/>
  <c r="D206" i="1064"/>
  <c r="B95" i="1064"/>
  <c r="D206" i="1057"/>
  <c r="B95" i="1057"/>
  <c r="D206" i="1063"/>
  <c r="B95" i="1063"/>
  <c r="D206" i="1058"/>
  <c r="B95" i="1058"/>
  <c r="D206" i="1061"/>
  <c r="B95" i="1061"/>
  <c r="D206" i="1053"/>
  <c r="B95" i="1053"/>
  <c r="D206" i="1055"/>
  <c r="B95" i="1055"/>
  <c r="D206" i="1054"/>
  <c r="B95" i="1054"/>
  <c r="D206" i="1056"/>
  <c r="B95" i="1056"/>
  <c r="D206" i="1052"/>
  <c r="B95" i="1052"/>
  <c r="D206" i="1051"/>
  <c r="B95" i="1051"/>
  <c r="D206" i="1050"/>
  <c r="B95" i="1050"/>
  <c r="D207" i="1059" l="1"/>
  <c r="B96" i="1059"/>
  <c r="D207" i="1063"/>
  <c r="B96" i="1063"/>
  <c r="D207" i="1064"/>
  <c r="B96" i="1064"/>
  <c r="D207" i="1058"/>
  <c r="B96" i="1058"/>
  <c r="D207" i="1060"/>
  <c r="B96" i="1060"/>
  <c r="D207" i="1057"/>
  <c r="B96" i="1057"/>
  <c r="D207" i="1062"/>
  <c r="B96" i="1062"/>
  <c r="D207" i="1061"/>
  <c r="B96" i="1061"/>
  <c r="D207" i="1055"/>
  <c r="B96" i="1055"/>
  <c r="D207" i="1053"/>
  <c r="B96" i="1053"/>
  <c r="D207" i="1056"/>
  <c r="B96" i="1056"/>
  <c r="D207" i="1054"/>
  <c r="B96" i="1054"/>
  <c r="D207" i="1051"/>
  <c r="B96" i="1051"/>
  <c r="D207" i="1052"/>
  <c r="B96" i="1052"/>
  <c r="D207" i="1050"/>
  <c r="B96" i="1050"/>
  <c r="D208" i="1061" l="1"/>
  <c r="B97" i="1061"/>
  <c r="D208" i="1063"/>
  <c r="B97" i="1063"/>
  <c r="B97" i="1057"/>
  <c r="D208" i="1057"/>
  <c r="B97" i="1060"/>
  <c r="D208" i="1060"/>
  <c r="D208" i="1059"/>
  <c r="B97" i="1059"/>
  <c r="D208" i="1058"/>
  <c r="B97" i="1058"/>
  <c r="D208" i="1062"/>
  <c r="B97" i="1062"/>
  <c r="D208" i="1064"/>
  <c r="B97" i="1064"/>
  <c r="D208" i="1054"/>
  <c r="B97" i="1054"/>
  <c r="D208" i="1053"/>
  <c r="B97" i="1053"/>
  <c r="D208" i="1056"/>
  <c r="B97" i="1056"/>
  <c r="D208" i="1055"/>
  <c r="B97" i="1055"/>
  <c r="D208" i="1052"/>
  <c r="B97" i="1052"/>
  <c r="D208" i="1051"/>
  <c r="B97" i="1051"/>
  <c r="D208" i="1050"/>
  <c r="B97" i="1050"/>
  <c r="D209" i="1057" l="1"/>
  <c r="B98" i="1057"/>
  <c r="D209" i="1063"/>
  <c r="B98" i="1063"/>
  <c r="B98" i="1058"/>
  <c r="D209" i="1058"/>
  <c r="D209" i="1059"/>
  <c r="B98" i="1059"/>
  <c r="D209" i="1061"/>
  <c r="B98" i="1061"/>
  <c r="D209" i="1064"/>
  <c r="B98" i="1064"/>
  <c r="D209" i="1060"/>
  <c r="B98" i="1060"/>
  <c r="D209" i="1062"/>
  <c r="B98" i="1062"/>
  <c r="D209" i="1055"/>
  <c r="B98" i="1055"/>
  <c r="D209" i="1056"/>
  <c r="B98" i="1056"/>
  <c r="D209" i="1054"/>
  <c r="B98" i="1054"/>
  <c r="D209" i="1053"/>
  <c r="B98" i="1053"/>
  <c r="D209" i="1051"/>
  <c r="B98" i="1051"/>
  <c r="D209" i="1052"/>
  <c r="B98" i="1052"/>
  <c r="D209" i="1050"/>
  <c r="B98" i="1050"/>
  <c r="D210" i="1062" l="1"/>
  <c r="B99" i="1062"/>
  <c r="D210" i="1063"/>
  <c r="B99" i="1063"/>
  <c r="D210" i="1058"/>
  <c r="B99" i="1058"/>
  <c r="D210" i="1061"/>
  <c r="B99" i="1061"/>
  <c r="D210" i="1057"/>
  <c r="B99" i="1057"/>
  <c r="D210" i="1059"/>
  <c r="B99" i="1059"/>
  <c r="D210" i="1060"/>
  <c r="B99" i="1060"/>
  <c r="D210" i="1064"/>
  <c r="B99" i="1064"/>
  <c r="D210" i="1053"/>
  <c r="B99" i="1053"/>
  <c r="D210" i="1056"/>
  <c r="B99" i="1056"/>
  <c r="D210" i="1054"/>
  <c r="B99" i="1054"/>
  <c r="D210" i="1055"/>
  <c r="B99" i="1055"/>
  <c r="D210" i="1051"/>
  <c r="B99" i="1051"/>
  <c r="D210" i="1052"/>
  <c r="B99" i="1052"/>
  <c r="D210" i="1050"/>
  <c r="B99" i="1050"/>
  <c r="D211" i="1063" l="1"/>
  <c r="B100" i="1063"/>
  <c r="D211" i="1061"/>
  <c r="B100" i="1061"/>
  <c r="B100" i="1060"/>
  <c r="D211" i="1060"/>
  <c r="D211" i="1057"/>
  <c r="B100" i="1057"/>
  <c r="D211" i="1062"/>
  <c r="B100" i="1062"/>
  <c r="D211" i="1064"/>
  <c r="B100" i="1064"/>
  <c r="D211" i="1058"/>
  <c r="B100" i="1058"/>
  <c r="D211" i="1059"/>
  <c r="B100" i="1059"/>
  <c r="D211" i="1054"/>
  <c r="B100" i="1054"/>
  <c r="D211" i="1055"/>
  <c r="B100" i="1055"/>
  <c r="D211" i="1056"/>
  <c r="B100" i="1056"/>
  <c r="D211" i="1053"/>
  <c r="B100" i="1053"/>
  <c r="D211" i="1052"/>
  <c r="B100" i="1052"/>
  <c r="D211" i="1051"/>
  <c r="B100" i="1051"/>
  <c r="D211" i="1050"/>
  <c r="B100" i="1050"/>
  <c r="D212" i="1060" l="1"/>
  <c r="B101" i="1060"/>
  <c r="D212" i="1059"/>
  <c r="B101" i="1059"/>
  <c r="D212" i="1064"/>
  <c r="B101" i="1064"/>
  <c r="D212" i="1061"/>
  <c r="B101" i="1061"/>
  <c r="B101" i="1057"/>
  <c r="D212" i="1057"/>
  <c r="B101" i="1062"/>
  <c r="D212" i="1062"/>
  <c r="D212" i="1063"/>
  <c r="B101" i="1063"/>
  <c r="B101" i="1058"/>
  <c r="D212" i="1058"/>
  <c r="D212" i="1053"/>
  <c r="B101" i="1053"/>
  <c r="D212" i="1056"/>
  <c r="B101" i="1056"/>
  <c r="D212" i="1055"/>
  <c r="B101" i="1055"/>
  <c r="D212" i="1054"/>
  <c r="B101" i="1054"/>
  <c r="D212" i="1051"/>
  <c r="B101" i="1051"/>
  <c r="D212" i="1052"/>
  <c r="B101" i="1052"/>
  <c r="D212" i="1050"/>
  <c r="B101" i="1050"/>
  <c r="D213" i="1061" l="1"/>
  <c r="B102" i="1061"/>
  <c r="D213" i="1058"/>
  <c r="B102" i="1058"/>
  <c r="D213" i="1063"/>
  <c r="B102" i="1063"/>
  <c r="D213" i="1064"/>
  <c r="B102" i="1064"/>
  <c r="D213" i="1059"/>
  <c r="B102" i="1059"/>
  <c r="D213" i="1062"/>
  <c r="B102" i="1062"/>
  <c r="D213" i="1060"/>
  <c r="B102" i="1060"/>
  <c r="B102" i="1057"/>
  <c r="D213" i="1057"/>
  <c r="D213" i="1054"/>
  <c r="B102" i="1054"/>
  <c r="D213" i="1055"/>
  <c r="B102" i="1055"/>
  <c r="D213" i="1056"/>
  <c r="B102" i="1056"/>
  <c r="D213" i="1053"/>
  <c r="B102" i="1053"/>
  <c r="D213" i="1052"/>
  <c r="B102" i="1052"/>
  <c r="B102" i="1051"/>
  <c r="D213" i="1051"/>
  <c r="D213" i="1050"/>
  <c r="B102" i="1050"/>
  <c r="D214" i="1064" l="1"/>
  <c r="B103" i="1064"/>
  <c r="D214" i="1057"/>
  <c r="B103" i="1057"/>
  <c r="D214" i="1060"/>
  <c r="B103" i="1060"/>
  <c r="D214" i="1063"/>
  <c r="B103" i="1063"/>
  <c r="D214" i="1062"/>
  <c r="B103" i="1062"/>
  <c r="D214" i="1058"/>
  <c r="B103" i="1058"/>
  <c r="D214" i="1059"/>
  <c r="B103" i="1059"/>
  <c r="D214" i="1061"/>
  <c r="B103" i="1061"/>
  <c r="D214" i="1053"/>
  <c r="B103" i="1053"/>
  <c r="D214" i="1056"/>
  <c r="B103" i="1056"/>
  <c r="D214" i="1055"/>
  <c r="B103" i="1055"/>
  <c r="D214" i="1054"/>
  <c r="B103" i="1054"/>
  <c r="D214" i="1051"/>
  <c r="B103" i="1051"/>
  <c r="D214" i="1052"/>
  <c r="B103" i="1052"/>
  <c r="D214" i="1050"/>
  <c r="B103" i="1050"/>
  <c r="D215" i="1059" l="1"/>
  <c r="B104" i="1059"/>
  <c r="D215" i="1060"/>
  <c r="B104" i="1060"/>
  <c r="B104" i="1058"/>
  <c r="D215" i="1058"/>
  <c r="D215" i="1057"/>
  <c r="B104" i="1057"/>
  <c r="D215" i="1063"/>
  <c r="B104" i="1063"/>
  <c r="B104" i="1062"/>
  <c r="D215" i="1062"/>
  <c r="D215" i="1064"/>
  <c r="B104" i="1064"/>
  <c r="D215" i="1061"/>
  <c r="B104" i="1061"/>
  <c r="D215" i="1054"/>
  <c r="B104" i="1054"/>
  <c r="D215" i="1056"/>
  <c r="B104" i="1056"/>
  <c r="D215" i="1055"/>
  <c r="B104" i="1055"/>
  <c r="D215" i="1053"/>
  <c r="B104" i="1053"/>
  <c r="D215" i="1052"/>
  <c r="B104" i="1052"/>
  <c r="D215" i="1051"/>
  <c r="B104" i="1051"/>
  <c r="D215" i="1050"/>
  <c r="B104" i="1050"/>
  <c r="D216" i="1061" l="1"/>
  <c r="B105" i="1061"/>
  <c r="D217" i="1061" s="1"/>
  <c r="D216" i="1057"/>
  <c r="B105" i="1057"/>
  <c r="D217" i="1057" s="1"/>
  <c r="B105" i="1058"/>
  <c r="D217" i="1058" s="1"/>
  <c r="D216" i="1058"/>
  <c r="B105" i="1060"/>
  <c r="D217" i="1060" s="1"/>
  <c r="D216" i="1060"/>
  <c r="D216" i="1063"/>
  <c r="B105" i="1063"/>
  <c r="D217" i="1063" s="1"/>
  <c r="D216" i="1059"/>
  <c r="B105" i="1059"/>
  <c r="D217" i="1059" s="1"/>
  <c r="D216" i="1064"/>
  <c r="B105" i="1064"/>
  <c r="D217" i="1064" s="1"/>
  <c r="B105" i="1062"/>
  <c r="D217" i="1062" s="1"/>
  <c r="D216" i="1062"/>
  <c r="D216" i="1055"/>
  <c r="B105" i="1055"/>
  <c r="D217" i="1055" s="1"/>
  <c r="D216" i="1054"/>
  <c r="B105" i="1054"/>
  <c r="D217" i="1054" s="1"/>
  <c r="D216" i="1053"/>
  <c r="B105" i="1053"/>
  <c r="D217" i="1053" s="1"/>
  <c r="D216" i="1056"/>
  <c r="B105" i="1056"/>
  <c r="D217" i="1056" s="1"/>
  <c r="D216" i="1051"/>
  <c r="B105" i="1051"/>
  <c r="D217" i="1051" s="1"/>
  <c r="D216" i="1052"/>
  <c r="B105" i="1052"/>
  <c r="D217" i="1052" s="1"/>
  <c r="D216" i="1050"/>
  <c r="B105" i="1050"/>
  <c r="D217" i="1050" s="1"/>
  <c r="K6" i="546" l="1"/>
  <c r="M4" i="173" l="1"/>
  <c r="J8" i="173"/>
  <c r="K8" i="173" s="1"/>
  <c r="L8" i="173" s="1"/>
  <c r="I8" i="173"/>
  <c r="S181" i="546"/>
  <c r="G181" i="546"/>
  <c r="G53" i="546"/>
  <c r="G67" i="546"/>
  <c r="K44" i="173"/>
  <c r="L44" i="173"/>
  <c r="M44" i="173"/>
  <c r="N44" i="173"/>
  <c r="O44" i="173"/>
  <c r="P44" i="173"/>
  <c r="K45" i="173"/>
  <c r="L45" i="173"/>
  <c r="M45" i="173"/>
  <c r="N45" i="173"/>
  <c r="O45" i="173"/>
  <c r="P45" i="173"/>
  <c r="J45" i="173"/>
  <c r="J44" i="173"/>
  <c r="O43" i="764"/>
  <c r="K43" i="764"/>
  <c r="L43" i="764"/>
  <c r="M43" i="764"/>
  <c r="N43" i="764"/>
  <c r="P43" i="764"/>
  <c r="K44" i="764"/>
  <c r="L44" i="764"/>
  <c r="M44" i="764"/>
  <c r="N44" i="764"/>
  <c r="O44" i="764"/>
  <c r="P44" i="764"/>
  <c r="J44" i="764"/>
  <c r="J43" i="764"/>
  <c r="A42" i="173"/>
  <c r="A43" i="173" s="1"/>
  <c r="A44" i="173" s="1"/>
  <c r="A45" i="173" s="1"/>
  <c r="A46" i="173" s="1"/>
  <c r="A47" i="173" s="1"/>
  <c r="A48" i="173" s="1"/>
  <c r="A49" i="173" s="1"/>
  <c r="A50" i="173" s="1"/>
  <c r="A51" i="173" s="1"/>
  <c r="A52" i="173" s="1"/>
  <c r="A53" i="173" s="1"/>
  <c r="A54" i="173" s="1"/>
  <c r="A55" i="173" s="1"/>
  <c r="A56" i="173" s="1"/>
  <c r="A57" i="173" s="1"/>
  <c r="A58" i="173" s="1"/>
  <c r="A59" i="173" s="1"/>
  <c r="A60" i="173" s="1"/>
  <c r="A61" i="173" s="1"/>
  <c r="A62" i="173" s="1"/>
  <c r="A63" i="173" s="1"/>
  <c r="A64" i="173" s="1"/>
  <c r="A65" i="173" s="1"/>
  <c r="A66" i="173" s="1"/>
  <c r="A67" i="173" s="1"/>
  <c r="A68" i="173" s="1"/>
  <c r="A69" i="173" s="1"/>
  <c r="A70" i="173" s="1"/>
  <c r="A71" i="173" s="1"/>
  <c r="A72" i="173" s="1"/>
  <c r="A73" i="173" s="1"/>
  <c r="A74" i="173" s="1"/>
  <c r="G42" i="173"/>
  <c r="H42" i="173"/>
  <c r="I42" i="173"/>
  <c r="J42" i="173"/>
  <c r="K42" i="173"/>
  <c r="L42" i="173"/>
  <c r="M42" i="173"/>
  <c r="N42" i="173"/>
  <c r="O42" i="173"/>
  <c r="P42" i="173"/>
  <c r="F42" i="173"/>
  <c r="E42" i="173"/>
  <c r="E41" i="173"/>
  <c r="A11" i="895"/>
  <c r="A12" i="895" s="1"/>
  <c r="A13" i="895" s="1"/>
  <c r="A14" i="895" s="1"/>
  <c r="A15" i="895" s="1"/>
  <c r="A16" i="895" s="1"/>
  <c r="A17" i="895" s="1"/>
  <c r="A18" i="895" s="1"/>
  <c r="A19" i="895" s="1"/>
  <c r="A20" i="895" s="1"/>
  <c r="A21" i="895" s="1"/>
  <c r="A22" i="895" s="1"/>
  <c r="A23" i="895" s="1"/>
  <c r="A24" i="895" s="1"/>
  <c r="A25" i="895" s="1"/>
  <c r="A26" i="895" s="1"/>
  <c r="A27" i="895" s="1"/>
  <c r="A28" i="895" s="1"/>
  <c r="A29" i="895" s="1"/>
  <c r="A30" i="895" s="1"/>
  <c r="A31" i="895" s="1"/>
  <c r="A32" i="895" s="1"/>
  <c r="A33" i="895" s="1"/>
  <c r="A34" i="895" s="1"/>
  <c r="A71" i="764"/>
  <c r="A72" i="764" s="1"/>
  <c r="A73" i="764" s="1"/>
  <c r="A74" i="764" s="1"/>
  <c r="A75" i="764" s="1"/>
  <c r="A76" i="764" s="1"/>
  <c r="A51" i="764"/>
  <c r="A52" i="764" s="1"/>
  <c r="A53" i="764" s="1"/>
  <c r="A54" i="764" s="1"/>
  <c r="A55" i="764" s="1"/>
  <c r="A56" i="764" s="1"/>
  <c r="A57" i="764" s="1"/>
  <c r="A58" i="764" s="1"/>
  <c r="A59" i="764" s="1"/>
  <c r="A60" i="764" s="1"/>
  <c r="A61" i="764" s="1"/>
  <c r="A62" i="764" s="1"/>
  <c r="A63" i="764" s="1"/>
  <c r="A64" i="764" s="1"/>
  <c r="A65" i="764" s="1"/>
  <c r="A66" i="764" s="1"/>
  <c r="A67" i="764" s="1"/>
  <c r="A68" i="764" s="1"/>
  <c r="A69" i="764" s="1"/>
  <c r="A70" i="764" s="1"/>
  <c r="A42" i="764"/>
  <c r="A43" i="764" s="1"/>
  <c r="A44" i="764" s="1"/>
  <c r="A45" i="764" s="1"/>
  <c r="A46" i="764" s="1"/>
  <c r="A47" i="764" s="1"/>
  <c r="A48" i="764" s="1"/>
  <c r="A49" i="764" s="1"/>
  <c r="A50" i="764" s="1"/>
  <c r="E55" i="764"/>
  <c r="F46" i="764"/>
  <c r="G46" i="764"/>
  <c r="H46" i="764"/>
  <c r="I46" i="764"/>
  <c r="J46" i="764"/>
  <c r="K46" i="764"/>
  <c r="L46" i="764"/>
  <c r="M46" i="764"/>
  <c r="N46" i="764"/>
  <c r="O46" i="764"/>
  <c r="P46" i="764"/>
  <c r="F45" i="764"/>
  <c r="G45" i="764"/>
  <c r="H45" i="764"/>
  <c r="I45" i="764"/>
  <c r="J45" i="764"/>
  <c r="K45" i="764"/>
  <c r="L45" i="764"/>
  <c r="M45" i="764"/>
  <c r="N45" i="764"/>
  <c r="O45" i="764"/>
  <c r="P45" i="764"/>
  <c r="F44" i="764"/>
  <c r="G44" i="764"/>
  <c r="H44" i="764"/>
  <c r="I44" i="764"/>
  <c r="F43" i="764"/>
  <c r="G43" i="764"/>
  <c r="H43" i="764"/>
  <c r="I43" i="764"/>
  <c r="A11" i="236"/>
  <c r="A12" i="236" s="1"/>
  <c r="A13" i="236" s="1"/>
  <c r="A14" i="236" s="1"/>
  <c r="A15" i="236" s="1"/>
  <c r="A16" i="236" s="1"/>
  <c r="A17" i="236" s="1"/>
  <c r="A18" i="236" s="1"/>
  <c r="A19" i="236" s="1"/>
  <c r="A20" i="236" s="1"/>
  <c r="A21" i="236" s="1"/>
  <c r="A22" i="236" s="1"/>
  <c r="A23" i="236" s="1"/>
  <c r="A24" i="236" s="1"/>
  <c r="A25" i="236" s="1"/>
  <c r="A26" i="236" s="1"/>
  <c r="A27" i="236" s="1"/>
  <c r="A28" i="236" s="1"/>
  <c r="A29" i="236" s="1"/>
  <c r="A30" i="236" s="1"/>
  <c r="A31" i="236" s="1"/>
  <c r="A32" i="236" s="1"/>
  <c r="A33" i="236" s="1"/>
  <c r="A36" i="236" s="1"/>
  <c r="A37" i="236" s="1"/>
  <c r="A39" i="236" s="1"/>
  <c r="A40" i="236" s="1"/>
  <c r="A41" i="236" s="1"/>
  <c r="A42" i="236" s="1"/>
  <c r="A43" i="236" s="1"/>
  <c r="A44" i="236" s="1"/>
  <c r="A45" i="236" s="1"/>
  <c r="F44" i="173"/>
  <c r="G44" i="173"/>
  <c r="H44" i="173"/>
  <c r="I44" i="173"/>
  <c r="F45" i="173"/>
  <c r="G45" i="173"/>
  <c r="H45" i="173"/>
  <c r="I45" i="173"/>
  <c r="F46" i="173"/>
  <c r="G46" i="173"/>
  <c r="H46" i="173"/>
  <c r="I46" i="173"/>
  <c r="J46" i="173"/>
  <c r="K46" i="173"/>
  <c r="L46" i="173"/>
  <c r="M46" i="173"/>
  <c r="N46" i="173"/>
  <c r="O46" i="173"/>
  <c r="P46" i="173"/>
  <c r="F47" i="173"/>
  <c r="G47" i="173"/>
  <c r="H47" i="173"/>
  <c r="I47" i="173"/>
  <c r="J47" i="173"/>
  <c r="K47" i="173"/>
  <c r="L47" i="173"/>
  <c r="M47" i="173"/>
  <c r="N47" i="173"/>
  <c r="O47" i="173"/>
  <c r="P47" i="173"/>
  <c r="C9" i="895"/>
  <c r="C51" i="895"/>
  <c r="C34" i="236"/>
  <c r="C35" i="236"/>
  <c r="C9" i="236"/>
  <c r="C48" i="236"/>
  <c r="C46" i="236"/>
  <c r="C49" i="236"/>
  <c r="F6" i="173" l="1"/>
  <c r="G6" i="173" s="1"/>
  <c r="H6" i="173" s="1"/>
  <c r="I6" i="173" s="1"/>
  <c r="J6" i="173" s="1"/>
  <c r="K6" i="173" s="1"/>
  <c r="L6" i="173" s="1"/>
  <c r="M6" i="173" s="1"/>
  <c r="N6" i="173" s="1"/>
  <c r="O6" i="173" s="1"/>
  <c r="P6" i="173" s="1"/>
  <c r="B6" i="173"/>
  <c r="B7" i="764" s="1"/>
  <c r="E69" i="764"/>
  <c r="E67" i="173"/>
  <c r="B51" i="895"/>
  <c r="B49" i="236"/>
  <c r="B48" i="236"/>
  <c r="B46" i="236"/>
  <c r="B35" i="236"/>
  <c r="B34" i="236"/>
  <c r="H181" i="546" l="1"/>
  <c r="B74" i="717"/>
  <c r="B75" i="717" s="1"/>
  <c r="B90" i="499"/>
  <c r="H191" i="546"/>
  <c r="I191" i="546"/>
  <c r="J191" i="546"/>
  <c r="K191" i="546"/>
  <c r="L191" i="546"/>
  <c r="M191" i="546"/>
  <c r="N191" i="546"/>
  <c r="O191" i="546"/>
  <c r="P191" i="546"/>
  <c r="Q191" i="546"/>
  <c r="R191" i="546"/>
  <c r="G191" i="546"/>
  <c r="S167" i="546"/>
  <c r="S168" i="546"/>
  <c r="S169" i="546"/>
  <c r="S171" i="546"/>
  <c r="S172" i="546"/>
  <c r="S173" i="546"/>
  <c r="S174" i="546"/>
  <c r="S175" i="546"/>
  <c r="S176" i="546"/>
  <c r="S177" i="546"/>
  <c r="S178" i="546"/>
  <c r="S179" i="546"/>
  <c r="S180" i="546"/>
  <c r="S182" i="546"/>
  <c r="P183" i="546"/>
  <c r="Q183" i="546"/>
  <c r="R183" i="546"/>
  <c r="S183" i="546"/>
  <c r="P188" i="546"/>
  <c r="Q188" i="546"/>
  <c r="R188" i="546"/>
  <c r="S188" i="546"/>
  <c r="P189" i="546"/>
  <c r="Q189" i="546"/>
  <c r="R189" i="546"/>
  <c r="S189" i="546"/>
  <c r="P190" i="546"/>
  <c r="Q190" i="546"/>
  <c r="R190" i="546"/>
  <c r="S190" i="546"/>
  <c r="S191" i="546"/>
  <c r="S192" i="546"/>
  <c r="S193" i="546"/>
  <c r="S194" i="546"/>
  <c r="S195" i="546"/>
  <c r="S196" i="546"/>
  <c r="S197" i="546"/>
  <c r="S198" i="546"/>
  <c r="P199" i="546"/>
  <c r="Q199" i="546"/>
  <c r="R199" i="546"/>
  <c r="S199" i="546"/>
  <c r="S202" i="546"/>
  <c r="S203" i="546"/>
  <c r="S204" i="546"/>
  <c r="S205" i="546"/>
  <c r="S206" i="546"/>
  <c r="S207" i="546"/>
  <c r="S208" i="546"/>
  <c r="S209" i="546"/>
  <c r="S210" i="546"/>
  <c r="S211" i="546"/>
  <c r="S212" i="546"/>
  <c r="S213" i="546"/>
  <c r="S214" i="546"/>
  <c r="S215" i="546"/>
  <c r="S216" i="546" a="1"/>
  <c r="S216" i="546" s="1"/>
  <c r="S217" i="546"/>
  <c r="S218" i="546"/>
  <c r="S219" i="546"/>
  <c r="P220" i="546"/>
  <c r="Q220" i="546"/>
  <c r="R220" i="546"/>
  <c r="S220" i="546"/>
  <c r="S221" i="546"/>
  <c r="P223" i="546"/>
  <c r="Q223" i="546"/>
  <c r="R223" i="546"/>
  <c r="S223" i="546"/>
  <c r="P224" i="546"/>
  <c r="Q224" i="546"/>
  <c r="R224" i="546"/>
  <c r="S224" i="546"/>
  <c r="S225" i="546"/>
  <c r="P226" i="546"/>
  <c r="Q226" i="546"/>
  <c r="R226" i="546"/>
  <c r="S226" i="546"/>
  <c r="P227" i="546"/>
  <c r="Q227" i="546"/>
  <c r="R227" i="546"/>
  <c r="S227" i="546"/>
  <c r="P228" i="546"/>
  <c r="Q228" i="546"/>
  <c r="R228" i="546"/>
  <c r="S228" i="546"/>
  <c r="P231" i="546"/>
  <c r="Q231" i="546"/>
  <c r="R231" i="546"/>
  <c r="S231" i="546"/>
  <c r="P232" i="546"/>
  <c r="Q232" i="546"/>
  <c r="R232" i="546"/>
  <c r="S232" i="546"/>
  <c r="P233" i="546"/>
  <c r="Q233" i="546"/>
  <c r="R233" i="546"/>
  <c r="S233" i="546"/>
  <c r="P234" i="546"/>
  <c r="Q234" i="546"/>
  <c r="R234" i="546"/>
  <c r="S234" i="546"/>
  <c r="P235" i="546"/>
  <c r="Q235" i="546"/>
  <c r="R235" i="546"/>
  <c r="S235" i="546"/>
  <c r="S236" i="546"/>
  <c r="P238" i="546"/>
  <c r="Q238" i="546"/>
  <c r="R238" i="546"/>
  <c r="S238" i="546"/>
  <c r="H183" i="546"/>
  <c r="I183" i="546"/>
  <c r="J183" i="546"/>
  <c r="K183" i="546"/>
  <c r="L183" i="546"/>
  <c r="M183" i="546"/>
  <c r="N183" i="546"/>
  <c r="O183" i="546"/>
  <c r="H188" i="546"/>
  <c r="I188" i="546"/>
  <c r="J188" i="546"/>
  <c r="K188" i="546"/>
  <c r="L188" i="546"/>
  <c r="M188" i="546"/>
  <c r="N188" i="546"/>
  <c r="O188" i="546"/>
  <c r="H189" i="546"/>
  <c r="I189" i="546"/>
  <c r="J189" i="546"/>
  <c r="K189" i="546"/>
  <c r="L189" i="546"/>
  <c r="M189" i="546"/>
  <c r="N189" i="546"/>
  <c r="O189" i="546"/>
  <c r="H190" i="546"/>
  <c r="I190" i="546"/>
  <c r="J190" i="546"/>
  <c r="K190" i="546"/>
  <c r="L190" i="546"/>
  <c r="M190" i="546"/>
  <c r="N190" i="546"/>
  <c r="O190" i="546"/>
  <c r="O192" i="546"/>
  <c r="O193" i="546"/>
  <c r="O194" i="546"/>
  <c r="O195" i="546"/>
  <c r="K199" i="546"/>
  <c r="L199" i="546"/>
  <c r="M199" i="546"/>
  <c r="N199" i="546"/>
  <c r="O199" i="546"/>
  <c r="H220" i="546"/>
  <c r="I220" i="546"/>
  <c r="J220" i="546"/>
  <c r="K220" i="546"/>
  <c r="L220" i="546"/>
  <c r="M220" i="546"/>
  <c r="N220" i="546"/>
  <c r="O220" i="546"/>
  <c r="H223" i="546"/>
  <c r="I223" i="546"/>
  <c r="J223" i="546"/>
  <c r="K223" i="546"/>
  <c r="L223" i="546"/>
  <c r="M223" i="546"/>
  <c r="N223" i="546"/>
  <c r="O223" i="546"/>
  <c r="H224" i="546"/>
  <c r="I224" i="546"/>
  <c r="J224" i="546"/>
  <c r="K224" i="546"/>
  <c r="L224" i="546"/>
  <c r="M224" i="546"/>
  <c r="N224" i="546"/>
  <c r="O224" i="546"/>
  <c r="H226" i="546"/>
  <c r="I226" i="546"/>
  <c r="J226" i="546"/>
  <c r="K226" i="546"/>
  <c r="L226" i="546"/>
  <c r="M226" i="546"/>
  <c r="N226" i="546"/>
  <c r="O226" i="546"/>
  <c r="H227" i="546"/>
  <c r="I227" i="546"/>
  <c r="J227" i="546"/>
  <c r="K227" i="546"/>
  <c r="L227" i="546"/>
  <c r="M227" i="546"/>
  <c r="N227" i="546"/>
  <c r="O227" i="546"/>
  <c r="L228" i="546"/>
  <c r="M228" i="546"/>
  <c r="N228" i="546"/>
  <c r="O228" i="546"/>
  <c r="H231" i="546"/>
  <c r="I231" i="546"/>
  <c r="J231" i="546"/>
  <c r="K231" i="546"/>
  <c r="L231" i="546"/>
  <c r="M231" i="546"/>
  <c r="N231" i="546"/>
  <c r="O231" i="546"/>
  <c r="H232" i="546"/>
  <c r="I232" i="546"/>
  <c r="J232" i="546"/>
  <c r="K232" i="546"/>
  <c r="L232" i="546"/>
  <c r="M232" i="546"/>
  <c r="N232" i="546"/>
  <c r="O232" i="546"/>
  <c r="H233" i="546"/>
  <c r="I233" i="546"/>
  <c r="J233" i="546"/>
  <c r="K233" i="546"/>
  <c r="L233" i="546"/>
  <c r="M233" i="546"/>
  <c r="N233" i="546"/>
  <c r="O233" i="546"/>
  <c r="H234" i="546"/>
  <c r="I234" i="546"/>
  <c r="J234" i="546"/>
  <c r="K234" i="546"/>
  <c r="L234" i="546"/>
  <c r="M234" i="546"/>
  <c r="N234" i="546"/>
  <c r="O234" i="546"/>
  <c r="H235" i="546"/>
  <c r="I235" i="546"/>
  <c r="J235" i="546"/>
  <c r="K235" i="546"/>
  <c r="L235" i="546"/>
  <c r="M235" i="546"/>
  <c r="N235" i="546"/>
  <c r="O235" i="546"/>
  <c r="H238" i="546"/>
  <c r="I238" i="546"/>
  <c r="J238" i="546"/>
  <c r="K238" i="546"/>
  <c r="L238" i="546"/>
  <c r="M238" i="546"/>
  <c r="N238" i="546"/>
  <c r="O238" i="546"/>
  <c r="H23" i="546"/>
  <c r="H182" i="546" s="1"/>
  <c r="H4" i="546"/>
  <c r="D88" i="499"/>
  <c r="D89" i="499"/>
  <c r="C89" i="499" l="1"/>
  <c r="C88" i="499"/>
  <c r="H72" i="546"/>
  <c r="H73" i="546"/>
  <c r="H74" i="546"/>
  <c r="H75" i="546"/>
  <c r="H76" i="546"/>
  <c r="H78" i="546"/>
  <c r="H79" i="546"/>
  <c r="H80" i="546"/>
  <c r="H84" i="546"/>
  <c r="H216" i="546" s="1" a="1"/>
  <c r="H216" i="546" s="1"/>
  <c r="H85" i="546"/>
  <c r="H86" i="546"/>
  <c r="H87" i="546"/>
  <c r="H14" i="546"/>
  <c r="H15" i="546"/>
  <c r="H16" i="546"/>
  <c r="H17" i="546"/>
  <c r="H18" i="546"/>
  <c r="H19" i="546"/>
  <c r="H20" i="546"/>
  <c r="H21" i="546"/>
  <c r="H13" i="546"/>
  <c r="G232" i="546"/>
  <c r="G231" i="546"/>
  <c r="B76" i="717"/>
  <c r="B77" i="717" s="1"/>
  <c r="B78" i="717" s="1"/>
  <c r="B79" i="717" s="1"/>
  <c r="B80" i="717" s="1"/>
  <c r="B81" i="717" s="1"/>
  <c r="B82" i="717" s="1"/>
  <c r="B83" i="717" s="1"/>
  <c r="B84" i="717" s="1"/>
  <c r="B85" i="717" s="1"/>
  <c r="B86" i="717" s="1"/>
  <c r="G224" i="546"/>
  <c r="B50" i="717"/>
  <c r="H199" i="546" l="1"/>
  <c r="A68" i="717"/>
  <c r="A69" i="717" s="1"/>
  <c r="A70" i="717" s="1"/>
  <c r="A71" i="717" s="1"/>
  <c r="A72" i="717" s="1"/>
  <c r="A73" i="717" s="1"/>
  <c r="A49" i="717"/>
  <c r="A50" i="717"/>
  <c r="A51" i="717" s="1"/>
  <c r="A52" i="717" s="1"/>
  <c r="A53" i="717" s="1"/>
  <c r="A54" i="717" s="1"/>
  <c r="A55" i="717" s="1"/>
  <c r="A56" i="717" s="1"/>
  <c r="A57" i="717" s="1"/>
  <c r="A58" i="717" s="1"/>
  <c r="A59" i="717" s="1"/>
  <c r="A60" i="717" s="1"/>
  <c r="A61" i="717" s="1"/>
  <c r="A62" i="717" s="1"/>
  <c r="A63" i="717" s="1"/>
  <c r="A64" i="717" s="1"/>
  <c r="A65" i="717" s="1"/>
  <c r="A66" i="717" s="1"/>
  <c r="A67" i="717" s="1"/>
  <c r="A33" i="717"/>
  <c r="A34" i="717" s="1"/>
  <c r="A35" i="717" s="1"/>
  <c r="A36" i="717" s="1"/>
  <c r="A37" i="717" s="1"/>
  <c r="A38" i="717" s="1"/>
  <c r="A39" i="717" s="1"/>
  <c r="A40" i="717" s="1"/>
  <c r="A41" i="717" s="1"/>
  <c r="A42" i="717" s="1"/>
  <c r="A43" i="717" s="1"/>
  <c r="A44" i="717" s="1"/>
  <c r="A45" i="717" s="1"/>
  <c r="A46" i="717" s="1"/>
  <c r="A47" i="717" s="1"/>
  <c r="A48" i="717" s="1"/>
  <c r="I80" i="546"/>
  <c r="J80" i="546"/>
  <c r="K80" i="546"/>
  <c r="L80" i="546"/>
  <c r="M80" i="546"/>
  <c r="N80" i="546"/>
  <c r="O80" i="546"/>
  <c r="P80" i="546"/>
  <c r="Q80" i="546"/>
  <c r="R80" i="546"/>
  <c r="G80" i="546"/>
  <c r="H9" i="546"/>
  <c r="U9" i="546" s="1"/>
  <c r="I9" i="546" l="1"/>
  <c r="V9" i="546" s="1"/>
  <c r="A78" i="717"/>
  <c r="A79" i="717" s="1"/>
  <c r="A80" i="717" s="1"/>
  <c r="A81" i="717" s="1"/>
  <c r="A82" i="717" s="1"/>
  <c r="A83" i="717" s="1"/>
  <c r="A84" i="717" s="1"/>
  <c r="A85" i="717" s="1"/>
  <c r="A86" i="717" s="1"/>
  <c r="G123" i="546"/>
  <c r="P6" i="546"/>
  <c r="Q6" i="546" l="1"/>
  <c r="P193" i="546"/>
  <c r="P192" i="546"/>
  <c r="P194" i="546"/>
  <c r="P195" i="546"/>
  <c r="J9" i="546"/>
  <c r="W9" i="546" s="1"/>
  <c r="R6" i="546" l="1"/>
  <c r="Q195" i="546"/>
  <c r="Q192" i="546"/>
  <c r="Q193" i="546"/>
  <c r="Q194" i="546"/>
  <c r="K9" i="546"/>
  <c r="X9" i="546" s="1"/>
  <c r="R192" i="546" l="1"/>
  <c r="R194" i="546"/>
  <c r="R193" i="546"/>
  <c r="R195" i="546"/>
  <c r="L9" i="546"/>
  <c r="Y9" i="546" s="1"/>
  <c r="M9" i="546" l="1"/>
  <c r="Z9" i="546" s="1"/>
  <c r="N9" i="546" l="1"/>
  <c r="AA9" i="546" s="1"/>
  <c r="O9" i="546" l="1"/>
  <c r="AB9" i="546" s="1"/>
  <c r="P9" i="546" l="1"/>
  <c r="AC9" i="546" s="1"/>
  <c r="Q9" i="546" l="1"/>
  <c r="AD9" i="546" s="1"/>
  <c r="R9" i="546" l="1"/>
  <c r="AE9" i="546" s="1"/>
  <c r="H123" i="546"/>
  <c r="I12" i="546" l="1"/>
  <c r="J12" i="546" s="1"/>
  <c r="H11" i="546"/>
  <c r="I11" i="546" s="1"/>
  <c r="G233" i="546"/>
  <c r="G195" i="546"/>
  <c r="G192" i="546"/>
  <c r="G193" i="546"/>
  <c r="T4" i="546" l="1"/>
  <c r="T5" i="546"/>
  <c r="T7" i="546"/>
  <c r="T12" i="546"/>
  <c r="H8" i="546"/>
  <c r="D25" i="959"/>
  <c r="D21" i="959"/>
  <c r="E35" i="173"/>
  <c r="G72" i="546"/>
  <c r="G107" i="546" s="1"/>
  <c r="A12" i="497"/>
  <c r="A13" i="497" s="1"/>
  <c r="A14" i="497" s="1"/>
  <c r="A15" i="497" s="1"/>
  <c r="A16" i="497" s="1"/>
  <c r="A17" i="497" s="1"/>
  <c r="A18" i="497" s="1"/>
  <c r="A19" i="497" s="1"/>
  <c r="A20" i="497" s="1"/>
  <c r="A21" i="497" s="1"/>
  <c r="A22" i="497" s="1"/>
  <c r="A23" i="497" s="1"/>
  <c r="A24" i="497" s="1"/>
  <c r="A25" i="497" s="1"/>
  <c r="A26" i="497" s="1"/>
  <c r="A27" i="497" s="1"/>
  <c r="A28" i="497" s="1"/>
  <c r="A29" i="497" s="1"/>
  <c r="A30" i="497" s="1"/>
  <c r="A31" i="497" s="1"/>
  <c r="A32" i="497" s="1"/>
  <c r="A33" i="497" s="1"/>
  <c r="A34" i="497" s="1"/>
  <c r="A35" i="497" s="1"/>
  <c r="A36" i="497" s="1"/>
  <c r="A37" i="497" s="1"/>
  <c r="A38" i="497" s="1"/>
  <c r="A39" i="497" s="1"/>
  <c r="A40" i="497" s="1"/>
  <c r="A41" i="497" s="1"/>
  <c r="A42" i="497" s="1"/>
  <c r="A43" i="497" s="1"/>
  <c r="A44" i="497" s="1"/>
  <c r="A45" i="497" s="1"/>
  <c r="A46" i="497" s="1"/>
  <c r="A47" i="497" s="1"/>
  <c r="A48" i="497" s="1"/>
  <c r="A49" i="497" s="1"/>
  <c r="A50" i="497" s="1"/>
  <c r="A51" i="497" s="1"/>
  <c r="A52" i="497" s="1"/>
  <c r="A53" i="497" s="1"/>
  <c r="A54" i="497" s="1"/>
  <c r="A55" i="497" s="1"/>
  <c r="A56" i="497" s="1"/>
  <c r="A57" i="497" s="1"/>
  <c r="A58" i="497" s="1"/>
  <c r="A59" i="497" s="1"/>
  <c r="A60" i="497" s="1"/>
  <c r="A61" i="497" s="1"/>
  <c r="A62" i="497" s="1"/>
  <c r="A63" i="497" s="1"/>
  <c r="A64" i="497" s="1"/>
  <c r="A65" i="497" s="1"/>
  <c r="A66" i="497" s="1"/>
  <c r="A67" i="497" s="1"/>
  <c r="A68" i="497" s="1"/>
  <c r="A69" i="497" s="1"/>
  <c r="A70" i="497" s="1"/>
  <c r="A71" i="497" s="1"/>
  <c r="A72" i="497" s="1"/>
  <c r="A75" i="497" s="1"/>
  <c r="A76" i="497" s="1"/>
  <c r="A77" i="497" s="1"/>
  <c r="A78" i="497" s="1"/>
  <c r="A79" i="497" s="1"/>
  <c r="A80" i="497" s="1"/>
  <c r="A81" i="497" s="1"/>
  <c r="A82" i="497" s="1"/>
  <c r="A83" i="497" s="1"/>
  <c r="A84" i="497" s="1"/>
  <c r="A85" i="497" s="1"/>
  <c r="G236" i="546"/>
  <c r="G234" i="546"/>
  <c r="G228" i="546"/>
  <c r="G227" i="546"/>
  <c r="G226" i="546"/>
  <c r="G217" i="546"/>
  <c r="C48" i="895"/>
  <c r="H68" i="546" l="1"/>
  <c r="H215" i="546" s="1"/>
  <c r="H69" i="546"/>
  <c r="I8" i="546"/>
  <c r="B48" i="895"/>
  <c r="J8" i="546" l="1"/>
  <c r="K8" i="546" l="1"/>
  <c r="G66" i="546"/>
  <c r="G65" i="546"/>
  <c r="G64" i="546"/>
  <c r="G63" i="546"/>
  <c r="G56" i="546"/>
  <c r="G54" i="546"/>
  <c r="AB6" i="546"/>
  <c r="U8" i="546"/>
  <c r="V8" i="546"/>
  <c r="W8" i="546"/>
  <c r="X8" i="546"/>
  <c r="U24" i="546"/>
  <c r="V24" i="546"/>
  <c r="W24" i="546"/>
  <c r="X24" i="546"/>
  <c r="AC24" i="546"/>
  <c r="AD24" i="546"/>
  <c r="AE24" i="546"/>
  <c r="U25" i="546"/>
  <c r="V25" i="546"/>
  <c r="W25" i="546"/>
  <c r="X25" i="546"/>
  <c r="Y25" i="546"/>
  <c r="Z25" i="546"/>
  <c r="AA25" i="546"/>
  <c r="AB25" i="546"/>
  <c r="AC25" i="546"/>
  <c r="AD25" i="546"/>
  <c r="AE25" i="546"/>
  <c r="U26" i="546"/>
  <c r="V26" i="546"/>
  <c r="V72" i="546" s="1"/>
  <c r="W26" i="546"/>
  <c r="X26" i="546"/>
  <c r="Y26" i="546"/>
  <c r="Z26" i="546"/>
  <c r="AA26" i="546"/>
  <c r="AB26" i="546"/>
  <c r="AC26" i="546"/>
  <c r="AD26" i="546"/>
  <c r="AD72" i="546" s="1"/>
  <c r="AD220" i="546" s="1"/>
  <c r="AE26" i="546"/>
  <c r="U27" i="546"/>
  <c r="V27" i="546"/>
  <c r="W27" i="546"/>
  <c r="X27" i="546"/>
  <c r="Y27" i="546"/>
  <c r="Z27" i="546"/>
  <c r="Z73" i="546" s="1"/>
  <c r="AA27" i="546"/>
  <c r="AA73" i="546" s="1"/>
  <c r="AB27" i="546"/>
  <c r="AC27" i="546"/>
  <c r="AD27" i="546"/>
  <c r="AE27" i="546"/>
  <c r="U28" i="546"/>
  <c r="V28" i="546"/>
  <c r="W28" i="546"/>
  <c r="X28" i="546"/>
  <c r="Y28" i="546"/>
  <c r="Z28" i="546"/>
  <c r="AA28" i="546"/>
  <c r="AB28" i="546"/>
  <c r="AC28" i="546"/>
  <c r="AD28" i="546"/>
  <c r="AE28" i="546"/>
  <c r="Y29" i="546"/>
  <c r="Y228" i="546" s="1"/>
  <c r="Y30" i="546"/>
  <c r="U31" i="546"/>
  <c r="U188" i="546" s="1"/>
  <c r="V31" i="546"/>
  <c r="W31" i="546"/>
  <c r="W188" i="546" s="1"/>
  <c r="X31" i="546"/>
  <c r="Y31" i="546"/>
  <c r="Y74" i="546" s="1"/>
  <c r="Z31" i="546"/>
  <c r="Z188" i="546" s="1"/>
  <c r="AA31" i="546"/>
  <c r="AA74" i="546" s="1"/>
  <c r="AB31" i="546"/>
  <c r="AC31" i="546"/>
  <c r="AD31" i="546"/>
  <c r="AE31" i="546"/>
  <c r="U32" i="546"/>
  <c r="U75" i="546" s="1"/>
  <c r="V32" i="546"/>
  <c r="V189" i="546" s="1"/>
  <c r="W32" i="546"/>
  <c r="W189" i="546" s="1"/>
  <c r="X32" i="546"/>
  <c r="X189" i="546" s="1"/>
  <c r="Y32" i="546"/>
  <c r="Z32" i="546"/>
  <c r="AA32" i="546"/>
  <c r="AB32" i="546"/>
  <c r="AC32" i="546"/>
  <c r="AD32" i="546"/>
  <c r="AD189" i="546" s="1"/>
  <c r="AE32" i="546"/>
  <c r="AE189" i="546" s="1"/>
  <c r="U33" i="546"/>
  <c r="V33" i="546"/>
  <c r="W33" i="546"/>
  <c r="W76" i="546" s="1"/>
  <c r="X33" i="546"/>
  <c r="Y33" i="546"/>
  <c r="Z33" i="546"/>
  <c r="AA33" i="546"/>
  <c r="AA76" i="546" s="1"/>
  <c r="AB33" i="546"/>
  <c r="AB76" i="546" s="1"/>
  <c r="AC33" i="546"/>
  <c r="AD33" i="546"/>
  <c r="AE33" i="546"/>
  <c r="U34" i="546"/>
  <c r="U191" i="546" s="1"/>
  <c r="V34" i="546"/>
  <c r="W34" i="546"/>
  <c r="X34" i="546"/>
  <c r="X191" i="546" s="1"/>
  <c r="Y34" i="546"/>
  <c r="Y191" i="546" s="1"/>
  <c r="Z34" i="546"/>
  <c r="Z191" i="546" s="1"/>
  <c r="AA34" i="546"/>
  <c r="AB34" i="546"/>
  <c r="AC34" i="546"/>
  <c r="AC191" i="546" s="1"/>
  <c r="AD34" i="546"/>
  <c r="AE34" i="546"/>
  <c r="AE191" i="546" s="1"/>
  <c r="U35" i="546"/>
  <c r="V35" i="546"/>
  <c r="W35" i="546"/>
  <c r="X35" i="546"/>
  <c r="Y35" i="546"/>
  <c r="Z35" i="546"/>
  <c r="AA35" i="546"/>
  <c r="AB35" i="546"/>
  <c r="AC35" i="546"/>
  <c r="AD35" i="546"/>
  <c r="AE35" i="546"/>
  <c r="U36" i="546"/>
  <c r="V36" i="546"/>
  <c r="V78" i="546" s="1"/>
  <c r="W36" i="546"/>
  <c r="X36" i="546"/>
  <c r="Y36" i="546"/>
  <c r="Z36" i="546"/>
  <c r="Z78" i="546" s="1"/>
  <c r="AA36" i="546"/>
  <c r="AA78" i="546" s="1"/>
  <c r="AB36" i="546"/>
  <c r="AB195" i="546" s="1"/>
  <c r="AC36" i="546"/>
  <c r="AD36" i="546"/>
  <c r="AE36" i="546"/>
  <c r="U37" i="546"/>
  <c r="U79" i="546" s="1"/>
  <c r="V37" i="546"/>
  <c r="W37" i="546"/>
  <c r="W79" i="546" s="1"/>
  <c r="X37" i="546"/>
  <c r="X79" i="546" s="1"/>
  <c r="Y37" i="546"/>
  <c r="Y79" i="546" s="1"/>
  <c r="Z37" i="546"/>
  <c r="AA37" i="546"/>
  <c r="AB37" i="546"/>
  <c r="AC37" i="546"/>
  <c r="AD37" i="546"/>
  <c r="AE37" i="546"/>
  <c r="U38" i="546"/>
  <c r="V38" i="546"/>
  <c r="W38" i="546"/>
  <c r="X38" i="546"/>
  <c r="Y38" i="546"/>
  <c r="Z38" i="546"/>
  <c r="AA38" i="546"/>
  <c r="AB38" i="546"/>
  <c r="AB81" i="546" s="1"/>
  <c r="AC38" i="546"/>
  <c r="AC81" i="546" s="1"/>
  <c r="AD38" i="546"/>
  <c r="AD81" i="546" s="1"/>
  <c r="AE38" i="546"/>
  <c r="U39" i="546"/>
  <c r="V39" i="546"/>
  <c r="W39" i="546"/>
  <c r="X39" i="546"/>
  <c r="Y39" i="546"/>
  <c r="Y82" i="546" s="1"/>
  <c r="Z39" i="546"/>
  <c r="Z82" i="546" s="1"/>
  <c r="AA39" i="546"/>
  <c r="AA82" i="546" s="1"/>
  <c r="AB39" i="546"/>
  <c r="AC39" i="546"/>
  <c r="AD39" i="546"/>
  <c r="AE39" i="546"/>
  <c r="U40" i="546"/>
  <c r="V40" i="546"/>
  <c r="W40" i="546"/>
  <c r="X40" i="546"/>
  <c r="X83" i="546" s="1"/>
  <c r="Y40" i="546"/>
  <c r="Z40" i="546"/>
  <c r="AA40" i="546"/>
  <c r="AB40" i="546"/>
  <c r="AC40" i="546"/>
  <c r="AD40" i="546"/>
  <c r="AD83" i="546" s="1"/>
  <c r="AE40" i="546"/>
  <c r="AE83" i="546" s="1"/>
  <c r="U41" i="546"/>
  <c r="U84" i="546" s="1"/>
  <c r="V41" i="546"/>
  <c r="W41" i="546"/>
  <c r="W84" i="546" s="1"/>
  <c r="X41" i="546"/>
  <c r="Y41" i="546"/>
  <c r="Z41" i="546"/>
  <c r="AA41" i="546"/>
  <c r="AA84" i="546" s="1"/>
  <c r="AB41" i="546"/>
  <c r="AB84" i="546" s="1"/>
  <c r="AC41" i="546"/>
  <c r="AD41" i="546"/>
  <c r="AE41" i="546"/>
  <c r="U42" i="546"/>
  <c r="V42" i="546"/>
  <c r="W42" i="546"/>
  <c r="X42" i="546"/>
  <c r="Y42" i="546"/>
  <c r="Z42" i="546"/>
  <c r="AA42" i="546"/>
  <c r="AB42" i="546"/>
  <c r="AC42" i="546"/>
  <c r="AD42" i="546"/>
  <c r="AE42" i="546"/>
  <c r="U43" i="546"/>
  <c r="V43" i="546"/>
  <c r="W43" i="546"/>
  <c r="X43" i="546"/>
  <c r="Y43" i="546"/>
  <c r="Z43" i="546"/>
  <c r="AA43" i="546"/>
  <c r="AB43" i="546"/>
  <c r="AC43" i="546"/>
  <c r="AD43" i="546"/>
  <c r="AD87" i="546" s="1"/>
  <c r="AD199" i="546" s="1"/>
  <c r="AE43" i="546"/>
  <c r="U44" i="546"/>
  <c r="V44" i="546"/>
  <c r="V86" i="546" s="1"/>
  <c r="W44" i="546"/>
  <c r="X44" i="546"/>
  <c r="Y44" i="546"/>
  <c r="Z44" i="546"/>
  <c r="Z86" i="546" s="1"/>
  <c r="AA44" i="546"/>
  <c r="AA86" i="546" s="1"/>
  <c r="AB44" i="546"/>
  <c r="AB86" i="546" s="1"/>
  <c r="AD44" i="546"/>
  <c r="AE44" i="546"/>
  <c r="U45" i="546"/>
  <c r="V45" i="546"/>
  <c r="W45" i="546"/>
  <c r="X45" i="546"/>
  <c r="Y45" i="546"/>
  <c r="Z45" i="546"/>
  <c r="AA45" i="546"/>
  <c r="AB45" i="546"/>
  <c r="AC45" i="546"/>
  <c r="AD45" i="546"/>
  <c r="AE45" i="546"/>
  <c r="U46" i="546"/>
  <c r="V46" i="546"/>
  <c r="W46" i="546"/>
  <c r="X46" i="546"/>
  <c r="Y46" i="546"/>
  <c r="Z46" i="546"/>
  <c r="AA46" i="546"/>
  <c r="AB46" i="546"/>
  <c r="AC46" i="546"/>
  <c r="AD46" i="546"/>
  <c r="AE46" i="546"/>
  <c r="U47" i="546"/>
  <c r="V47" i="546"/>
  <c r="V87" i="546" s="1"/>
  <c r="V199" i="546" s="1"/>
  <c r="W47" i="546"/>
  <c r="X47" i="546"/>
  <c r="Y47" i="546"/>
  <c r="Z47" i="546"/>
  <c r="AA47" i="546"/>
  <c r="AA87" i="546" s="1"/>
  <c r="AA199" i="546" s="1"/>
  <c r="AB47" i="546"/>
  <c r="AB87" i="546" s="1"/>
  <c r="AB199" i="546" s="1"/>
  <c r="AC47" i="546"/>
  <c r="AD47" i="546"/>
  <c r="AE47" i="546"/>
  <c r="U48" i="546"/>
  <c r="V48" i="546"/>
  <c r="W48" i="546"/>
  <c r="X48" i="546"/>
  <c r="Y48" i="546"/>
  <c r="Z48" i="546"/>
  <c r="AA48" i="546"/>
  <c r="AB48" i="546"/>
  <c r="AC48" i="546"/>
  <c r="AD48" i="546"/>
  <c r="AE48" i="546"/>
  <c r="G139" i="546"/>
  <c r="T6" i="546"/>
  <c r="T166" i="546" s="1"/>
  <c r="T8" i="546"/>
  <c r="T11" i="546"/>
  <c r="T10" i="546" s="1"/>
  <c r="T13" i="546"/>
  <c r="T14" i="546"/>
  <c r="T15" i="546"/>
  <c r="T16" i="546"/>
  <c r="T17" i="546"/>
  <c r="T18" i="546"/>
  <c r="T19" i="546"/>
  <c r="T20" i="546"/>
  <c r="T21" i="546"/>
  <c r="T22" i="546"/>
  <c r="T23" i="546"/>
  <c r="T182" i="546" s="1"/>
  <c r="T24" i="546"/>
  <c r="T25" i="546"/>
  <c r="T26" i="546"/>
  <c r="T72" i="546" s="1"/>
  <c r="T27" i="546"/>
  <c r="T73" i="546" s="1"/>
  <c r="T28" i="546"/>
  <c r="T29" i="546"/>
  <c r="T228" i="546" s="1"/>
  <c r="T30" i="546"/>
  <c r="T31" i="546"/>
  <c r="T74" i="546" s="1"/>
  <c r="T32" i="546"/>
  <c r="T75" i="546" s="1"/>
  <c r="T33" i="546"/>
  <c r="T76" i="546" s="1"/>
  <c r="T34" i="546"/>
  <c r="T77" i="546" s="1"/>
  <c r="T35" i="546"/>
  <c r="T36" i="546"/>
  <c r="T37" i="546"/>
  <c r="T38" i="546"/>
  <c r="T39" i="546"/>
  <c r="T40" i="546"/>
  <c r="T41" i="546"/>
  <c r="T84" i="546" s="1"/>
  <c r="T42" i="546"/>
  <c r="T43" i="546"/>
  <c r="T45" i="546"/>
  <c r="T46" i="546"/>
  <c r="T47" i="546"/>
  <c r="T48" i="546"/>
  <c r="T49" i="546"/>
  <c r="T50" i="546"/>
  <c r="T51" i="546"/>
  <c r="T124" i="546"/>
  <c r="U11" i="546"/>
  <c r="U10" i="546" s="1"/>
  <c r="AE238" i="546"/>
  <c r="AD238" i="546"/>
  <c r="AC238" i="546"/>
  <c r="AB238" i="546"/>
  <c r="AA238" i="546"/>
  <c r="Z238" i="546"/>
  <c r="Y238" i="546"/>
  <c r="X238" i="546"/>
  <c r="W238" i="546"/>
  <c r="V238" i="546"/>
  <c r="U238" i="546"/>
  <c r="T238" i="546"/>
  <c r="AE235" i="546"/>
  <c r="AD235" i="546"/>
  <c r="AC235" i="546"/>
  <c r="AB235" i="546"/>
  <c r="AA235" i="546"/>
  <c r="Z235" i="546"/>
  <c r="Y235" i="546"/>
  <c r="X235" i="546"/>
  <c r="W235" i="546"/>
  <c r="V235" i="546"/>
  <c r="U235" i="546"/>
  <c r="T235" i="546"/>
  <c r="AE234" i="546"/>
  <c r="AD234" i="546"/>
  <c r="AC234" i="546"/>
  <c r="AB234" i="546"/>
  <c r="AA234" i="546"/>
  <c r="Z234" i="546"/>
  <c r="Y234" i="546"/>
  <c r="X234" i="546"/>
  <c r="W234" i="546"/>
  <c r="V234" i="546"/>
  <c r="U234" i="546"/>
  <c r="T234" i="546"/>
  <c r="AE233" i="546"/>
  <c r="AD233" i="546"/>
  <c r="AC233" i="546"/>
  <c r="AB233" i="546"/>
  <c r="AA233" i="546"/>
  <c r="Z233" i="546"/>
  <c r="Y233" i="546"/>
  <c r="X233" i="546"/>
  <c r="W233" i="546"/>
  <c r="V233" i="546"/>
  <c r="U233" i="546"/>
  <c r="T233" i="546"/>
  <c r="AE232" i="546"/>
  <c r="AD232" i="546"/>
  <c r="AC232" i="546"/>
  <c r="AB232" i="546"/>
  <c r="AA232" i="546"/>
  <c r="Z232" i="546"/>
  <c r="Y232" i="546"/>
  <c r="X232" i="546"/>
  <c r="W232" i="546"/>
  <c r="V232" i="546"/>
  <c r="U232" i="546"/>
  <c r="T232" i="546"/>
  <c r="AE231" i="546"/>
  <c r="AD231" i="546"/>
  <c r="AC231" i="546"/>
  <c r="AB231" i="546"/>
  <c r="AA231" i="546"/>
  <c r="Z231" i="546"/>
  <c r="Y231" i="546"/>
  <c r="X231" i="546"/>
  <c r="W231" i="546"/>
  <c r="V231" i="546"/>
  <c r="U231" i="546"/>
  <c r="T231" i="546"/>
  <c r="AE227" i="546"/>
  <c r="AD227" i="546"/>
  <c r="AC227" i="546"/>
  <c r="AB227" i="546"/>
  <c r="AA227" i="546"/>
  <c r="Z227" i="546"/>
  <c r="Y227" i="546"/>
  <c r="X227" i="546"/>
  <c r="W227" i="546"/>
  <c r="V227" i="546"/>
  <c r="U227" i="546"/>
  <c r="T227" i="546"/>
  <c r="AE226" i="546"/>
  <c r="AD226" i="546"/>
  <c r="AC226" i="546"/>
  <c r="AB226" i="546"/>
  <c r="AA226" i="546"/>
  <c r="Z226" i="546"/>
  <c r="Y226" i="546"/>
  <c r="X226" i="546"/>
  <c r="W226" i="546"/>
  <c r="V226" i="546"/>
  <c r="U226" i="546"/>
  <c r="T226" i="546"/>
  <c r="AE224" i="546"/>
  <c r="AD224" i="546"/>
  <c r="AC224" i="546"/>
  <c r="AB224" i="546"/>
  <c r="AA224" i="546"/>
  <c r="Z224" i="546"/>
  <c r="Y224" i="546"/>
  <c r="X224" i="546"/>
  <c r="W224" i="546"/>
  <c r="V224" i="546"/>
  <c r="U224" i="546"/>
  <c r="T224" i="546"/>
  <c r="AE223" i="546"/>
  <c r="AD223" i="546"/>
  <c r="AC223" i="546"/>
  <c r="AB223" i="546"/>
  <c r="AA223" i="546"/>
  <c r="Z223" i="546"/>
  <c r="Y223" i="546"/>
  <c r="X223" i="546"/>
  <c r="W223" i="546"/>
  <c r="V223" i="546"/>
  <c r="U223" i="546"/>
  <c r="T223" i="546"/>
  <c r="AC199" i="546"/>
  <c r="AD191" i="546"/>
  <c r="AB191" i="546"/>
  <c r="AA191" i="546"/>
  <c r="W191" i="546"/>
  <c r="V191" i="546"/>
  <c r="AE190" i="546"/>
  <c r="AD190" i="546"/>
  <c r="AC190" i="546"/>
  <c r="AB190" i="546"/>
  <c r="AA190" i="546"/>
  <c r="Z190" i="546"/>
  <c r="Y190" i="546"/>
  <c r="X190" i="546"/>
  <c r="W190" i="546"/>
  <c r="V190" i="546"/>
  <c r="U190" i="546"/>
  <c r="T190" i="546"/>
  <c r="AC189" i="546"/>
  <c r="AB189" i="546"/>
  <c r="AA189" i="546"/>
  <c r="Z189" i="546"/>
  <c r="Y189" i="546"/>
  <c r="AE188" i="546"/>
  <c r="AD188" i="546"/>
  <c r="AC188" i="546"/>
  <c r="AB188" i="546"/>
  <c r="X188" i="546"/>
  <c r="V188" i="546"/>
  <c r="AE183" i="546"/>
  <c r="AD183" i="546"/>
  <c r="AC183" i="546"/>
  <c r="AB183" i="546"/>
  <c r="AA183" i="546"/>
  <c r="Z183" i="546"/>
  <c r="Y183" i="546"/>
  <c r="X183" i="546"/>
  <c r="W183" i="546"/>
  <c r="V183" i="546"/>
  <c r="U183" i="546"/>
  <c r="T183" i="546"/>
  <c r="T162" i="546"/>
  <c r="AE86" i="546"/>
  <c r="AD86" i="546"/>
  <c r="Y86" i="546"/>
  <c r="X86" i="546"/>
  <c r="W86" i="546"/>
  <c r="U86" i="546"/>
  <c r="AE85" i="546"/>
  <c r="AD85" i="546"/>
  <c r="AC85" i="546"/>
  <c r="AB85" i="546"/>
  <c r="AA85" i="546"/>
  <c r="Y85" i="546"/>
  <c r="W85" i="546"/>
  <c r="V85" i="546"/>
  <c r="AE84" i="546"/>
  <c r="AD84" i="546"/>
  <c r="AC84" i="546"/>
  <c r="Z84" i="546"/>
  <c r="Y84" i="546"/>
  <c r="X84" i="546"/>
  <c r="V84" i="546"/>
  <c r="AC83" i="546"/>
  <c r="AB83" i="546"/>
  <c r="AA83" i="546"/>
  <c r="Z83" i="546"/>
  <c r="Y83" i="546"/>
  <c r="AE82" i="546"/>
  <c r="AD82" i="546"/>
  <c r="AC82" i="546"/>
  <c r="AB82" i="546"/>
  <c r="X82" i="546"/>
  <c r="AE81" i="546"/>
  <c r="AA81" i="546"/>
  <c r="Z81" i="546"/>
  <c r="Y81" i="546"/>
  <c r="X81" i="546"/>
  <c r="AE79" i="546"/>
  <c r="AD79" i="546"/>
  <c r="AC79" i="546"/>
  <c r="AB79" i="546"/>
  <c r="AA79" i="546"/>
  <c r="Z79" i="546"/>
  <c r="V79" i="546"/>
  <c r="AE78" i="546"/>
  <c r="AD78" i="546"/>
  <c r="AC78" i="546"/>
  <c r="Y78" i="546"/>
  <c r="X78" i="546"/>
  <c r="W78" i="546"/>
  <c r="U78" i="546"/>
  <c r="T78" i="546"/>
  <c r="AE76" i="546"/>
  <c r="AD76" i="546"/>
  <c r="AC76" i="546"/>
  <c r="Z76" i="546"/>
  <c r="Y76" i="546"/>
  <c r="X76" i="546"/>
  <c r="V76" i="546"/>
  <c r="U76" i="546"/>
  <c r="AC75" i="546"/>
  <c r="AB75" i="546"/>
  <c r="AA75" i="546"/>
  <c r="Z75" i="546"/>
  <c r="Y75" i="546"/>
  <c r="AE74" i="546"/>
  <c r="AD74" i="546"/>
  <c r="AC74" i="546"/>
  <c r="AB74" i="546"/>
  <c r="X74" i="546"/>
  <c r="V74" i="546"/>
  <c r="AE73" i="546"/>
  <c r="AD73" i="546"/>
  <c r="AC73" i="546"/>
  <c r="AB73" i="546"/>
  <c r="Y73" i="546"/>
  <c r="X73" i="546"/>
  <c r="W73" i="546"/>
  <c r="V73" i="546"/>
  <c r="U73" i="546"/>
  <c r="AE72" i="546"/>
  <c r="AC72" i="546"/>
  <c r="AC220" i="546" s="1"/>
  <c r="AB72" i="546"/>
  <c r="AB220" i="546" s="1"/>
  <c r="AA72" i="546"/>
  <c r="AA220" i="546" s="1"/>
  <c r="Z72" i="546"/>
  <c r="Y72" i="546"/>
  <c r="X72" i="546"/>
  <c r="W72" i="546"/>
  <c r="U72" i="546"/>
  <c r="AE2" i="546"/>
  <c r="AE52" i="546" s="1"/>
  <c r="AD2" i="546"/>
  <c r="AD52" i="546" s="1"/>
  <c r="AC2" i="546"/>
  <c r="AC52" i="546" s="1"/>
  <c r="AB2" i="546"/>
  <c r="AB52" i="546" s="1"/>
  <c r="AA2" i="546"/>
  <c r="AA52" i="546" s="1"/>
  <c r="Z2" i="546"/>
  <c r="Z52" i="546" s="1"/>
  <c r="Y2" i="546"/>
  <c r="Y52" i="546" s="1"/>
  <c r="X2" i="546"/>
  <c r="X52" i="546" s="1"/>
  <c r="W2" i="546"/>
  <c r="W52" i="546" s="1"/>
  <c r="V2" i="546"/>
  <c r="V52" i="546" s="1"/>
  <c r="U2" i="546"/>
  <c r="U52" i="546" s="1"/>
  <c r="T2" i="546"/>
  <c r="T52" i="546" s="1"/>
  <c r="U1" i="546"/>
  <c r="V1" i="546" s="1"/>
  <c r="W1" i="546" s="1"/>
  <c r="X1" i="546" s="1"/>
  <c r="Y1" i="546" s="1"/>
  <c r="Z1" i="546" s="1"/>
  <c r="AA1" i="546" s="1"/>
  <c r="AB1" i="546" s="1"/>
  <c r="AC1" i="546" s="1"/>
  <c r="AD1" i="546" s="1"/>
  <c r="AE1" i="546" s="1"/>
  <c r="U67" i="546" l="1"/>
  <c r="U181" i="546"/>
  <c r="T67" i="546"/>
  <c r="T181" i="546"/>
  <c r="T53" i="546"/>
  <c r="U74" i="546"/>
  <c r="U189" i="546"/>
  <c r="T189" i="546"/>
  <c r="W74" i="546"/>
  <c r="U87" i="546"/>
  <c r="U199" i="546" s="1"/>
  <c r="U85" i="546"/>
  <c r="T79" i="546"/>
  <c r="T80" i="546"/>
  <c r="T56" i="546"/>
  <c r="T204" i="546" s="1"/>
  <c r="T191" i="546"/>
  <c r="T195" i="546"/>
  <c r="AE87" i="546"/>
  <c r="AE199" i="546" s="1"/>
  <c r="W87" i="546"/>
  <c r="W199" i="546" s="1"/>
  <c r="Z87" i="546"/>
  <c r="Z199" i="546" s="1"/>
  <c r="AB80" i="546"/>
  <c r="AC87" i="546"/>
  <c r="X87" i="546"/>
  <c r="X199" i="546" s="1"/>
  <c r="T85" i="546"/>
  <c r="Z85" i="546"/>
  <c r="Y87" i="546"/>
  <c r="Y199" i="546" s="1"/>
  <c r="Y188" i="546"/>
  <c r="AB194" i="546"/>
  <c r="AA188" i="546"/>
  <c r="AB77" i="546"/>
  <c r="Z74" i="546"/>
  <c r="V75" i="546"/>
  <c r="AD75" i="546"/>
  <c r="AB78" i="546"/>
  <c r="W75" i="546"/>
  <c r="AE75" i="546"/>
  <c r="G149" i="546"/>
  <c r="G124" i="546" s="1"/>
  <c r="G135" i="546" s="1"/>
  <c r="X75" i="546"/>
  <c r="X85" i="546"/>
  <c r="T165" i="546"/>
  <c r="T169" i="546" s="1"/>
  <c r="T133" i="546"/>
  <c r="L8" i="546"/>
  <c r="T134" i="546"/>
  <c r="T132" i="546"/>
  <c r="T131" i="546"/>
  <c r="J11" i="546"/>
  <c r="K11" i="546" s="1"/>
  <c r="U123" i="546"/>
  <c r="U111" i="546" s="1"/>
  <c r="U216" i="546"/>
  <c r="U125" i="546"/>
  <c r="U69" i="546"/>
  <c r="T217" i="546"/>
  <c r="T63" i="546"/>
  <c r="T211" i="546" s="1"/>
  <c r="T54" i="546"/>
  <c r="T179" i="546"/>
  <c r="T64" i="546"/>
  <c r="T100" i="546" s="1"/>
  <c r="T180" i="546"/>
  <c r="T139" i="546"/>
  <c r="T123" i="546"/>
  <c r="T121" i="546" s="1"/>
  <c r="T66" i="546"/>
  <c r="T101" i="546" s="1"/>
  <c r="T125" i="546"/>
  <c r="T177" i="546"/>
  <c r="T69" i="546"/>
  <c r="T168" i="546"/>
  <c r="T167" i="546"/>
  <c r="T65" i="546"/>
  <c r="T87" i="546"/>
  <c r="T199" i="546" s="1"/>
  <c r="V11" i="546"/>
  <c r="V10" i="546" s="1"/>
  <c r="T178" i="546"/>
  <c r="T104" i="546"/>
  <c r="T236" i="546"/>
  <c r="T194" i="546"/>
  <c r="T216" i="546"/>
  <c r="T188" i="546"/>
  <c r="Y220" i="546"/>
  <c r="T220" i="546"/>
  <c r="T107" i="546"/>
  <c r="U220" i="546"/>
  <c r="V220" i="546"/>
  <c r="W220" i="546"/>
  <c r="AE220" i="546"/>
  <c r="X220" i="546"/>
  <c r="Z220" i="546"/>
  <c r="I84" i="546"/>
  <c r="J84" i="546"/>
  <c r="K84" i="546"/>
  <c r="L84" i="546"/>
  <c r="M84" i="546"/>
  <c r="N84" i="546"/>
  <c r="O84" i="546"/>
  <c r="P84" i="546"/>
  <c r="Q84" i="546"/>
  <c r="R84" i="546"/>
  <c r="G84" i="546"/>
  <c r="G104" i="546" s="1"/>
  <c r="I79" i="546"/>
  <c r="J79" i="546"/>
  <c r="K79" i="546"/>
  <c r="L79" i="546"/>
  <c r="M79" i="546"/>
  <c r="N79" i="546"/>
  <c r="O79" i="546"/>
  <c r="P79" i="546"/>
  <c r="Q79" i="546"/>
  <c r="R79" i="546"/>
  <c r="I78" i="546"/>
  <c r="J78" i="546"/>
  <c r="K78" i="546"/>
  <c r="L78" i="546"/>
  <c r="M78" i="546"/>
  <c r="N78" i="546"/>
  <c r="O78" i="546"/>
  <c r="P78" i="546"/>
  <c r="Q78" i="546"/>
  <c r="R78" i="546"/>
  <c r="G79" i="546"/>
  <c r="G78" i="546"/>
  <c r="F35" i="173"/>
  <c r="G35" i="173"/>
  <c r="H35" i="173"/>
  <c r="I35" i="173"/>
  <c r="J35" i="173"/>
  <c r="K35" i="173"/>
  <c r="L35" i="173"/>
  <c r="M35" i="173"/>
  <c r="N35" i="173"/>
  <c r="O35" i="173"/>
  <c r="P35" i="173"/>
  <c r="C20" i="173"/>
  <c r="C19" i="173"/>
  <c r="E44" i="173" s="1"/>
  <c r="B74" i="269"/>
  <c r="B82" i="269" s="1"/>
  <c r="C82" i="269" s="1"/>
  <c r="D82" i="269" s="1"/>
  <c r="E82" i="269" s="1"/>
  <c r="F82" i="269" s="1"/>
  <c r="G82" i="269" s="1"/>
  <c r="B73" i="269"/>
  <c r="B81" i="269" s="1"/>
  <c r="C81" i="269" s="1"/>
  <c r="D81" i="269" s="1"/>
  <c r="E81" i="269" s="1"/>
  <c r="F81" i="269" s="1"/>
  <c r="G81" i="269" s="1"/>
  <c r="B72" i="269"/>
  <c r="B80" i="269" s="1"/>
  <c r="C80" i="269" s="1"/>
  <c r="D80" i="269" s="1"/>
  <c r="E80" i="269" s="1"/>
  <c r="F80" i="269" s="1"/>
  <c r="G80" i="269" s="1"/>
  <c r="B71" i="269"/>
  <c r="B79" i="269" s="1"/>
  <c r="C79" i="269" s="1"/>
  <c r="D79" i="269" s="1"/>
  <c r="E79" i="269" s="1"/>
  <c r="F79" i="269" s="1"/>
  <c r="G79" i="269" s="1"/>
  <c r="I87" i="546"/>
  <c r="J87" i="546"/>
  <c r="J199" i="546" s="1"/>
  <c r="K87" i="546"/>
  <c r="L87" i="546"/>
  <c r="M87" i="546"/>
  <c r="N87" i="546"/>
  <c r="O87" i="546"/>
  <c r="P87" i="546"/>
  <c r="Q87" i="546"/>
  <c r="R87" i="546"/>
  <c r="I86" i="546"/>
  <c r="J86" i="546"/>
  <c r="K86" i="546"/>
  <c r="L86" i="546"/>
  <c r="M86" i="546"/>
  <c r="N86" i="546"/>
  <c r="O86" i="546"/>
  <c r="Q86" i="546"/>
  <c r="R86" i="546"/>
  <c r="T92" i="546" l="1"/>
  <c r="T213" i="546"/>
  <c r="V181" i="546"/>
  <c r="V67" i="546"/>
  <c r="C21" i="764"/>
  <c r="E44" i="764" s="1"/>
  <c r="E45" i="173"/>
  <c r="C20" i="764"/>
  <c r="E43" i="764" s="1"/>
  <c r="T214" i="546"/>
  <c r="T102" i="546"/>
  <c r="G216" i="546" a="1"/>
  <c r="G216" i="546" s="1"/>
  <c r="I199" i="546"/>
  <c r="T99" i="546"/>
  <c r="C74" i="269"/>
  <c r="D74" i="269" s="1"/>
  <c r="E74" i="269" s="1"/>
  <c r="F74" i="269" s="1"/>
  <c r="G74" i="269" s="1"/>
  <c r="C71" i="269"/>
  <c r="D71" i="269" s="1"/>
  <c r="E71" i="269" s="1"/>
  <c r="F71" i="269" s="1"/>
  <c r="G71" i="269" s="1"/>
  <c r="C72" i="269"/>
  <c r="D72" i="269" s="1"/>
  <c r="E72" i="269" s="1"/>
  <c r="F72" i="269" s="1"/>
  <c r="G72" i="269" s="1"/>
  <c r="C73" i="269"/>
  <c r="D73" i="269" s="1"/>
  <c r="E73" i="269" s="1"/>
  <c r="F73" i="269" s="1"/>
  <c r="G73" i="269" s="1"/>
  <c r="T202" i="546"/>
  <c r="U121" i="546"/>
  <c r="T212" i="546"/>
  <c r="T55" i="546"/>
  <c r="T88" i="546" s="1"/>
  <c r="T111" i="546"/>
  <c r="M8" i="546"/>
  <c r="Y8" i="546"/>
  <c r="W11" i="546"/>
  <c r="W10" i="546" s="1"/>
  <c r="L11" i="546"/>
  <c r="X11" i="546"/>
  <c r="X10" i="546" s="1"/>
  <c r="F40" i="173"/>
  <c r="G40" i="173"/>
  <c r="H40" i="173"/>
  <c r="I40" i="173"/>
  <c r="J40" i="173"/>
  <c r="K40" i="173"/>
  <c r="L40" i="173"/>
  <c r="M40" i="173"/>
  <c r="N40" i="173"/>
  <c r="O40" i="173"/>
  <c r="P40" i="173"/>
  <c r="F41" i="173"/>
  <c r="G41" i="173"/>
  <c r="H41" i="173"/>
  <c r="I41" i="173"/>
  <c r="J41" i="173"/>
  <c r="K41" i="173"/>
  <c r="L41" i="173"/>
  <c r="M41" i="173"/>
  <c r="N41" i="173"/>
  <c r="O41" i="173"/>
  <c r="P41" i="173"/>
  <c r="E40" i="173"/>
  <c r="E12" i="717"/>
  <c r="T91" i="546" l="1"/>
  <c r="G90" i="546"/>
  <c r="T90" i="546"/>
  <c r="T142" i="546"/>
  <c r="T143" i="546" s="1"/>
  <c r="T145" i="546" s="1"/>
  <c r="T203" i="546"/>
  <c r="N8" i="546"/>
  <c r="Z8" i="546"/>
  <c r="M11" i="546"/>
  <c r="Y11" i="546"/>
  <c r="Y10" i="546" s="1"/>
  <c r="E53" i="173"/>
  <c r="O8" i="546" l="1"/>
  <c r="AA8" i="546"/>
  <c r="N11" i="546"/>
  <c r="Z11" i="546"/>
  <c r="Z10" i="546" s="1"/>
  <c r="P8" i="546" l="1"/>
  <c r="AB8" i="546"/>
  <c r="O11" i="546"/>
  <c r="AA11" i="546"/>
  <c r="AA10" i="546" s="1"/>
  <c r="O90" i="499"/>
  <c r="Q8" i="546" l="1"/>
  <c r="AC8" i="546"/>
  <c r="P11" i="546"/>
  <c r="AB11" i="546"/>
  <c r="AB10" i="546" s="1"/>
  <c r="F41" i="764"/>
  <c r="G41" i="764"/>
  <c r="H41" i="764"/>
  <c r="I41" i="764"/>
  <c r="J41" i="764"/>
  <c r="K41" i="764"/>
  <c r="L41" i="764"/>
  <c r="M41" i="764"/>
  <c r="N41" i="764"/>
  <c r="O41" i="764"/>
  <c r="P41" i="764"/>
  <c r="E41" i="764"/>
  <c r="F39" i="173"/>
  <c r="G39" i="173"/>
  <c r="H39" i="173"/>
  <c r="I39" i="173"/>
  <c r="J39" i="173"/>
  <c r="K39" i="173"/>
  <c r="L39" i="173"/>
  <c r="M39" i="173"/>
  <c r="N39" i="173"/>
  <c r="O39" i="173"/>
  <c r="P39" i="173"/>
  <c r="E39" i="173"/>
  <c r="C1" i="173"/>
  <c r="P90" i="499"/>
  <c r="M90" i="499"/>
  <c r="AB67" i="546" l="1"/>
  <c r="AB181" i="546"/>
  <c r="F2" i="173"/>
  <c r="G2" i="173"/>
  <c r="H2" i="173"/>
  <c r="I2" i="173"/>
  <c r="J2" i="173"/>
  <c r="E2" i="173"/>
  <c r="R8" i="546"/>
  <c r="AD8" i="546"/>
  <c r="Q11" i="546"/>
  <c r="AC11" i="546"/>
  <c r="AC10" i="546" s="1"/>
  <c r="B61" i="173"/>
  <c r="I72" i="546"/>
  <c r="J72" i="546"/>
  <c r="K72" i="546"/>
  <c r="L72" i="546"/>
  <c r="M72" i="546"/>
  <c r="N72" i="546"/>
  <c r="O72" i="546"/>
  <c r="P72" i="546"/>
  <c r="Q72" i="546"/>
  <c r="R72" i="546"/>
  <c r="I73" i="546"/>
  <c r="J73" i="546"/>
  <c r="K73" i="546"/>
  <c r="L73" i="546"/>
  <c r="M73" i="546"/>
  <c r="N73" i="546"/>
  <c r="O73" i="546"/>
  <c r="P73" i="546"/>
  <c r="Q73" i="546"/>
  <c r="R73" i="546"/>
  <c r="G73" i="546"/>
  <c r="Q90" i="499"/>
  <c r="N90" i="499"/>
  <c r="S90" i="499"/>
  <c r="R90" i="499"/>
  <c r="L90" i="499"/>
  <c r="H90" i="499"/>
  <c r="J90" i="499"/>
  <c r="G90" i="499"/>
  <c r="F90" i="499"/>
  <c r="AE8" i="546" l="1"/>
  <c r="R11" i="546"/>
  <c r="AD11" i="546"/>
  <c r="AD10" i="546" s="1"/>
  <c r="C33" i="764"/>
  <c r="C1" i="764"/>
  <c r="F11" i="764"/>
  <c r="G11" i="764" s="1"/>
  <c r="H11" i="764" s="1"/>
  <c r="I11" i="764" s="1"/>
  <c r="J11" i="764" s="1"/>
  <c r="K90" i="499"/>
  <c r="E90" i="499"/>
  <c r="I90" i="499"/>
  <c r="AE11" i="546" l="1"/>
  <c r="AE10" i="546" s="1"/>
  <c r="B73" i="764"/>
  <c r="B74" i="764"/>
  <c r="B63" i="764"/>
  <c r="B64" i="764"/>
  <c r="K2" i="764"/>
  <c r="O2" i="764"/>
  <c r="F2" i="764"/>
  <c r="J2" i="764"/>
  <c r="N2" i="764"/>
  <c r="G2" i="764"/>
  <c r="L2" i="764"/>
  <c r="H2" i="764"/>
  <c r="P2" i="764"/>
  <c r="E2" i="764"/>
  <c r="I2" i="764"/>
  <c r="M2" i="764"/>
  <c r="F7" i="173" l="1"/>
  <c r="F53" i="173" l="1"/>
  <c r="O7" i="546"/>
  <c r="AB7" i="546" s="1"/>
  <c r="G223" i="546" l="1"/>
  <c r="M2" i="546" l="1"/>
  <c r="L24" i="546" l="1"/>
  <c r="U12" i="546"/>
  <c r="C57" i="546"/>
  <c r="C58" i="546"/>
  <c r="C59" i="546"/>
  <c r="C61" i="546"/>
  <c r="C62" i="546"/>
  <c r="C60" i="546"/>
  <c r="M24" i="546" l="1"/>
  <c r="Y24" i="546"/>
  <c r="D60" i="546"/>
  <c r="G60" i="546" s="1"/>
  <c r="D58" i="546"/>
  <c r="D59" i="546"/>
  <c r="G59" i="546" s="1"/>
  <c r="D57" i="546"/>
  <c r="K11" i="764"/>
  <c r="L11" i="764" s="1"/>
  <c r="N6" i="764"/>
  <c r="O6" i="764" s="1"/>
  <c r="D61" i="546"/>
  <c r="G61" i="546" s="1"/>
  <c r="D62" i="546"/>
  <c r="G62" i="546" s="1"/>
  <c r="G99" i="546"/>
  <c r="G100" i="546"/>
  <c r="G213" i="546"/>
  <c r="K83" i="546"/>
  <c r="L83" i="546"/>
  <c r="M83" i="546"/>
  <c r="O83" i="546"/>
  <c r="R83" i="546"/>
  <c r="G85" i="546"/>
  <c r="F8" i="764"/>
  <c r="F4" i="764"/>
  <c r="G4" i="764" s="1"/>
  <c r="H4" i="764" s="1"/>
  <c r="I4" i="764" s="1"/>
  <c r="J4" i="764" s="1"/>
  <c r="K4" i="764" s="1"/>
  <c r="L4" i="764" s="1"/>
  <c r="M4" i="764" s="1"/>
  <c r="N4" i="764" s="1"/>
  <c r="O4" i="764" s="1"/>
  <c r="P4" i="764" s="1"/>
  <c r="E6" i="764"/>
  <c r="F29" i="764"/>
  <c r="G29" i="764" s="1"/>
  <c r="G42" i="764" s="1"/>
  <c r="E39" i="764"/>
  <c r="F5" i="764"/>
  <c r="F32" i="764"/>
  <c r="G32" i="764" s="1"/>
  <c r="H32" i="764" s="1"/>
  <c r="I32" i="764" s="1"/>
  <c r="J32" i="764" s="1"/>
  <c r="K32" i="764" s="1"/>
  <c r="L32" i="764" s="1"/>
  <c r="M32" i="764" s="1"/>
  <c r="N32" i="764" s="1"/>
  <c r="O32" i="764" s="1"/>
  <c r="P32" i="764" s="1"/>
  <c r="F31" i="764"/>
  <c r="G31" i="764" s="1"/>
  <c r="H31" i="764" s="1"/>
  <c r="I31" i="764" s="1"/>
  <c r="J31" i="764" s="1"/>
  <c r="K31" i="764" s="1"/>
  <c r="L31" i="764" s="1"/>
  <c r="M31" i="764" s="1"/>
  <c r="N31" i="764" s="1"/>
  <c r="O31" i="764" s="1"/>
  <c r="P31" i="764" s="1"/>
  <c r="F30" i="764"/>
  <c r="G30" i="764" s="1"/>
  <c r="H30" i="764" s="1"/>
  <c r="I30" i="764" s="1"/>
  <c r="J30" i="764" s="1"/>
  <c r="K30" i="764" s="1"/>
  <c r="L30" i="764" s="1"/>
  <c r="M30" i="764" s="1"/>
  <c r="N30" i="764" s="1"/>
  <c r="O30" i="764" s="1"/>
  <c r="P30" i="764" s="1"/>
  <c r="F19" i="764"/>
  <c r="G19" i="764" s="1"/>
  <c r="H19" i="764" s="1"/>
  <c r="I19" i="764" s="1"/>
  <c r="J19" i="764" s="1"/>
  <c r="K19" i="764" s="1"/>
  <c r="L19" i="764" s="1"/>
  <c r="M19" i="764" s="1"/>
  <c r="N19" i="764" s="1"/>
  <c r="O19" i="764" s="1"/>
  <c r="P19" i="764" s="1"/>
  <c r="F18" i="764"/>
  <c r="G18" i="764" s="1"/>
  <c r="H18" i="764" s="1"/>
  <c r="I18" i="764" s="1"/>
  <c r="J18" i="764" s="1"/>
  <c r="K18" i="764" s="1"/>
  <c r="L18" i="764" s="1"/>
  <c r="M18" i="764" s="1"/>
  <c r="N18" i="764" s="1"/>
  <c r="O18" i="764" s="1"/>
  <c r="P18" i="764" s="1"/>
  <c r="E69" i="173"/>
  <c r="E8" i="173"/>
  <c r="E43" i="173"/>
  <c r="E37" i="173"/>
  <c r="E65" i="173"/>
  <c r="E68" i="173"/>
  <c r="A2" i="764"/>
  <c r="A3" i="764" s="1"/>
  <c r="A4" i="764" s="1"/>
  <c r="G131" i="546"/>
  <c r="G132" i="546"/>
  <c r="G133" i="546"/>
  <c r="G134" i="546"/>
  <c r="D68" i="546"/>
  <c r="E68" i="546"/>
  <c r="C68" i="546"/>
  <c r="H6" i="546"/>
  <c r="H5" i="546"/>
  <c r="I5" i="546"/>
  <c r="I85" i="546"/>
  <c r="J85" i="546"/>
  <c r="K81" i="546"/>
  <c r="K82" i="546"/>
  <c r="K85" i="546"/>
  <c r="H22" i="546"/>
  <c r="G125" i="546"/>
  <c r="G74" i="546"/>
  <c r="G75" i="546"/>
  <c r="G76" i="546"/>
  <c r="G77" i="546"/>
  <c r="G121" i="546"/>
  <c r="J5" i="546"/>
  <c r="K5" i="546"/>
  <c r="L5" i="546"/>
  <c r="M5" i="546"/>
  <c r="N5" i="546"/>
  <c r="O5" i="546"/>
  <c r="O236" i="546" s="1"/>
  <c r="P5" i="546"/>
  <c r="P236" i="546" s="1"/>
  <c r="Q5" i="546"/>
  <c r="Q236" i="546" s="1"/>
  <c r="R5" i="546"/>
  <c r="R236" i="546" s="1"/>
  <c r="G102" i="546"/>
  <c r="L81" i="546"/>
  <c r="L82" i="546"/>
  <c r="L85" i="546"/>
  <c r="M81" i="546"/>
  <c r="M82" i="546"/>
  <c r="M85" i="546"/>
  <c r="O81" i="546"/>
  <c r="O82" i="546"/>
  <c r="O85" i="546"/>
  <c r="P85" i="546"/>
  <c r="R82" i="546"/>
  <c r="R85" i="546"/>
  <c r="H30" i="546"/>
  <c r="H29" i="546"/>
  <c r="H228" i="546" s="1"/>
  <c r="H49" i="546"/>
  <c r="H50" i="546"/>
  <c r="H51" i="546"/>
  <c r="I74" i="546"/>
  <c r="I75" i="546"/>
  <c r="I76" i="546"/>
  <c r="J74" i="546"/>
  <c r="J75" i="546"/>
  <c r="J76" i="546"/>
  <c r="K74" i="546"/>
  <c r="K75" i="546"/>
  <c r="K76" i="546"/>
  <c r="L74" i="546"/>
  <c r="L75" i="546"/>
  <c r="L76" i="546"/>
  <c r="M74" i="546"/>
  <c r="M75" i="546"/>
  <c r="M76" i="546"/>
  <c r="N74" i="546"/>
  <c r="N75" i="546"/>
  <c r="N76" i="546"/>
  <c r="O74" i="546"/>
  <c r="O75" i="546"/>
  <c r="O76" i="546"/>
  <c r="O77" i="546"/>
  <c r="P74" i="546"/>
  <c r="P75" i="546"/>
  <c r="P76" i="546"/>
  <c r="Q74" i="546"/>
  <c r="Q75" i="546"/>
  <c r="Q76" i="546"/>
  <c r="R74" i="546"/>
  <c r="R75" i="546"/>
  <c r="R76" i="546"/>
  <c r="A47" i="577"/>
  <c r="B13" i="499"/>
  <c r="B14" i="499" s="1"/>
  <c r="B15" i="499" s="1"/>
  <c r="B16" i="499" s="1"/>
  <c r="B17" i="499" s="1"/>
  <c r="B18" i="499" s="1"/>
  <c r="B19" i="499" s="1"/>
  <c r="B20" i="499" s="1"/>
  <c r="B21" i="499" s="1"/>
  <c r="B22" i="499" s="1"/>
  <c r="B23" i="499" s="1"/>
  <c r="B24" i="499" s="1"/>
  <c r="B25" i="499" s="1"/>
  <c r="B26" i="499" s="1"/>
  <c r="B27" i="499" s="1"/>
  <c r="B28" i="499" s="1"/>
  <c r="B29" i="499" s="1"/>
  <c r="B30" i="499" s="1"/>
  <c r="B31" i="499" s="1"/>
  <c r="B32" i="499" s="1"/>
  <c r="B33" i="499" s="1"/>
  <c r="B34" i="499" s="1"/>
  <c r="B35" i="499" s="1"/>
  <c r="B36" i="499" s="1"/>
  <c r="B37" i="499" s="1"/>
  <c r="B38" i="499" s="1"/>
  <c r="B39" i="499" s="1"/>
  <c r="B40" i="499" s="1"/>
  <c r="B41" i="499" s="1"/>
  <c r="B42" i="499" s="1"/>
  <c r="B43" i="499" s="1"/>
  <c r="B44" i="499" s="1"/>
  <c r="B45" i="499" s="1"/>
  <c r="B46" i="499" s="1"/>
  <c r="B47" i="499" s="1"/>
  <c r="B48" i="499" s="1"/>
  <c r="B49" i="499" s="1"/>
  <c r="B50" i="499" s="1"/>
  <c r="B51" i="499" s="1"/>
  <c r="B52" i="499" s="1"/>
  <c r="B53" i="499" s="1"/>
  <c r="B54" i="499" s="1"/>
  <c r="B55" i="499" s="1"/>
  <c r="B56" i="499" s="1"/>
  <c r="B57" i="499" s="1"/>
  <c r="B58" i="499" s="1"/>
  <c r="B59" i="499" s="1"/>
  <c r="B60" i="499" s="1"/>
  <c r="B61" i="499" s="1"/>
  <c r="B62" i="499" s="1"/>
  <c r="B63" i="499" s="1"/>
  <c r="B64" i="499" s="1"/>
  <c r="B65" i="499" s="1"/>
  <c r="B66" i="499" s="1"/>
  <c r="B67" i="499" s="1"/>
  <c r="B68" i="499" s="1"/>
  <c r="B69" i="499" s="1"/>
  <c r="B70" i="499" s="1"/>
  <c r="B71" i="499" s="1"/>
  <c r="B72" i="499" s="1"/>
  <c r="B73" i="499" s="1"/>
  <c r="B74" i="499" s="1"/>
  <c r="B75" i="499" s="1"/>
  <c r="B76" i="499" s="1"/>
  <c r="B77" i="499" s="1"/>
  <c r="B78" i="499" s="1"/>
  <c r="B79" i="499" s="1"/>
  <c r="B80" i="499" s="1"/>
  <c r="B81" i="499" s="1"/>
  <c r="B82" i="499" s="1"/>
  <c r="B83" i="499" s="1"/>
  <c r="B84" i="499" s="1"/>
  <c r="B85" i="499" s="1"/>
  <c r="B86" i="499" s="1"/>
  <c r="B87" i="499" s="1"/>
  <c r="B88" i="499" s="1"/>
  <c r="B89" i="499" s="1"/>
  <c r="G238" i="546"/>
  <c r="E30" i="546"/>
  <c r="G189" i="546"/>
  <c r="G188" i="546"/>
  <c r="G182" i="546"/>
  <c r="G180" i="546"/>
  <c r="G179" i="546"/>
  <c r="G165" i="546"/>
  <c r="G166" i="546"/>
  <c r="P7" i="546"/>
  <c r="AC7" i="546" s="1"/>
  <c r="G168" i="546"/>
  <c r="G167" i="546"/>
  <c r="A13" i="499"/>
  <c r="A14" i="499" s="1"/>
  <c r="A15" i="499" s="1"/>
  <c r="A16" i="499" s="1"/>
  <c r="A17" i="499" s="1"/>
  <c r="A18" i="499" s="1"/>
  <c r="A19" i="499" s="1"/>
  <c r="A20" i="499" s="1"/>
  <c r="A21" i="499" s="1"/>
  <c r="A22" i="499" s="1"/>
  <c r="A23" i="499" s="1"/>
  <c r="A24" i="499" s="1"/>
  <c r="A25" i="499" s="1"/>
  <c r="A26" i="499" s="1"/>
  <c r="I7" i="546"/>
  <c r="V7" i="546" s="1"/>
  <c r="G214" i="546"/>
  <c r="B2" i="546"/>
  <c r="B3" i="546" s="1"/>
  <c r="B4" i="546" s="1"/>
  <c r="B5" i="546" s="1"/>
  <c r="B6" i="546" s="1"/>
  <c r="H7" i="546"/>
  <c r="J7" i="546"/>
  <c r="W7" i="546" s="1"/>
  <c r="K7" i="546"/>
  <c r="X7" i="546" s="1"/>
  <c r="L7" i="546"/>
  <c r="Y7" i="546" s="1"/>
  <c r="M7" i="546"/>
  <c r="Z7" i="546" s="1"/>
  <c r="N7" i="546"/>
  <c r="AA7" i="546" s="1"/>
  <c r="Q7" i="546"/>
  <c r="AD7" i="546" s="1"/>
  <c r="R7" i="546"/>
  <c r="AE7" i="546" s="1"/>
  <c r="AG67" i="546"/>
  <c r="F10" i="173"/>
  <c r="F4" i="173"/>
  <c r="G4" i="173" s="1"/>
  <c r="H4" i="173" s="1"/>
  <c r="I4" i="173" s="1"/>
  <c r="J4" i="173" s="1"/>
  <c r="K4" i="173" s="1"/>
  <c r="L4" i="173" s="1"/>
  <c r="N4" i="173" s="1"/>
  <c r="O4" i="173" s="1"/>
  <c r="P4" i="173" s="1"/>
  <c r="F29" i="173"/>
  <c r="F43" i="173" s="1"/>
  <c r="E42" i="764"/>
  <c r="E57" i="764"/>
  <c r="F9" i="764"/>
  <c r="G9" i="764" s="1"/>
  <c r="H9" i="764" s="1"/>
  <c r="F10" i="764"/>
  <c r="G10" i="764" s="1"/>
  <c r="H10" i="764" s="1"/>
  <c r="I10" i="764" s="1"/>
  <c r="J10" i="764" s="1"/>
  <c r="K10" i="764" s="1"/>
  <c r="L10" i="764" s="1"/>
  <c r="M10" i="764" s="1"/>
  <c r="N10" i="764" s="1"/>
  <c r="O10" i="764" s="1"/>
  <c r="P10" i="764" s="1"/>
  <c r="G7" i="173"/>
  <c r="N8" i="173"/>
  <c r="O8" i="173" s="1"/>
  <c r="P8" i="173" s="1"/>
  <c r="B22" i="764"/>
  <c r="B21" i="764"/>
  <c r="B20" i="764"/>
  <c r="F18" i="173"/>
  <c r="G18" i="173" s="1"/>
  <c r="H18" i="173" s="1"/>
  <c r="I18" i="173" s="1"/>
  <c r="K18" i="173" s="1"/>
  <c r="L18" i="173" s="1"/>
  <c r="M18" i="173" s="1"/>
  <c r="N18" i="173" s="1"/>
  <c r="O18" i="173" s="1"/>
  <c r="F17" i="173"/>
  <c r="G17" i="173" s="1"/>
  <c r="H17" i="173" s="1"/>
  <c r="I17" i="173" s="1"/>
  <c r="K17" i="173" s="1"/>
  <c r="L17" i="173" s="1"/>
  <c r="M17" i="173" s="1"/>
  <c r="N17" i="173" s="1"/>
  <c r="O17" i="173" s="1"/>
  <c r="F30" i="173"/>
  <c r="G30" i="173" s="1"/>
  <c r="H30" i="173" s="1"/>
  <c r="I30" i="173" s="1"/>
  <c r="J30" i="173" s="1"/>
  <c r="K30" i="173" s="1"/>
  <c r="L30" i="173" s="1"/>
  <c r="M30" i="173" s="1"/>
  <c r="N30" i="173" s="1"/>
  <c r="O30" i="173" s="1"/>
  <c r="P30" i="173" s="1"/>
  <c r="F31" i="173"/>
  <c r="G31" i="173" s="1"/>
  <c r="H31" i="173" s="1"/>
  <c r="I31" i="173" s="1"/>
  <c r="J31" i="173" s="1"/>
  <c r="K31" i="173" s="1"/>
  <c r="L31" i="173" s="1"/>
  <c r="M31" i="173" s="1"/>
  <c r="N31" i="173" s="1"/>
  <c r="O31" i="173" s="1"/>
  <c r="F32" i="173"/>
  <c r="G32" i="173" s="1"/>
  <c r="H32" i="173" s="1"/>
  <c r="I32" i="173" s="1"/>
  <c r="J32" i="173" s="1"/>
  <c r="K32" i="173" s="1"/>
  <c r="L32" i="173" s="1"/>
  <c r="M32" i="173" s="1"/>
  <c r="N32" i="173" s="1"/>
  <c r="O32" i="173" s="1"/>
  <c r="P32" i="173" s="1"/>
  <c r="E71" i="764"/>
  <c r="F13" i="764"/>
  <c r="G13" i="764" s="1"/>
  <c r="H13" i="764" s="1"/>
  <c r="I13" i="764" s="1"/>
  <c r="J13" i="764" s="1"/>
  <c r="K13" i="764" s="1"/>
  <c r="L13" i="764" s="1"/>
  <c r="M13" i="764" s="1"/>
  <c r="N13" i="764" s="1"/>
  <c r="O13" i="764" s="1"/>
  <c r="P13" i="764" s="1"/>
  <c r="F12" i="173"/>
  <c r="A17" i="577"/>
  <c r="A2" i="173"/>
  <c r="A3" i="173" s="1"/>
  <c r="A4" i="173" s="1"/>
  <c r="A5" i="173" s="1"/>
  <c r="A7" i="173" s="1"/>
  <c r="A8" i="173" s="1"/>
  <c r="A9" i="173" s="1"/>
  <c r="A10" i="173" s="1"/>
  <c r="B17" i="577"/>
  <c r="B18" i="577" s="1"/>
  <c r="B19" i="577" s="1"/>
  <c r="B20" i="577" s="1"/>
  <c r="B21" i="577" s="1"/>
  <c r="B22" i="577" s="1"/>
  <c r="B23" i="577" s="1"/>
  <c r="B24" i="577" s="1"/>
  <c r="B25" i="577" s="1"/>
  <c r="B26" i="577" s="1"/>
  <c r="B27" i="577" s="1"/>
  <c r="B28" i="577" s="1"/>
  <c r="B29" i="577" s="1"/>
  <c r="B30" i="577" s="1"/>
  <c r="B31" i="577" s="1"/>
  <c r="B32" i="577" s="1"/>
  <c r="B33" i="577" s="1"/>
  <c r="B34" i="577" s="1"/>
  <c r="B35" i="577" s="1"/>
  <c r="B36" i="577" s="1"/>
  <c r="B37" i="577" s="1"/>
  <c r="B38" i="577" s="1"/>
  <c r="B39" i="577" s="1"/>
  <c r="B40" i="577" s="1"/>
  <c r="B41" i="577" s="1"/>
  <c r="B42" i="577" s="1"/>
  <c r="B43" i="577" s="1"/>
  <c r="B44" i="577" s="1"/>
  <c r="B45" i="577" s="1"/>
  <c r="B46" i="577" s="1"/>
  <c r="B47" i="577" s="1"/>
  <c r="B48" i="577" s="1"/>
  <c r="B49" i="577" s="1"/>
  <c r="B50" i="577" s="1"/>
  <c r="B51" i="577" s="1"/>
  <c r="B52" i="577" s="1"/>
  <c r="B53" i="577" s="1"/>
  <c r="B54" i="577" s="1"/>
  <c r="B55" i="577" s="1"/>
  <c r="B56" i="577" s="1"/>
  <c r="B57" i="577" s="1"/>
  <c r="B58" i="577" s="1"/>
  <c r="B59" i="577" s="1"/>
  <c r="B60" i="577" s="1"/>
  <c r="B61" i="577" s="1"/>
  <c r="B62" i="577" s="1"/>
  <c r="B63" i="577" s="1"/>
  <c r="B64" i="577" s="1"/>
  <c r="B65" i="577" s="1"/>
  <c r="B66" i="577" s="1"/>
  <c r="B67" i="577" s="1"/>
  <c r="B68" i="577" s="1"/>
  <c r="B69" i="577" s="1"/>
  <c r="B70" i="577" s="1"/>
  <c r="B71" i="577" s="1"/>
  <c r="B72" i="577" s="1"/>
  <c r="B73" i="577" s="1"/>
  <c r="B74" i="577" s="1"/>
  <c r="B75" i="577" s="1"/>
  <c r="B76" i="577" s="1"/>
  <c r="B77" i="577" s="1"/>
  <c r="B78" i="577" s="1"/>
  <c r="B79" i="577" s="1"/>
  <c r="B80" i="577" s="1"/>
  <c r="B81" i="577" s="1"/>
  <c r="B82" i="577" s="1"/>
  <c r="B12" i="497"/>
  <c r="B13" i="497" s="1"/>
  <c r="B14" i="497" s="1"/>
  <c r="B15" i="497" s="1"/>
  <c r="B16" i="497" s="1"/>
  <c r="B17" i="497" s="1"/>
  <c r="B18" i="497" s="1"/>
  <c r="B19" i="497" s="1"/>
  <c r="B20" i="497" s="1"/>
  <c r="B21" i="497" s="1"/>
  <c r="B22" i="497" s="1"/>
  <c r="B23" i="497" s="1"/>
  <c r="B24" i="497" s="1"/>
  <c r="B25" i="497" s="1"/>
  <c r="B26" i="497" s="1"/>
  <c r="B27" i="497" s="1"/>
  <c r="B28" i="497" s="1"/>
  <c r="B29" i="497" s="1"/>
  <c r="B30" i="497" s="1"/>
  <c r="B31" i="497" s="1"/>
  <c r="B32" i="497" s="1"/>
  <c r="B33" i="497" s="1"/>
  <c r="B34" i="497" s="1"/>
  <c r="B35" i="497" s="1"/>
  <c r="B36" i="497" s="1"/>
  <c r="B37" i="497" s="1"/>
  <c r="B38" i="497" s="1"/>
  <c r="B39" i="497" s="1"/>
  <c r="B40" i="497" s="1"/>
  <c r="B41" i="497" s="1"/>
  <c r="B42" i="497" s="1"/>
  <c r="B43" i="497" s="1"/>
  <c r="B44" i="497" s="1"/>
  <c r="B45" i="497" s="1"/>
  <c r="B46" i="497" s="1"/>
  <c r="B47" i="497" s="1"/>
  <c r="B48" i="497" s="1"/>
  <c r="B49" i="497" s="1"/>
  <c r="B50" i="497" s="1"/>
  <c r="B51" i="497" s="1"/>
  <c r="B52" i="497" s="1"/>
  <c r="B53" i="497" s="1"/>
  <c r="B54" i="497" s="1"/>
  <c r="B55" i="497" s="1"/>
  <c r="B56" i="497" s="1"/>
  <c r="B57" i="497" s="1"/>
  <c r="B58" i="497" s="1"/>
  <c r="B59" i="497" s="1"/>
  <c r="B60" i="497" s="1"/>
  <c r="B61" i="497" s="1"/>
  <c r="B62" i="497" s="1"/>
  <c r="B63" i="497" s="1"/>
  <c r="B64" i="497" s="1"/>
  <c r="B65" i="497" s="1"/>
  <c r="B66" i="497" s="1"/>
  <c r="B67" i="497" s="1"/>
  <c r="B68" i="497" s="1"/>
  <c r="B69" i="497" s="1"/>
  <c r="B70" i="497" s="1"/>
  <c r="B71" i="497" s="1"/>
  <c r="B72" i="497" s="1"/>
  <c r="B73" i="497" s="1"/>
  <c r="B74" i="497" s="1"/>
  <c r="B75" i="497" s="1"/>
  <c r="B76" i="497" s="1"/>
  <c r="B77" i="497" s="1"/>
  <c r="B78" i="497" s="1"/>
  <c r="B79" i="497" s="1"/>
  <c r="B80" i="497" s="1"/>
  <c r="B81" i="497" s="1"/>
  <c r="B82" i="497" s="1"/>
  <c r="B83" i="497" s="1"/>
  <c r="B84" i="497" s="1"/>
  <c r="B85" i="497" s="1"/>
  <c r="B88" i="497" s="1"/>
  <c r="B89" i="497" s="1"/>
  <c r="A13" i="717"/>
  <c r="A14" i="717" s="1"/>
  <c r="A15" i="717" s="1"/>
  <c r="A16" i="717" s="1"/>
  <c r="A17" i="717" s="1"/>
  <c r="A18" i="717" s="1"/>
  <c r="A19" i="717" s="1"/>
  <c r="A20" i="717" s="1"/>
  <c r="A21" i="717" s="1"/>
  <c r="A22" i="717" s="1"/>
  <c r="B232" i="546"/>
  <c r="B233" i="546" s="1"/>
  <c r="B234" i="546" s="1"/>
  <c r="B235" i="546" s="1"/>
  <c r="B236" i="546" s="1"/>
  <c r="B237" i="546" s="1"/>
  <c r="B13" i="717"/>
  <c r="B14" i="717" s="1"/>
  <c r="B15" i="717" s="1"/>
  <c r="B16" i="717" s="1"/>
  <c r="B17" i="717" s="1"/>
  <c r="B18" i="717" s="1"/>
  <c r="B19" i="717" s="1"/>
  <c r="B20" i="717" s="1"/>
  <c r="B21" i="717" s="1"/>
  <c r="B22" i="717" s="1"/>
  <c r="B23" i="717" s="1"/>
  <c r="B24" i="717" s="1"/>
  <c r="B25" i="717" s="1"/>
  <c r="B26" i="717" s="1"/>
  <c r="B27" i="717" s="1"/>
  <c r="B28" i="717" s="1"/>
  <c r="B29" i="717" s="1"/>
  <c r="B30" i="717" s="1"/>
  <c r="B31" i="717" s="1"/>
  <c r="B32" i="717" s="1"/>
  <c r="B33" i="717" s="1"/>
  <c r="B34" i="717" s="1"/>
  <c r="B35" i="717" s="1"/>
  <c r="B36" i="717" s="1"/>
  <c r="B37" i="717" s="1"/>
  <c r="B38" i="717" s="1"/>
  <c r="B39" i="717" s="1"/>
  <c r="B40" i="717" s="1"/>
  <c r="B41" i="717" s="1"/>
  <c r="B42" i="717" s="1"/>
  <c r="B43" i="717" s="1"/>
  <c r="B44" i="717" s="1"/>
  <c r="B45" i="717" s="1"/>
  <c r="B46" i="717" s="1"/>
  <c r="B47" i="717" s="1"/>
  <c r="AG54" i="546"/>
  <c r="AG55" i="546"/>
  <c r="AG56" i="546"/>
  <c r="AG57" i="546"/>
  <c r="AG58" i="546"/>
  <c r="AG59" i="546"/>
  <c r="AG60" i="546"/>
  <c r="AG61" i="546"/>
  <c r="AG62" i="546"/>
  <c r="AG63" i="546"/>
  <c r="AG64" i="546"/>
  <c r="AG65" i="546"/>
  <c r="AG66" i="546"/>
  <c r="AG68" i="546"/>
  <c r="AG53" i="546"/>
  <c r="A75" i="577"/>
  <c r="A77" i="577"/>
  <c r="A78" i="577" s="1"/>
  <c r="A79" i="577" s="1"/>
  <c r="B168" i="546"/>
  <c r="B169" i="546" s="1"/>
  <c r="B170" i="546" s="1"/>
  <c r="B171" i="546" s="1"/>
  <c r="B172" i="546" s="1"/>
  <c r="B173" i="546" s="1"/>
  <c r="B174" i="546" s="1"/>
  <c r="B175" i="546" s="1"/>
  <c r="B176" i="546" s="1"/>
  <c r="B177" i="546" s="1"/>
  <c r="B178" i="546" s="1"/>
  <c r="B179" i="546" s="1"/>
  <c r="B180" i="546" s="1"/>
  <c r="B181" i="546" s="1"/>
  <c r="B182" i="546" s="1"/>
  <c r="B183" i="546" s="1"/>
  <c r="B184" i="546" s="1"/>
  <c r="B185" i="546" s="1"/>
  <c r="B186" i="546" s="1"/>
  <c r="G162" i="546"/>
  <c r="C11" i="717"/>
  <c r="B51" i="717"/>
  <c r="B52" i="717" s="1"/>
  <c r="B53" i="717" s="1"/>
  <c r="B54" i="717" s="1"/>
  <c r="B55" i="717" s="1"/>
  <c r="B56" i="717" s="1"/>
  <c r="B57" i="717" s="1"/>
  <c r="B58" i="717" s="1"/>
  <c r="B59" i="717" s="1"/>
  <c r="B60" i="717" s="1"/>
  <c r="B61" i="717" s="1"/>
  <c r="B62" i="717" s="1"/>
  <c r="B63" i="717" s="1"/>
  <c r="B64" i="717" s="1"/>
  <c r="B65" i="717" s="1"/>
  <c r="B66" i="717" s="1"/>
  <c r="B67" i="717" s="1"/>
  <c r="B68" i="717" s="1"/>
  <c r="B69" i="717" s="1"/>
  <c r="B70" i="717" s="1"/>
  <c r="B71" i="717" s="1"/>
  <c r="B72" i="717" s="1"/>
  <c r="B73" i="717" s="1"/>
  <c r="A13" i="764"/>
  <c r="A14" i="764" s="1"/>
  <c r="A15" i="764" s="1"/>
  <c r="A16" i="764" s="1"/>
  <c r="A18" i="764" s="1"/>
  <c r="A19" i="764" s="1"/>
  <c r="A20" i="764" s="1"/>
  <c r="A21" i="764" s="1"/>
  <c r="A22" i="764" s="1"/>
  <c r="A23" i="764" s="1"/>
  <c r="A24" i="764" s="1"/>
  <c r="A25" i="764" s="1"/>
  <c r="A26" i="764" s="1"/>
  <c r="A27" i="764" s="1"/>
  <c r="A28" i="764" s="1"/>
  <c r="A29" i="764" s="1"/>
  <c r="A30" i="764" s="1"/>
  <c r="A31" i="764" s="1"/>
  <c r="A32" i="764" s="1"/>
  <c r="A33" i="764" s="1"/>
  <c r="A34" i="764" s="1"/>
  <c r="A35" i="764" s="1"/>
  <c r="A36" i="764" s="1"/>
  <c r="A40" i="764"/>
  <c r="A41" i="764" s="1"/>
  <c r="E70" i="764"/>
  <c r="F12" i="764"/>
  <c r="G12" i="764" s="1"/>
  <c r="H12" i="764" s="1"/>
  <c r="I12" i="764" s="1"/>
  <c r="J12" i="764" s="1"/>
  <c r="K12" i="764" s="1"/>
  <c r="L12" i="764" s="1"/>
  <c r="M12" i="764" s="1"/>
  <c r="N12" i="764" s="1"/>
  <c r="O12" i="764" s="1"/>
  <c r="P12" i="764" s="1"/>
  <c r="F1" i="764"/>
  <c r="G1" i="764" s="1"/>
  <c r="H1" i="764" s="1"/>
  <c r="I1" i="764" s="1"/>
  <c r="J1" i="764" s="1"/>
  <c r="K1" i="764" s="1"/>
  <c r="L1" i="764" s="1"/>
  <c r="M1" i="764" s="1"/>
  <c r="N1" i="764" s="1"/>
  <c r="O1" i="764" s="1"/>
  <c r="P1" i="764" s="1"/>
  <c r="H1" i="546"/>
  <c r="I1" i="546" s="1"/>
  <c r="J1" i="546" s="1"/>
  <c r="K1" i="546" s="1"/>
  <c r="L1" i="546" s="1"/>
  <c r="M1" i="546" s="1"/>
  <c r="N1" i="546" s="1"/>
  <c r="O1" i="546" s="1"/>
  <c r="P1" i="546" s="1"/>
  <c r="Q1" i="546" s="1"/>
  <c r="R1" i="546" s="1"/>
  <c r="B87" i="717"/>
  <c r="G235" i="546"/>
  <c r="G194" i="546"/>
  <c r="G183" i="546"/>
  <c r="G178" i="546"/>
  <c r="G177" i="546"/>
  <c r="G2" i="546"/>
  <c r="G52" i="546" s="1"/>
  <c r="P2" i="546"/>
  <c r="P52" i="546" s="1"/>
  <c r="R2" i="546"/>
  <c r="R52" i="546" s="1"/>
  <c r="H2" i="546"/>
  <c r="H52" i="546" s="1"/>
  <c r="I2" i="546"/>
  <c r="I52" i="546" s="1"/>
  <c r="D30" i="546"/>
  <c r="F128" i="546"/>
  <c r="F127" i="546"/>
  <c r="F5" i="173"/>
  <c r="G5" i="173" s="1"/>
  <c r="H5" i="173" s="1"/>
  <c r="I5" i="173" s="1"/>
  <c r="J5" i="173" s="1"/>
  <c r="K5" i="173" s="1"/>
  <c r="L5" i="173" s="1"/>
  <c r="M5" i="173" s="1"/>
  <c r="N5" i="173" s="1"/>
  <c r="O5" i="173" s="1"/>
  <c r="P5" i="173" s="1"/>
  <c r="F230" i="546"/>
  <c r="F229" i="546"/>
  <c r="AF43" i="546"/>
  <c r="AF25" i="546"/>
  <c r="Q2" i="546"/>
  <c r="Q52" i="546" s="1"/>
  <c r="O2" i="546"/>
  <c r="O52" i="546" s="1"/>
  <c r="N2" i="546"/>
  <c r="N52" i="546" s="1"/>
  <c r="M52" i="546"/>
  <c r="L2" i="546"/>
  <c r="L52" i="546" s="1"/>
  <c r="K2" i="546"/>
  <c r="K52" i="546" s="1"/>
  <c r="J2" i="546"/>
  <c r="J52" i="546" s="1"/>
  <c r="AF6" i="546"/>
  <c r="D18" i="578"/>
  <c r="D17" i="578"/>
  <c r="C19" i="578"/>
  <c r="P3" i="577"/>
  <c r="E14" i="577"/>
  <c r="F14" i="577"/>
  <c r="G14" i="577"/>
  <c r="H14" i="577"/>
  <c r="I14" i="577"/>
  <c r="J14" i="577"/>
  <c r="K14" i="577"/>
  <c r="L14" i="577"/>
  <c r="M14" i="577"/>
  <c r="N14" i="577"/>
  <c r="O14" i="577"/>
  <c r="D14" i="577"/>
  <c r="D96" i="546"/>
  <c r="E60" i="546"/>
  <c r="D93" i="546"/>
  <c r="D94" i="546"/>
  <c r="D95" i="546"/>
  <c r="D97" i="546"/>
  <c r="D98" i="546"/>
  <c r="G190" i="546"/>
  <c r="E62" i="546"/>
  <c r="E61" i="546"/>
  <c r="E59" i="546"/>
  <c r="E58" i="546"/>
  <c r="E57" i="546"/>
  <c r="A52" i="546"/>
  <c r="E4" i="63"/>
  <c r="F4" i="63"/>
  <c r="F1" i="173"/>
  <c r="G1" i="173" s="1"/>
  <c r="H1" i="173" s="1"/>
  <c r="I1" i="173" s="1"/>
  <c r="J1" i="173" s="1"/>
  <c r="K1" i="173" s="1"/>
  <c r="L1" i="173" s="1"/>
  <c r="M1" i="173" s="1"/>
  <c r="N1" i="173" s="1"/>
  <c r="O1" i="173" s="1"/>
  <c r="P1" i="173" s="1"/>
  <c r="H3" i="435"/>
  <c r="H11" i="435"/>
  <c r="H16" i="435" s="1"/>
  <c r="G3" i="435"/>
  <c r="G11" i="435"/>
  <c r="F3" i="435"/>
  <c r="F11" i="435"/>
  <c r="E3" i="435"/>
  <c r="E11" i="435"/>
  <c r="E16" i="435" s="1"/>
  <c r="D3" i="435"/>
  <c r="D11" i="435"/>
  <c r="C3" i="435"/>
  <c r="C11" i="435"/>
  <c r="F11" i="173"/>
  <c r="G11" i="173" s="1"/>
  <c r="H11" i="173" s="1"/>
  <c r="I11" i="173" s="1"/>
  <c r="J11" i="173" s="1"/>
  <c r="K11" i="173" s="1"/>
  <c r="L11" i="173" s="1"/>
  <c r="M11" i="173" s="1"/>
  <c r="N11" i="173" s="1"/>
  <c r="O11" i="173" s="1"/>
  <c r="P11" i="173" s="1"/>
  <c r="N27" i="371"/>
  <c r="O27" i="371" s="1"/>
  <c r="D27" i="419" s="1"/>
  <c r="E27" i="419" s="1"/>
  <c r="F27" i="419" s="1"/>
  <c r="G27" i="419" s="1"/>
  <c r="H27" i="419" s="1"/>
  <c r="I27" i="419" s="1"/>
  <c r="J27" i="419" s="1"/>
  <c r="K27" i="419" s="1"/>
  <c r="L27" i="419" s="1"/>
  <c r="M27" i="419" s="1"/>
  <c r="N27" i="419" s="1"/>
  <c r="O27" i="419" s="1"/>
  <c r="E3" i="419"/>
  <c r="E49" i="419" s="1"/>
  <c r="E3" i="371"/>
  <c r="F3" i="371" s="1"/>
  <c r="G3" i="371" s="1"/>
  <c r="H3" i="371" s="1"/>
  <c r="I3" i="371" s="1"/>
  <c r="J27" i="18"/>
  <c r="K27" i="18" s="1"/>
  <c r="L27" i="18" s="1"/>
  <c r="M27" i="18" s="1"/>
  <c r="N27" i="18" s="1"/>
  <c r="O27" i="18" s="1"/>
  <c r="D27" i="219" s="1"/>
  <c r="E27" i="219" s="1"/>
  <c r="F27" i="219" s="1"/>
  <c r="G27" i="219" s="1"/>
  <c r="H27" i="219" s="1"/>
  <c r="I27" i="219" s="1"/>
  <c r="J27" i="219" s="1"/>
  <c r="K27" i="219" s="1"/>
  <c r="L27" i="219" s="1"/>
  <c r="M27" i="219" s="1"/>
  <c r="N27" i="219" s="1"/>
  <c r="O27" i="219" s="1"/>
  <c r="D27" i="371" s="1"/>
  <c r="E27" i="371" s="1"/>
  <c r="F27" i="371" s="1"/>
  <c r="G27" i="371" s="1"/>
  <c r="H27" i="371" s="1"/>
  <c r="J26" i="18"/>
  <c r="K26" i="18" s="1"/>
  <c r="L26" i="18" s="1"/>
  <c r="M26" i="18" s="1"/>
  <c r="N26" i="18" s="1"/>
  <c r="O26" i="18" s="1"/>
  <c r="D26" i="219" s="1"/>
  <c r="E26" i="219" s="1"/>
  <c r="F26" i="219" s="1"/>
  <c r="G26" i="219" s="1"/>
  <c r="H26" i="219" s="1"/>
  <c r="I26" i="219" s="1"/>
  <c r="J26" i="219" s="1"/>
  <c r="K26" i="219" s="1"/>
  <c r="L26" i="219" s="1"/>
  <c r="M26" i="219" s="1"/>
  <c r="N26" i="219" s="1"/>
  <c r="O26" i="219" s="1"/>
  <c r="D26" i="371" s="1"/>
  <c r="E26" i="371" s="1"/>
  <c r="F26" i="371" s="1"/>
  <c r="G26" i="371" s="1"/>
  <c r="H26" i="371" s="1"/>
  <c r="J26" i="371"/>
  <c r="K26" i="371" s="1"/>
  <c r="L26" i="371" s="1"/>
  <c r="M26" i="371" s="1"/>
  <c r="N26" i="371" s="1"/>
  <c r="O26" i="371" s="1"/>
  <c r="D26" i="419" s="1"/>
  <c r="E26" i="419" s="1"/>
  <c r="F26" i="419" s="1"/>
  <c r="G26" i="419" s="1"/>
  <c r="H26" i="419" s="1"/>
  <c r="I26" i="419" s="1"/>
  <c r="J26" i="419" s="1"/>
  <c r="K26" i="419" s="1"/>
  <c r="L26" i="419" s="1"/>
  <c r="M26" i="419" s="1"/>
  <c r="N26" i="419" s="1"/>
  <c r="O26" i="419" s="1"/>
  <c r="M24" i="419"/>
  <c r="N24" i="419" s="1"/>
  <c r="O24" i="419" s="1"/>
  <c r="M24" i="371"/>
  <c r="N24" i="371"/>
  <c r="O24" i="371" s="1"/>
  <c r="D23" i="419" s="1"/>
  <c r="E23" i="419" s="1"/>
  <c r="F23" i="419" s="1"/>
  <c r="G23" i="419" s="1"/>
  <c r="H23" i="419" s="1"/>
  <c r="I23" i="419" s="1"/>
  <c r="J23" i="419" s="1"/>
  <c r="K23" i="419" s="1"/>
  <c r="L23" i="419" s="1"/>
  <c r="E9" i="371"/>
  <c r="F9" i="371" s="1"/>
  <c r="E4" i="371"/>
  <c r="E8" i="371"/>
  <c r="E10" i="371"/>
  <c r="F10" i="371" s="1"/>
  <c r="G10" i="371" s="1"/>
  <c r="H10" i="371" s="1"/>
  <c r="I10" i="371" s="1"/>
  <c r="J10" i="371" s="1"/>
  <c r="K10" i="371" s="1"/>
  <c r="L10" i="371" s="1"/>
  <c r="M10" i="371" s="1"/>
  <c r="N10" i="371" s="1"/>
  <c r="O10" i="371" s="1"/>
  <c r="E11" i="371"/>
  <c r="F11" i="371" s="1"/>
  <c r="F47" i="371" s="1"/>
  <c r="F68" i="371" s="1"/>
  <c r="E12" i="371"/>
  <c r="E13" i="371"/>
  <c r="E14" i="371"/>
  <c r="F14" i="371" s="1"/>
  <c r="E15" i="371"/>
  <c r="E16" i="371"/>
  <c r="E17" i="371"/>
  <c r="F17" i="371" s="1"/>
  <c r="E18" i="371"/>
  <c r="F18" i="371" s="1"/>
  <c r="E5" i="371"/>
  <c r="F5" i="371" s="1"/>
  <c r="F55" i="371" s="1"/>
  <c r="E20" i="371"/>
  <c r="F20" i="371" s="1"/>
  <c r="G20" i="371" s="1"/>
  <c r="H20" i="371" s="1"/>
  <c r="E23" i="371"/>
  <c r="F23" i="371" s="1"/>
  <c r="G23" i="371" s="1"/>
  <c r="H23" i="371" s="1"/>
  <c r="I23" i="371" s="1"/>
  <c r="J23" i="371" s="1"/>
  <c r="K23" i="371" s="1"/>
  <c r="L23" i="371" s="1"/>
  <c r="E63" i="371"/>
  <c r="F8" i="371"/>
  <c r="F63" i="371"/>
  <c r="G8" i="371"/>
  <c r="G63" i="371"/>
  <c r="H8" i="371"/>
  <c r="H63" i="371"/>
  <c r="K9" i="63"/>
  <c r="K60" i="63" s="1"/>
  <c r="L8" i="63"/>
  <c r="K10" i="63"/>
  <c r="L10" i="63" s="1"/>
  <c r="M10" i="63" s="1"/>
  <c r="N10" i="63" s="1"/>
  <c r="O10" i="63" s="1"/>
  <c r="E11" i="63"/>
  <c r="F11" i="63" s="1"/>
  <c r="E12" i="63"/>
  <c r="E48" i="63" s="1"/>
  <c r="E13" i="63"/>
  <c r="E14" i="63"/>
  <c r="E15" i="63"/>
  <c r="K16" i="63"/>
  <c r="E17" i="63"/>
  <c r="E18" i="63"/>
  <c r="F18" i="63"/>
  <c r="D5" i="63"/>
  <c r="E20" i="63"/>
  <c r="L63" i="63"/>
  <c r="E9" i="63"/>
  <c r="E101" i="63" s="1"/>
  <c r="E10" i="63"/>
  <c r="F10" i="63" s="1"/>
  <c r="G10" i="63" s="1"/>
  <c r="E16" i="63"/>
  <c r="F16" i="63" s="1"/>
  <c r="G16" i="63" s="1"/>
  <c r="H16" i="63" s="1"/>
  <c r="I16" i="63" s="1"/>
  <c r="I63" i="63"/>
  <c r="J8" i="63"/>
  <c r="J52" i="63"/>
  <c r="J60" i="63"/>
  <c r="J63" i="63"/>
  <c r="K8" i="63"/>
  <c r="K63" i="63"/>
  <c r="M8" i="63"/>
  <c r="M37" i="63"/>
  <c r="M63" i="63" s="1"/>
  <c r="N8" i="63"/>
  <c r="N24" i="63"/>
  <c r="O24" i="63" s="1"/>
  <c r="O8" i="63"/>
  <c r="D44" i="63"/>
  <c r="D58" i="63" s="1"/>
  <c r="D45" i="63"/>
  <c r="D102" i="63"/>
  <c r="D103" i="63"/>
  <c r="D104" i="63"/>
  <c r="D105" i="63"/>
  <c r="D47" i="63"/>
  <c r="D68" i="63" s="1"/>
  <c r="D48" i="63"/>
  <c r="D69" i="63" s="1"/>
  <c r="D49" i="63"/>
  <c r="D50" i="63"/>
  <c r="D71" i="63" s="1"/>
  <c r="D51" i="63"/>
  <c r="D72" i="63" s="1"/>
  <c r="D52" i="63"/>
  <c r="D73" i="63" s="1"/>
  <c r="D53" i="63"/>
  <c r="D74" i="63" s="1"/>
  <c r="D54" i="63"/>
  <c r="D59" i="63"/>
  <c r="D60" i="63"/>
  <c r="D62" i="63"/>
  <c r="D80" i="63" s="1"/>
  <c r="D63" i="63"/>
  <c r="E104" i="63"/>
  <c r="E23" i="63"/>
  <c r="E63" i="63"/>
  <c r="F63" i="63"/>
  <c r="G63" i="63"/>
  <c r="H63" i="63"/>
  <c r="D44" i="18"/>
  <c r="D66" i="18" s="1"/>
  <c r="D45" i="18"/>
  <c r="D55" i="18"/>
  <c r="D102" i="18"/>
  <c r="D103" i="18"/>
  <c r="D104" i="18"/>
  <c r="D105" i="18"/>
  <c r="D47" i="18"/>
  <c r="D68" i="18" s="1"/>
  <c r="D48" i="18"/>
  <c r="D49" i="18"/>
  <c r="D70" i="18" s="1"/>
  <c r="D50" i="18"/>
  <c r="D71" i="18" s="1"/>
  <c r="D51" i="18"/>
  <c r="D72" i="18" s="1"/>
  <c r="D52" i="18"/>
  <c r="D53" i="18"/>
  <c r="D74" i="18" s="1"/>
  <c r="D54" i="18"/>
  <c r="D59" i="18"/>
  <c r="D60" i="18"/>
  <c r="D63" i="18"/>
  <c r="E9" i="18"/>
  <c r="F9" i="18" s="1"/>
  <c r="F96" i="18" s="1"/>
  <c r="E4" i="18"/>
  <c r="E8" i="18"/>
  <c r="E5" i="18"/>
  <c r="E10" i="18"/>
  <c r="F10" i="18" s="1"/>
  <c r="G10" i="18" s="1"/>
  <c r="H10" i="18" s="1"/>
  <c r="I10" i="18" s="1"/>
  <c r="J10" i="18" s="1"/>
  <c r="K10" i="18" s="1"/>
  <c r="L10" i="18" s="1"/>
  <c r="M10" i="18" s="1"/>
  <c r="N10" i="18" s="1"/>
  <c r="O10" i="18" s="1"/>
  <c r="E11" i="18"/>
  <c r="E47" i="18" s="1"/>
  <c r="E68" i="18" s="1"/>
  <c r="E12" i="18"/>
  <c r="E48" i="18" s="1"/>
  <c r="E13" i="18"/>
  <c r="E14" i="18"/>
  <c r="E50" i="18" s="1"/>
  <c r="E15" i="18"/>
  <c r="F15" i="18" s="1"/>
  <c r="F51" i="18" s="1"/>
  <c r="E16" i="18"/>
  <c r="E17" i="18"/>
  <c r="E18" i="18"/>
  <c r="E20" i="18"/>
  <c r="E23" i="18"/>
  <c r="F23" i="18" s="1"/>
  <c r="G23" i="18" s="1"/>
  <c r="H23" i="18" s="1"/>
  <c r="I23" i="18" s="1"/>
  <c r="J23" i="18" s="1"/>
  <c r="K23" i="18" s="1"/>
  <c r="L23" i="18" s="1"/>
  <c r="E63" i="18"/>
  <c r="F8" i="18"/>
  <c r="F63" i="18"/>
  <c r="G8" i="18"/>
  <c r="G63" i="18"/>
  <c r="H8" i="18"/>
  <c r="H63" i="18"/>
  <c r="M7" i="18"/>
  <c r="N7" i="18" s="1"/>
  <c r="O7" i="18" s="1"/>
  <c r="M8" i="18"/>
  <c r="M24" i="18"/>
  <c r="N24" i="18" s="1"/>
  <c r="O24" i="18" s="1"/>
  <c r="D23" i="219" s="1"/>
  <c r="E23" i="219" s="1"/>
  <c r="F23" i="219" s="1"/>
  <c r="G23" i="219" s="1"/>
  <c r="H23" i="219" s="1"/>
  <c r="I23" i="219" s="1"/>
  <c r="J23" i="219" s="1"/>
  <c r="K23" i="219" s="1"/>
  <c r="L23" i="219" s="1"/>
  <c r="N8" i="18"/>
  <c r="O8" i="18"/>
  <c r="I8" i="18"/>
  <c r="I63" i="18"/>
  <c r="J8" i="18"/>
  <c r="J63" i="18"/>
  <c r="K8" i="18"/>
  <c r="K63" i="18"/>
  <c r="L8" i="18"/>
  <c r="L63" i="18"/>
  <c r="D44" i="219"/>
  <c r="D58" i="219" s="1"/>
  <c r="D45" i="219"/>
  <c r="D55" i="219"/>
  <c r="D56" i="219" s="1"/>
  <c r="D102" i="219"/>
  <c r="D103" i="219"/>
  <c r="D104" i="219"/>
  <c r="D105" i="219"/>
  <c r="D47" i="219"/>
  <c r="D68" i="219" s="1"/>
  <c r="D48" i="219"/>
  <c r="D69" i="219" s="1"/>
  <c r="D49" i="219"/>
  <c r="D70" i="219" s="1"/>
  <c r="D50" i="219"/>
  <c r="D71" i="219" s="1"/>
  <c r="D51" i="219"/>
  <c r="D72" i="219" s="1"/>
  <c r="D52" i="219"/>
  <c r="D73" i="219" s="1"/>
  <c r="D53" i="219"/>
  <c r="D74" i="219" s="1"/>
  <c r="D54" i="219"/>
  <c r="D75" i="219" s="1"/>
  <c r="D59" i="219"/>
  <c r="D60" i="219"/>
  <c r="D63" i="219"/>
  <c r="E9" i="219"/>
  <c r="E60" i="219" s="1"/>
  <c r="E4" i="219"/>
  <c r="E103" i="219" s="1"/>
  <c r="E8" i="219"/>
  <c r="E5" i="219"/>
  <c r="E10" i="219"/>
  <c r="E11" i="219"/>
  <c r="E12" i="219"/>
  <c r="E13" i="219"/>
  <c r="E49" i="219" s="1"/>
  <c r="E14" i="219"/>
  <c r="F14" i="219" s="1"/>
  <c r="F50" i="219" s="1"/>
  <c r="E50" i="219"/>
  <c r="E15" i="219"/>
  <c r="E51" i="219" s="1"/>
  <c r="E16" i="219"/>
  <c r="E17" i="219"/>
  <c r="F17" i="219" s="1"/>
  <c r="G17" i="219" s="1"/>
  <c r="H17" i="219" s="1"/>
  <c r="I17" i="219" s="1"/>
  <c r="J17" i="219" s="1"/>
  <c r="K17" i="219" s="1"/>
  <c r="L17" i="219" s="1"/>
  <c r="M17" i="219" s="1"/>
  <c r="N17" i="219" s="1"/>
  <c r="O17" i="219" s="1"/>
  <c r="E18" i="219"/>
  <c r="E20" i="219"/>
  <c r="E63" i="219"/>
  <c r="F8" i="219"/>
  <c r="F10" i="219"/>
  <c r="F15" i="219"/>
  <c r="F16" i="219"/>
  <c r="F63" i="219"/>
  <c r="G8" i="219"/>
  <c r="G63" i="219"/>
  <c r="H8" i="219"/>
  <c r="H63" i="219"/>
  <c r="M7" i="219"/>
  <c r="N7" i="219" s="1"/>
  <c r="O7" i="219" s="1"/>
  <c r="M8" i="219"/>
  <c r="N8" i="219"/>
  <c r="N24" i="219"/>
  <c r="O24" i="219" s="1"/>
  <c r="O8" i="219"/>
  <c r="I8" i="219"/>
  <c r="I63" i="219"/>
  <c r="J8" i="219"/>
  <c r="J63" i="219"/>
  <c r="K8" i="219"/>
  <c r="K63" i="219"/>
  <c r="L8" i="219"/>
  <c r="L63" i="219"/>
  <c r="D44" i="371"/>
  <c r="D58" i="371" s="1"/>
  <c r="D45" i="371"/>
  <c r="D55" i="371"/>
  <c r="D57" i="371" s="1"/>
  <c r="D77" i="371" s="1"/>
  <c r="D102" i="371"/>
  <c r="D103" i="371"/>
  <c r="D104" i="371"/>
  <c r="D105" i="371"/>
  <c r="D47" i="371"/>
  <c r="D68" i="371" s="1"/>
  <c r="D48" i="371"/>
  <c r="D69" i="371" s="1"/>
  <c r="D49" i="371"/>
  <c r="D70" i="371" s="1"/>
  <c r="D50" i="371"/>
  <c r="D71" i="371" s="1"/>
  <c r="D51" i="371"/>
  <c r="D72" i="371" s="1"/>
  <c r="D52" i="371"/>
  <c r="D73" i="371" s="1"/>
  <c r="D53" i="371"/>
  <c r="D54" i="371"/>
  <c r="D75" i="371" s="1"/>
  <c r="D59" i="371"/>
  <c r="D60" i="371"/>
  <c r="D63" i="371"/>
  <c r="M7" i="371"/>
  <c r="N7" i="371" s="1"/>
  <c r="O7" i="371" s="1"/>
  <c r="M8" i="371"/>
  <c r="M64" i="371"/>
  <c r="M6" i="371"/>
  <c r="M95" i="371" s="1"/>
  <c r="E19" i="371"/>
  <c r="F19" i="371" s="1"/>
  <c r="G19" i="371" s="1"/>
  <c r="H19" i="371" s="1"/>
  <c r="I19" i="371" s="1"/>
  <c r="J19" i="371" s="1"/>
  <c r="K19" i="371" s="1"/>
  <c r="L19" i="371" s="1"/>
  <c r="M19" i="371" s="1"/>
  <c r="N19" i="371" s="1"/>
  <c r="O19" i="371" s="1"/>
  <c r="N8" i="371"/>
  <c r="N64" i="371"/>
  <c r="N6" i="371"/>
  <c r="N95" i="371" s="1"/>
  <c r="O8" i="371"/>
  <c r="O64" i="371"/>
  <c r="O6" i="371"/>
  <c r="I8" i="371"/>
  <c r="I6" i="371"/>
  <c r="I95" i="371" s="1"/>
  <c r="I63" i="371"/>
  <c r="I64" i="371"/>
  <c r="J8" i="371"/>
  <c r="J6" i="371"/>
  <c r="J95" i="371" s="1"/>
  <c r="J63" i="371"/>
  <c r="J64" i="371"/>
  <c r="K8" i="371"/>
  <c r="K6" i="371"/>
  <c r="K95" i="371" s="1"/>
  <c r="K63" i="371"/>
  <c r="K64" i="371"/>
  <c r="L8" i="371"/>
  <c r="L6" i="371"/>
  <c r="L95" i="371" s="1"/>
  <c r="L63" i="371"/>
  <c r="L64" i="371"/>
  <c r="D9" i="419"/>
  <c r="E9" i="419" s="1"/>
  <c r="F9" i="419" s="1"/>
  <c r="G9" i="419" s="1"/>
  <c r="H9" i="419" s="1"/>
  <c r="I9" i="419" s="1"/>
  <c r="J9" i="419" s="1"/>
  <c r="K9" i="419" s="1"/>
  <c r="L9" i="419" s="1"/>
  <c r="M9" i="419" s="1"/>
  <c r="N9" i="419" s="1"/>
  <c r="O9" i="419" s="1"/>
  <c r="D7" i="419"/>
  <c r="G7" i="419" s="1"/>
  <c r="P2" i="371"/>
  <c r="P2" i="419" s="1"/>
  <c r="D1" i="419"/>
  <c r="E1" i="419" s="1"/>
  <c r="F1" i="419" s="1"/>
  <c r="G1" i="419" s="1"/>
  <c r="H1" i="419" s="1"/>
  <c r="I1" i="419" s="1"/>
  <c r="J1" i="419" s="1"/>
  <c r="K1" i="419" s="1"/>
  <c r="L1" i="419" s="1"/>
  <c r="M1" i="419" s="1"/>
  <c r="N1" i="419" s="1"/>
  <c r="O1" i="419" s="1"/>
  <c r="A2" i="419"/>
  <c r="A3" i="419" s="1"/>
  <c r="A4" i="419" s="1"/>
  <c r="A5" i="419" s="1"/>
  <c r="A6" i="419" s="1"/>
  <c r="A7" i="419" s="1"/>
  <c r="A8" i="419" s="1"/>
  <c r="A9" i="419" s="1"/>
  <c r="A10" i="419" s="1"/>
  <c r="A11" i="419" s="1"/>
  <c r="A12" i="419" s="1"/>
  <c r="A13" i="419" s="1"/>
  <c r="A14" i="419" s="1"/>
  <c r="A15" i="419" s="1"/>
  <c r="A16" i="419" s="1"/>
  <c r="A17" i="419" s="1"/>
  <c r="A18" i="419" s="1"/>
  <c r="A19" i="419" s="1"/>
  <c r="A20" i="419" s="1"/>
  <c r="A21" i="419" s="1"/>
  <c r="A22" i="419" s="1"/>
  <c r="A23" i="419" s="1"/>
  <c r="A24" i="419" s="1"/>
  <c r="A25" i="419" s="1"/>
  <c r="A26" i="419" s="1"/>
  <c r="A27" i="419" s="1"/>
  <c r="A28" i="419" s="1"/>
  <c r="A29" i="419" s="1"/>
  <c r="A30" i="419" s="1"/>
  <c r="A31" i="419" s="1"/>
  <c r="A32" i="419" s="1"/>
  <c r="A33" i="419" s="1"/>
  <c r="A34" i="419" s="1"/>
  <c r="A35" i="419" s="1"/>
  <c r="A36" i="419" s="1"/>
  <c r="A37" i="419" s="1"/>
  <c r="A38" i="419" s="1"/>
  <c r="A39" i="419" s="1"/>
  <c r="A40" i="419" s="1"/>
  <c r="A41" i="419" s="1"/>
  <c r="A42" i="419" s="1"/>
  <c r="A43" i="419" s="1"/>
  <c r="A44" i="419" s="1"/>
  <c r="A45" i="419" s="1"/>
  <c r="A46" i="419" s="1"/>
  <c r="A47" i="419" s="1"/>
  <c r="A48" i="419" s="1"/>
  <c r="A49" i="419" s="1"/>
  <c r="A50" i="419" s="1"/>
  <c r="A51" i="419" s="1"/>
  <c r="A52" i="419" s="1"/>
  <c r="A53" i="419" s="1"/>
  <c r="A54" i="419" s="1"/>
  <c r="A55" i="419" s="1"/>
  <c r="A56" i="419" s="1"/>
  <c r="A57" i="419" s="1"/>
  <c r="A58" i="419" s="1"/>
  <c r="A59" i="419" s="1"/>
  <c r="A60" i="419" s="1"/>
  <c r="A61" i="419" s="1"/>
  <c r="A62" i="419" s="1"/>
  <c r="A63" i="419" s="1"/>
  <c r="A64" i="419" s="1"/>
  <c r="A65" i="419" s="1"/>
  <c r="A66" i="419" s="1"/>
  <c r="A67" i="419" s="1"/>
  <c r="A68" i="419" s="1"/>
  <c r="A69" i="419" s="1"/>
  <c r="A70" i="419" s="1"/>
  <c r="A71" i="419" s="1"/>
  <c r="A72" i="419" s="1"/>
  <c r="A73" i="419" s="1"/>
  <c r="A74" i="419" s="1"/>
  <c r="A75" i="419" s="1"/>
  <c r="A76" i="419" s="1"/>
  <c r="A77" i="419" s="1"/>
  <c r="A78" i="419" s="1"/>
  <c r="A79" i="419" s="1"/>
  <c r="A80" i="419" s="1"/>
  <c r="A81" i="419" s="1"/>
  <c r="A82" i="419" s="1"/>
  <c r="A83" i="419" s="1"/>
  <c r="A84" i="419" s="1"/>
  <c r="A85" i="419" s="1"/>
  <c r="A86" i="419" s="1"/>
  <c r="A87" i="419" s="1"/>
  <c r="A88" i="419" s="1"/>
  <c r="A89" i="419" s="1"/>
  <c r="A90" i="419" s="1"/>
  <c r="A91" i="419" s="1"/>
  <c r="A92" i="419" s="1"/>
  <c r="A93" i="419" s="1"/>
  <c r="A94" i="419" s="1"/>
  <c r="A95" i="419" s="1"/>
  <c r="A96" i="419" s="1"/>
  <c r="A97" i="419" s="1"/>
  <c r="A98" i="419" s="1"/>
  <c r="A99" i="419" s="1"/>
  <c r="A100" i="419" s="1"/>
  <c r="A101" i="419" s="1"/>
  <c r="A102" i="419" s="1"/>
  <c r="A103" i="419" s="1"/>
  <c r="A104" i="419" s="1"/>
  <c r="A105" i="419" s="1"/>
  <c r="M6" i="419"/>
  <c r="N6" i="419" s="1"/>
  <c r="O6" i="419" s="1"/>
  <c r="E8" i="419"/>
  <c r="O5" i="419"/>
  <c r="O95" i="419" s="1"/>
  <c r="E15" i="419"/>
  <c r="E19" i="419"/>
  <c r="E16" i="419"/>
  <c r="F16" i="419" s="1"/>
  <c r="G16" i="419" s="1"/>
  <c r="H16" i="419" s="1"/>
  <c r="I16" i="419" s="1"/>
  <c r="J16" i="419" s="1"/>
  <c r="K16" i="419" s="1"/>
  <c r="L16" i="419" s="1"/>
  <c r="M16" i="419" s="1"/>
  <c r="N16" i="419" s="1"/>
  <c r="O16" i="419" s="1"/>
  <c r="E18" i="419"/>
  <c r="F18" i="419" s="1"/>
  <c r="G18" i="419" s="1"/>
  <c r="H18" i="419" s="1"/>
  <c r="I18" i="419" s="1"/>
  <c r="J18" i="419" s="1"/>
  <c r="K18" i="419" s="1"/>
  <c r="L18" i="419" s="1"/>
  <c r="M18" i="419" s="1"/>
  <c r="N18" i="419" s="1"/>
  <c r="O18" i="419" s="1"/>
  <c r="N5" i="419"/>
  <c r="N95" i="419"/>
  <c r="M5" i="419"/>
  <c r="M95" i="419" s="1"/>
  <c r="L5" i="419"/>
  <c r="L95" i="419" s="1"/>
  <c r="K5" i="419"/>
  <c r="K95" i="419" s="1"/>
  <c r="J5" i="419"/>
  <c r="J95" i="419" s="1"/>
  <c r="I5" i="419"/>
  <c r="I95" i="419" s="1"/>
  <c r="H5" i="419"/>
  <c r="H95" i="419" s="1"/>
  <c r="G5" i="419"/>
  <c r="G95" i="419" s="1"/>
  <c r="F5" i="419"/>
  <c r="F95" i="419" s="1"/>
  <c r="E5" i="419"/>
  <c r="E95" i="419" s="1"/>
  <c r="D52" i="419"/>
  <c r="D73" i="419" s="1"/>
  <c r="D53" i="419"/>
  <c r="D74" i="419" s="1"/>
  <c r="D55" i="419"/>
  <c r="D76" i="419" s="1"/>
  <c r="E17" i="419"/>
  <c r="F17" i="419" s="1"/>
  <c r="D54" i="419"/>
  <c r="D75" i="419" s="1"/>
  <c r="E10" i="419"/>
  <c r="F10" i="419" s="1"/>
  <c r="G10" i="419" s="1"/>
  <c r="H10" i="419" s="1"/>
  <c r="I10" i="419" s="1"/>
  <c r="J10" i="419" s="1"/>
  <c r="K10" i="419" s="1"/>
  <c r="L10" i="419" s="1"/>
  <c r="M10" i="419" s="1"/>
  <c r="N10" i="419" s="1"/>
  <c r="O10" i="419" s="1"/>
  <c r="E11" i="419"/>
  <c r="F11" i="419" s="1"/>
  <c r="G11" i="419" s="1"/>
  <c r="E12" i="419"/>
  <c r="F12" i="419" s="1"/>
  <c r="G12" i="419" s="1"/>
  <c r="H12" i="419" s="1"/>
  <c r="I12" i="419" s="1"/>
  <c r="E13" i="419"/>
  <c r="F13" i="419" s="1"/>
  <c r="G13" i="419" s="1"/>
  <c r="E14" i="419"/>
  <c r="F14" i="419" s="1"/>
  <c r="G14" i="419" s="1"/>
  <c r="H14" i="419" s="1"/>
  <c r="I14" i="419" s="1"/>
  <c r="J14" i="419" s="1"/>
  <c r="K14" i="419" s="1"/>
  <c r="L14" i="419" s="1"/>
  <c r="M14" i="419" s="1"/>
  <c r="N14" i="419" s="1"/>
  <c r="O14" i="419" s="1"/>
  <c r="E20" i="419"/>
  <c r="I63" i="419"/>
  <c r="I64" i="419"/>
  <c r="J63" i="419"/>
  <c r="J64" i="419"/>
  <c r="K63" i="419"/>
  <c r="K64" i="419"/>
  <c r="L63" i="419"/>
  <c r="L64" i="419"/>
  <c r="D47" i="419"/>
  <c r="D48" i="419"/>
  <c r="D69" i="419" s="1"/>
  <c r="D49" i="419"/>
  <c r="D70" i="419" s="1"/>
  <c r="D50" i="419"/>
  <c r="D71" i="419" s="1"/>
  <c r="D51" i="419"/>
  <c r="D72" i="419" s="1"/>
  <c r="D59" i="419"/>
  <c r="D60" i="419"/>
  <c r="D63" i="419"/>
  <c r="E63" i="419"/>
  <c r="F63" i="419"/>
  <c r="G63" i="419"/>
  <c r="H63" i="419"/>
  <c r="M64" i="419"/>
  <c r="N64" i="419"/>
  <c r="O64" i="419"/>
  <c r="D68" i="419"/>
  <c r="D64" i="419"/>
  <c r="E64" i="419"/>
  <c r="F64" i="419"/>
  <c r="G64" i="419"/>
  <c r="H64" i="419"/>
  <c r="D94" i="419"/>
  <c r="D96" i="419"/>
  <c r="D95" i="419"/>
  <c r="P77" i="419"/>
  <c r="P57" i="419"/>
  <c r="O2" i="419"/>
  <c r="O43" i="419" s="1"/>
  <c r="N2" i="419"/>
  <c r="N43" i="419"/>
  <c r="M2" i="419"/>
  <c r="M43" i="419" s="1"/>
  <c r="L2" i="419"/>
  <c r="L43" i="419"/>
  <c r="K2" i="419"/>
  <c r="K43" i="419" s="1"/>
  <c r="J2" i="419"/>
  <c r="J43" i="419" s="1"/>
  <c r="I2" i="419"/>
  <c r="I43" i="419" s="1"/>
  <c r="H2" i="419"/>
  <c r="H43" i="419" s="1"/>
  <c r="G2" i="419"/>
  <c r="G43" i="419" s="1"/>
  <c r="F2" i="419"/>
  <c r="F43" i="419" s="1"/>
  <c r="E2" i="419"/>
  <c r="E43" i="419" s="1"/>
  <c r="D2" i="419"/>
  <c r="D43" i="419" s="1"/>
  <c r="C43" i="419"/>
  <c r="E6" i="63"/>
  <c r="E95" i="63" s="1"/>
  <c r="F6" i="63"/>
  <c r="F95" i="63" s="1"/>
  <c r="G6" i="63"/>
  <c r="G95" i="63" s="1"/>
  <c r="H6" i="63"/>
  <c r="H95" i="63" s="1"/>
  <c r="I6" i="63"/>
  <c r="I95" i="63" s="1"/>
  <c r="J6" i="63"/>
  <c r="J95" i="63" s="1"/>
  <c r="K6" i="63"/>
  <c r="K95" i="63" s="1"/>
  <c r="L6" i="63"/>
  <c r="L95" i="63" s="1"/>
  <c r="M6" i="63"/>
  <c r="M95" i="63" s="1"/>
  <c r="N6" i="63"/>
  <c r="N95" i="63" s="1"/>
  <c r="O6" i="63"/>
  <c r="O95" i="63" s="1"/>
  <c r="D95" i="63"/>
  <c r="E6" i="18"/>
  <c r="E95" i="18" s="1"/>
  <c r="F6" i="18"/>
  <c r="F95" i="18" s="1"/>
  <c r="G6" i="18"/>
  <c r="G95" i="18" s="1"/>
  <c r="H6" i="18"/>
  <c r="H95" i="18" s="1"/>
  <c r="I6" i="18"/>
  <c r="I95" i="18" s="1"/>
  <c r="J6" i="18"/>
  <c r="J95" i="18" s="1"/>
  <c r="K6" i="18"/>
  <c r="K95" i="18" s="1"/>
  <c r="L6" i="18"/>
  <c r="L95" i="18" s="1"/>
  <c r="M6" i="18"/>
  <c r="M95" i="18" s="1"/>
  <c r="N6" i="18"/>
  <c r="N95" i="18" s="1"/>
  <c r="O6" i="18"/>
  <c r="O95" i="18" s="1"/>
  <c r="D95" i="18"/>
  <c r="E6" i="219"/>
  <c r="F6" i="219"/>
  <c r="F95" i="219" s="1"/>
  <c r="G6" i="219"/>
  <c r="G95" i="219" s="1"/>
  <c r="H6" i="219"/>
  <c r="H95" i="219" s="1"/>
  <c r="I6" i="219"/>
  <c r="I95" i="219" s="1"/>
  <c r="J6" i="219"/>
  <c r="J95" i="219" s="1"/>
  <c r="K6" i="219"/>
  <c r="K95" i="219" s="1"/>
  <c r="L6" i="219"/>
  <c r="L95" i="219" s="1"/>
  <c r="M6" i="219"/>
  <c r="M95" i="219" s="1"/>
  <c r="N6" i="219"/>
  <c r="N95" i="219" s="1"/>
  <c r="O6" i="219"/>
  <c r="O95" i="219" s="1"/>
  <c r="D95" i="219"/>
  <c r="E6" i="371"/>
  <c r="F6" i="371"/>
  <c r="F95" i="371" s="1"/>
  <c r="G6" i="371"/>
  <c r="G95" i="371" s="1"/>
  <c r="H6" i="371"/>
  <c r="H95" i="371" s="1"/>
  <c r="O95" i="371"/>
  <c r="D95" i="371"/>
  <c r="I64" i="219"/>
  <c r="E19" i="219"/>
  <c r="F19" i="219" s="1"/>
  <c r="G19" i="219" s="1"/>
  <c r="H19" i="219" s="1"/>
  <c r="J64" i="219"/>
  <c r="K64" i="219"/>
  <c r="L64" i="219"/>
  <c r="M64" i="219"/>
  <c r="N64" i="219"/>
  <c r="O64" i="219"/>
  <c r="A2" i="371"/>
  <c r="A3" i="371" s="1"/>
  <c r="A4" i="371" s="1"/>
  <c r="A5" i="371" s="1"/>
  <c r="A6" i="371" s="1"/>
  <c r="A7" i="371" s="1"/>
  <c r="A8" i="371" s="1"/>
  <c r="A9" i="371" s="1"/>
  <c r="A10" i="371" s="1"/>
  <c r="A11" i="371" s="1"/>
  <c r="A12" i="371" s="1"/>
  <c r="A13" i="371" s="1"/>
  <c r="A14" i="371" s="1"/>
  <c r="A15" i="371" s="1"/>
  <c r="A16" i="371" s="1"/>
  <c r="A17" i="371" s="1"/>
  <c r="A18" i="371" s="1"/>
  <c r="A19" i="371" s="1"/>
  <c r="A20" i="371" s="1"/>
  <c r="A21" i="371" s="1"/>
  <c r="A22" i="371" s="1"/>
  <c r="A23" i="371" s="1"/>
  <c r="A24" i="371" s="1"/>
  <c r="A25" i="371" s="1"/>
  <c r="A26" i="371" s="1"/>
  <c r="A27" i="371" s="1"/>
  <c r="A28" i="371" s="1"/>
  <c r="A29" i="371" s="1"/>
  <c r="A30" i="371" s="1"/>
  <c r="A31" i="371" s="1"/>
  <c r="A32" i="371" s="1"/>
  <c r="A33" i="371" s="1"/>
  <c r="A34" i="371" s="1"/>
  <c r="A35" i="371" s="1"/>
  <c r="A36" i="371" s="1"/>
  <c r="A37" i="371" s="1"/>
  <c r="A38" i="371" s="1"/>
  <c r="A39" i="371" s="1"/>
  <c r="A40" i="371" s="1"/>
  <c r="A41" i="371" s="1"/>
  <c r="A42" i="371" s="1"/>
  <c r="A43" i="371" s="1"/>
  <c r="A44" i="371" s="1"/>
  <c r="A45" i="371" s="1"/>
  <c r="A46" i="371" s="1"/>
  <c r="A47" i="371" s="1"/>
  <c r="A48" i="371" s="1"/>
  <c r="A49" i="371" s="1"/>
  <c r="A50" i="371" s="1"/>
  <c r="A51" i="371" s="1"/>
  <c r="A52" i="371" s="1"/>
  <c r="A53" i="371" s="1"/>
  <c r="A54" i="371" s="1"/>
  <c r="A55" i="371" s="1"/>
  <c r="A56" i="371" s="1"/>
  <c r="A57" i="371" s="1"/>
  <c r="A58" i="371" s="1"/>
  <c r="A59" i="371" s="1"/>
  <c r="A60" i="371" s="1"/>
  <c r="A61" i="371" s="1"/>
  <c r="A62" i="371" s="1"/>
  <c r="A63" i="371" s="1"/>
  <c r="A64" i="371" s="1"/>
  <c r="A65" i="371" s="1"/>
  <c r="A66" i="371" s="1"/>
  <c r="A67" i="371" s="1"/>
  <c r="A68" i="371" s="1"/>
  <c r="A69" i="371" s="1"/>
  <c r="A70" i="371" s="1"/>
  <c r="A71" i="371" s="1"/>
  <c r="A72" i="371" s="1"/>
  <c r="A73" i="371" s="1"/>
  <c r="A74" i="371" s="1"/>
  <c r="A75" i="371" s="1"/>
  <c r="A76" i="371" s="1"/>
  <c r="A77" i="371" s="1"/>
  <c r="A78" i="371" s="1"/>
  <c r="A79" i="371" s="1"/>
  <c r="A80" i="371" s="1"/>
  <c r="A81" i="371" s="1"/>
  <c r="A82" i="371" s="1"/>
  <c r="A83" i="371" s="1"/>
  <c r="A84" i="371" s="1"/>
  <c r="A85" i="371" s="1"/>
  <c r="A86" i="371" s="1"/>
  <c r="A87" i="371" s="1"/>
  <c r="A88" i="371" s="1"/>
  <c r="A89" i="371" s="1"/>
  <c r="A90" i="371" s="1"/>
  <c r="A91" i="371" s="1"/>
  <c r="A92" i="371" s="1"/>
  <c r="A93" i="371" s="1"/>
  <c r="A94" i="371" s="1"/>
  <c r="A95" i="371" s="1"/>
  <c r="A96" i="371" s="1"/>
  <c r="A97" i="371" s="1"/>
  <c r="A98" i="371" s="1"/>
  <c r="A99" i="371" s="1"/>
  <c r="A100" i="371" s="1"/>
  <c r="A101" i="371" s="1"/>
  <c r="A102" i="371" s="1"/>
  <c r="A103" i="371" s="1"/>
  <c r="A104" i="371" s="1"/>
  <c r="A105" i="371" s="1"/>
  <c r="D74" i="371"/>
  <c r="D64" i="371"/>
  <c r="E64" i="371"/>
  <c r="F64" i="371"/>
  <c r="G64" i="371"/>
  <c r="H64" i="371"/>
  <c r="D94" i="371"/>
  <c r="D82" i="371" s="1"/>
  <c r="D96" i="371"/>
  <c r="E96" i="371"/>
  <c r="J27" i="371"/>
  <c r="K27" i="371"/>
  <c r="D92" i="371"/>
  <c r="O2" i="371"/>
  <c r="O43" i="371" s="1"/>
  <c r="N2" i="371"/>
  <c r="N43" i="371" s="1"/>
  <c r="M2" i="371"/>
  <c r="M43" i="371" s="1"/>
  <c r="L2" i="371"/>
  <c r="L43" i="371" s="1"/>
  <c r="K2" i="371"/>
  <c r="K43" i="371" s="1"/>
  <c r="J2" i="371"/>
  <c r="J43" i="371" s="1"/>
  <c r="I2" i="371"/>
  <c r="I43" i="371" s="1"/>
  <c r="H2" i="371"/>
  <c r="H43" i="371" s="1"/>
  <c r="G2" i="371"/>
  <c r="G43" i="371" s="1"/>
  <c r="F2" i="371"/>
  <c r="F43" i="371" s="1"/>
  <c r="E2" i="371"/>
  <c r="E43" i="371" s="1"/>
  <c r="D2" i="371"/>
  <c r="D43" i="371" s="1"/>
  <c r="C43" i="371"/>
  <c r="E1" i="371"/>
  <c r="F1" i="371" s="1"/>
  <c r="G1" i="371" s="1"/>
  <c r="H1" i="371" s="1"/>
  <c r="I1" i="371" s="1"/>
  <c r="J1" i="371" s="1"/>
  <c r="K1" i="371" s="1"/>
  <c r="L1" i="371" s="1"/>
  <c r="M1" i="371" s="1"/>
  <c r="N1" i="371" s="1"/>
  <c r="O1" i="371" s="1"/>
  <c r="P55" i="219"/>
  <c r="E111" i="269"/>
  <c r="E120" i="269" s="1"/>
  <c r="D111" i="269"/>
  <c r="D120" i="269" s="1"/>
  <c r="C111" i="269"/>
  <c r="C120" i="269" s="1"/>
  <c r="B111" i="269"/>
  <c r="B120" i="269" s="1"/>
  <c r="E110" i="269"/>
  <c r="E119" i="269" s="1"/>
  <c r="D110" i="269"/>
  <c r="D119" i="269" s="1"/>
  <c r="C110" i="269"/>
  <c r="C119" i="269" s="1"/>
  <c r="B110" i="269"/>
  <c r="B119" i="269" s="1"/>
  <c r="E109" i="269"/>
  <c r="E118" i="269" s="1"/>
  <c r="D109" i="269"/>
  <c r="D118" i="269" s="1"/>
  <c r="C109" i="269"/>
  <c r="C118" i="269" s="1"/>
  <c r="B109" i="269"/>
  <c r="B118" i="269" s="1"/>
  <c r="E108" i="269"/>
  <c r="E117" i="269" s="1"/>
  <c r="D108" i="269"/>
  <c r="D117" i="269" s="1"/>
  <c r="C108" i="269"/>
  <c r="C117" i="269" s="1"/>
  <c r="B108" i="269"/>
  <c r="B117" i="269" s="1"/>
  <c r="E107" i="269"/>
  <c r="E116" i="269" s="1"/>
  <c r="D107" i="269"/>
  <c r="D116" i="269"/>
  <c r="C107" i="269"/>
  <c r="C116" i="269" s="1"/>
  <c r="B107" i="269"/>
  <c r="B116" i="269" s="1"/>
  <c r="E106" i="269"/>
  <c r="E115" i="269" s="1"/>
  <c r="D106" i="269"/>
  <c r="D115" i="269" s="1"/>
  <c r="C106" i="269"/>
  <c r="C115" i="269" s="1"/>
  <c r="B106" i="269"/>
  <c r="B115" i="269" s="1"/>
  <c r="F97" i="269"/>
  <c r="E97" i="269"/>
  <c r="D97" i="269"/>
  <c r="C97" i="269"/>
  <c r="B97" i="269"/>
  <c r="I64" i="18"/>
  <c r="E19" i="18"/>
  <c r="F19" i="18" s="1"/>
  <c r="J64" i="18"/>
  <c r="K64" i="18"/>
  <c r="L64" i="18"/>
  <c r="M64" i="18"/>
  <c r="N64" i="18"/>
  <c r="O64" i="18"/>
  <c r="A2" i="219"/>
  <c r="A3" i="219" s="1"/>
  <c r="A4" i="219" s="1"/>
  <c r="A5" i="219" s="1"/>
  <c r="A6" i="219" s="1"/>
  <c r="A7" i="219" s="1"/>
  <c r="A8" i="219" s="1"/>
  <c r="A9" i="219" s="1"/>
  <c r="A10" i="219" s="1"/>
  <c r="A11" i="219" s="1"/>
  <c r="A12" i="219" s="1"/>
  <c r="A13" i="219" s="1"/>
  <c r="A14" i="219" s="1"/>
  <c r="A15" i="219" s="1"/>
  <c r="A16" i="219" s="1"/>
  <c r="A17" i="219" s="1"/>
  <c r="A18" i="219" s="1"/>
  <c r="A19" i="219" s="1"/>
  <c r="A20" i="219" s="1"/>
  <c r="A21" i="219" s="1"/>
  <c r="A22" i="219" s="1"/>
  <c r="A23" i="219" s="1"/>
  <c r="A24" i="219" s="1"/>
  <c r="A25" i="219" s="1"/>
  <c r="A26" i="219" s="1"/>
  <c r="A27" i="219" s="1"/>
  <c r="A28" i="219" s="1"/>
  <c r="A29" i="219" s="1"/>
  <c r="A30" i="219" s="1"/>
  <c r="A31" i="219" s="1"/>
  <c r="A32" i="219" s="1"/>
  <c r="A33" i="219" s="1"/>
  <c r="A34" i="219" s="1"/>
  <c r="A35" i="219" s="1"/>
  <c r="A36" i="219" s="1"/>
  <c r="A37" i="219" s="1"/>
  <c r="A38" i="219" s="1"/>
  <c r="A39" i="219" s="1"/>
  <c r="A40" i="219" s="1"/>
  <c r="A41" i="219" s="1"/>
  <c r="A42" i="219" s="1"/>
  <c r="A43" i="219" s="1"/>
  <c r="A44" i="219" s="1"/>
  <c r="A45" i="219" s="1"/>
  <c r="A46" i="219" s="1"/>
  <c r="A47" i="219" s="1"/>
  <c r="A48" i="219" s="1"/>
  <c r="A49" i="219" s="1"/>
  <c r="A50" i="219" s="1"/>
  <c r="A51" i="219" s="1"/>
  <c r="A52" i="219" s="1"/>
  <c r="A53" i="219" s="1"/>
  <c r="A54" i="219" s="1"/>
  <c r="A55" i="219" s="1"/>
  <c r="A56" i="219" s="1"/>
  <c r="A57" i="219" s="1"/>
  <c r="A58" i="219" s="1"/>
  <c r="A59" i="219" s="1"/>
  <c r="A60" i="219" s="1"/>
  <c r="A61" i="219" s="1"/>
  <c r="A62" i="219" s="1"/>
  <c r="A63" i="219" s="1"/>
  <c r="A64" i="219" s="1"/>
  <c r="A65" i="219" s="1"/>
  <c r="A66" i="219" s="1"/>
  <c r="A67" i="219" s="1"/>
  <c r="A68" i="219" s="1"/>
  <c r="A69" i="219" s="1"/>
  <c r="A70" i="219" s="1"/>
  <c r="A71" i="219" s="1"/>
  <c r="A72" i="219" s="1"/>
  <c r="A73" i="219" s="1"/>
  <c r="A74" i="219" s="1"/>
  <c r="A75" i="219" s="1"/>
  <c r="A76" i="219" s="1"/>
  <c r="A77" i="219" s="1"/>
  <c r="A78" i="219" s="1"/>
  <c r="A79" i="219" s="1"/>
  <c r="A80" i="219" s="1"/>
  <c r="A81" i="219" s="1"/>
  <c r="A82" i="219" s="1"/>
  <c r="A83" i="219" s="1"/>
  <c r="A84" i="219" s="1"/>
  <c r="A85" i="219" s="1"/>
  <c r="A86" i="219" s="1"/>
  <c r="A87" i="219" s="1"/>
  <c r="A88" i="219" s="1"/>
  <c r="A89" i="219" s="1"/>
  <c r="A90" i="219" s="1"/>
  <c r="A91" i="219" s="1"/>
  <c r="A92" i="219" s="1"/>
  <c r="A93" i="219" s="1"/>
  <c r="A94" i="219" s="1"/>
  <c r="A95" i="219" s="1"/>
  <c r="A96" i="219" s="1"/>
  <c r="A97" i="219" s="1"/>
  <c r="A98" i="219" s="1"/>
  <c r="A99" i="219" s="1"/>
  <c r="A100" i="219" s="1"/>
  <c r="A101" i="219" s="1"/>
  <c r="A102" i="219" s="1"/>
  <c r="A103" i="219" s="1"/>
  <c r="A104" i="219" s="1"/>
  <c r="A105" i="219" s="1"/>
  <c r="D64" i="219"/>
  <c r="E64" i="219"/>
  <c r="F64" i="219"/>
  <c r="G64" i="219"/>
  <c r="H64" i="219"/>
  <c r="D94" i="219"/>
  <c r="D92" i="219" s="1"/>
  <c r="D96" i="219"/>
  <c r="O2" i="219"/>
  <c r="O43" i="219" s="1"/>
  <c r="N2" i="219"/>
  <c r="N43" i="219"/>
  <c r="M2" i="219"/>
  <c r="M43" i="219" s="1"/>
  <c r="L2" i="219"/>
  <c r="L43" i="219" s="1"/>
  <c r="K2" i="219"/>
  <c r="K43" i="219" s="1"/>
  <c r="J2" i="219"/>
  <c r="J43" i="219" s="1"/>
  <c r="I2" i="219"/>
  <c r="I43" i="219" s="1"/>
  <c r="H2" i="219"/>
  <c r="H43" i="219" s="1"/>
  <c r="G2" i="219"/>
  <c r="G43" i="219" s="1"/>
  <c r="F2" i="219"/>
  <c r="F43" i="219" s="1"/>
  <c r="E2" i="219"/>
  <c r="E43" i="219" s="1"/>
  <c r="D2" i="219"/>
  <c r="D43" i="219" s="1"/>
  <c r="C43" i="219"/>
  <c r="E1" i="219"/>
  <c r="F1" i="219"/>
  <c r="G1" i="219" s="1"/>
  <c r="H1" i="219" s="1"/>
  <c r="I1" i="219" s="1"/>
  <c r="J1" i="219" s="1"/>
  <c r="K1" i="219" s="1"/>
  <c r="L1" i="219" s="1"/>
  <c r="M1" i="219" s="1"/>
  <c r="N1" i="219" s="1"/>
  <c r="O1" i="219" s="1"/>
  <c r="E1" i="63"/>
  <c r="F1" i="63" s="1"/>
  <c r="G1" i="63" s="1"/>
  <c r="H1" i="63" s="1"/>
  <c r="I1" i="63" s="1"/>
  <c r="J1" i="63" s="1"/>
  <c r="K1" i="63" s="1"/>
  <c r="L1" i="63" s="1"/>
  <c r="M1" i="63" s="1"/>
  <c r="N1" i="63" s="1"/>
  <c r="O1" i="63" s="1"/>
  <c r="A2" i="63"/>
  <c r="A3" i="63"/>
  <c r="A4" i="63" s="1"/>
  <c r="A5" i="63" s="1"/>
  <c r="A6" i="63" s="1"/>
  <c r="A7" i="63" s="1"/>
  <c r="A8" i="63" s="1"/>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A90" i="63" s="1"/>
  <c r="A91" i="63" s="1"/>
  <c r="A92" i="63" s="1"/>
  <c r="A93" i="63" s="1"/>
  <c r="A94" i="63" s="1"/>
  <c r="A95" i="63" s="1"/>
  <c r="A96" i="63" s="1"/>
  <c r="A97" i="63" s="1"/>
  <c r="A98" i="63" s="1"/>
  <c r="A99" i="63" s="1"/>
  <c r="A100" i="63" s="1"/>
  <c r="A101" i="63" s="1"/>
  <c r="A102" i="63" s="1"/>
  <c r="A103" i="63" s="1"/>
  <c r="A104" i="63" s="1"/>
  <c r="A105" i="63" s="1"/>
  <c r="E8" i="63"/>
  <c r="F8" i="63"/>
  <c r="G8" i="63"/>
  <c r="H8" i="63"/>
  <c r="I8" i="63"/>
  <c r="E19" i="63"/>
  <c r="F19" i="63" s="1"/>
  <c r="G19" i="63" s="1"/>
  <c r="H19" i="63" s="1"/>
  <c r="E26" i="63"/>
  <c r="F26" i="63" s="1"/>
  <c r="G26" i="63" s="1"/>
  <c r="H26" i="63" s="1"/>
  <c r="I26" i="63" s="1"/>
  <c r="K26" i="63"/>
  <c r="L26" i="63" s="1"/>
  <c r="M26" i="63" s="1"/>
  <c r="N26" i="63" s="1"/>
  <c r="O26" i="63" s="1"/>
  <c r="E27" i="63"/>
  <c r="F27" i="63" s="1"/>
  <c r="G27" i="63" s="1"/>
  <c r="H27" i="63" s="1"/>
  <c r="I27" i="63" s="1"/>
  <c r="K27" i="63"/>
  <c r="L27" i="63" s="1"/>
  <c r="M27" i="63" s="1"/>
  <c r="N27" i="63" s="1"/>
  <c r="O27" i="63" s="1"/>
  <c r="C43" i="63"/>
  <c r="D43" i="63"/>
  <c r="E43" i="63"/>
  <c r="F43" i="63"/>
  <c r="G43" i="63"/>
  <c r="H43" i="63"/>
  <c r="I43" i="63"/>
  <c r="J43" i="63"/>
  <c r="K43" i="63"/>
  <c r="L43" i="63"/>
  <c r="M43" i="63"/>
  <c r="N43" i="63"/>
  <c r="O43" i="63"/>
  <c r="D64" i="63"/>
  <c r="E64" i="63"/>
  <c r="F64" i="63"/>
  <c r="G64" i="63"/>
  <c r="H64" i="63"/>
  <c r="I64" i="63"/>
  <c r="J64" i="63"/>
  <c r="K64" i="63"/>
  <c r="L64" i="63"/>
  <c r="M64" i="63"/>
  <c r="N64" i="63"/>
  <c r="O64" i="63"/>
  <c r="D70" i="63"/>
  <c r="D75" i="63"/>
  <c r="D94" i="63"/>
  <c r="D82" i="63" s="1"/>
  <c r="J94" i="63"/>
  <c r="J92" i="63" s="1"/>
  <c r="D96" i="63"/>
  <c r="J96" i="63"/>
  <c r="D100" i="63"/>
  <c r="D101" i="63"/>
  <c r="E1" i="18"/>
  <c r="F1" i="18" s="1"/>
  <c r="G1" i="18" s="1"/>
  <c r="H1" i="18" s="1"/>
  <c r="I1" i="18" s="1"/>
  <c r="J1" i="18" s="1"/>
  <c r="K1" i="18" s="1"/>
  <c r="L1" i="18" s="1"/>
  <c r="M1" i="18" s="1"/>
  <c r="N1" i="18" s="1"/>
  <c r="O1" i="18" s="1"/>
  <c r="A2" i="18"/>
  <c r="D2" i="18"/>
  <c r="D43" i="18" s="1"/>
  <c r="E2" i="18"/>
  <c r="E43" i="18" s="1"/>
  <c r="F2" i="18"/>
  <c r="F43" i="18" s="1"/>
  <c r="G2" i="18"/>
  <c r="G43" i="18" s="1"/>
  <c r="H2" i="18"/>
  <c r="H43" i="18" s="1"/>
  <c r="I2" i="18"/>
  <c r="I43" i="18" s="1"/>
  <c r="J2" i="18"/>
  <c r="J43" i="18" s="1"/>
  <c r="K2" i="18"/>
  <c r="K43" i="18" s="1"/>
  <c r="L2" i="18"/>
  <c r="L43" i="18" s="1"/>
  <c r="M2" i="18"/>
  <c r="M43" i="18" s="1"/>
  <c r="N2" i="18"/>
  <c r="N43" i="18" s="1"/>
  <c r="O2" i="18"/>
  <c r="O43" i="18" s="1"/>
  <c r="A3" i="18"/>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E26" i="18"/>
  <c r="F26" i="18" s="1"/>
  <c r="G26" i="18" s="1"/>
  <c r="H26" i="18" s="1"/>
  <c r="E27" i="18"/>
  <c r="F27" i="18" s="1"/>
  <c r="G27" i="18" s="1"/>
  <c r="H27" i="18" s="1"/>
  <c r="C43" i="18"/>
  <c r="D64" i="18"/>
  <c r="E64" i="18"/>
  <c r="F64" i="18"/>
  <c r="G64" i="18"/>
  <c r="H64" i="18"/>
  <c r="D69" i="18"/>
  <c r="D73" i="18"/>
  <c r="D75" i="18"/>
  <c r="D94" i="18"/>
  <c r="D82" i="18" s="1"/>
  <c r="E94" i="18"/>
  <c r="E82" i="18" s="1"/>
  <c r="D96" i="18"/>
  <c r="F9" i="173"/>
  <c r="G9" i="173"/>
  <c r="H9" i="173"/>
  <c r="I9" i="173"/>
  <c r="J9" i="173"/>
  <c r="K9" i="173"/>
  <c r="L9" i="173"/>
  <c r="M9" i="173"/>
  <c r="N9" i="173"/>
  <c r="O9" i="173"/>
  <c r="P9" i="173"/>
  <c r="A2" i="17"/>
  <c r="A3" i="17" s="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D5" i="17"/>
  <c r="C7" i="17"/>
  <c r="D9" i="17"/>
  <c r="E9" i="17"/>
  <c r="F9" i="17"/>
  <c r="G9" i="17"/>
  <c r="H9" i="17"/>
  <c r="I9" i="17"/>
  <c r="J9" i="17"/>
  <c r="K9" i="17"/>
  <c r="L9" i="17"/>
  <c r="C15" i="17"/>
  <c r="D18" i="17"/>
  <c r="E18" i="17"/>
  <c r="F18" i="17"/>
  <c r="G18" i="17"/>
  <c r="H18" i="17"/>
  <c r="I18" i="17"/>
  <c r="J18" i="17"/>
  <c r="K18" i="17"/>
  <c r="L18" i="17"/>
  <c r="C22" i="17"/>
  <c r="D22" i="17"/>
  <c r="E22" i="17"/>
  <c r="F22" i="17"/>
  <c r="G22" i="17"/>
  <c r="H22" i="17"/>
  <c r="I22" i="17"/>
  <c r="J22" i="17"/>
  <c r="K22" i="17"/>
  <c r="L22" i="17"/>
  <c r="D23" i="17"/>
  <c r="E23" i="17"/>
  <c r="F23" i="17"/>
  <c r="G23" i="17"/>
  <c r="H23" i="17"/>
  <c r="I23" i="17"/>
  <c r="J23" i="17"/>
  <c r="K23" i="17"/>
  <c r="L23" i="17"/>
  <c r="G18" i="63"/>
  <c r="H18" i="63" s="1"/>
  <c r="G11" i="371"/>
  <c r="G47" i="371" s="1"/>
  <c r="G68" i="371" s="1"/>
  <c r="G5" i="371"/>
  <c r="H5" i="371" s="1"/>
  <c r="I5" i="371" s="1"/>
  <c r="J5" i="371" s="1"/>
  <c r="K5" i="371" s="1"/>
  <c r="L5" i="371" s="1"/>
  <c r="M5" i="371" s="1"/>
  <c r="N5" i="371" s="1"/>
  <c r="E95" i="371"/>
  <c r="F15" i="371"/>
  <c r="F51" i="371" s="1"/>
  <c r="E55" i="371"/>
  <c r="E76" i="371" s="1"/>
  <c r="H9" i="435"/>
  <c r="H10" i="435" s="1"/>
  <c r="H12" i="435" s="1"/>
  <c r="H17" i="435" s="1"/>
  <c r="E60" i="371"/>
  <c r="G16" i="435"/>
  <c r="B83" i="577"/>
  <c r="A48" i="577"/>
  <c r="A49" i="577" s="1"/>
  <c r="A50" i="577" s="1"/>
  <c r="A51" i="577" s="1"/>
  <c r="A52" i="577" s="1"/>
  <c r="A53" i="577" s="1"/>
  <c r="A54" i="577" s="1"/>
  <c r="A55" i="577" s="1"/>
  <c r="A18" i="577"/>
  <c r="A19" i="577" s="1"/>
  <c r="A20" i="577" s="1"/>
  <c r="A21" i="577" s="1"/>
  <c r="A22" i="577" s="1"/>
  <c r="G9" i="371"/>
  <c r="G96" i="371" s="1"/>
  <c r="J3" i="371"/>
  <c r="J12" i="419"/>
  <c r="K12" i="419" s="1"/>
  <c r="L12" i="419" s="1"/>
  <c r="M12" i="419" s="1"/>
  <c r="N12" i="419" s="1"/>
  <c r="I19" i="219"/>
  <c r="J19" i="219" s="1"/>
  <c r="K19" i="219" s="1"/>
  <c r="L19" i="219" s="1"/>
  <c r="M19" i="219" s="1"/>
  <c r="N19" i="219" s="1"/>
  <c r="O19" i="219" s="1"/>
  <c r="A23" i="577"/>
  <c r="A24" i="577" s="1"/>
  <c r="A25" i="577" s="1"/>
  <c r="A26" i="577" s="1"/>
  <c r="A27" i="577" s="1"/>
  <c r="D12" i="717"/>
  <c r="C47" i="236"/>
  <c r="C47" i="895"/>
  <c r="C52" i="895"/>
  <c r="C45" i="236"/>
  <c r="E33" i="717"/>
  <c r="H168" i="546" l="1"/>
  <c r="H54" i="546"/>
  <c r="G55" i="546"/>
  <c r="H184" i="546"/>
  <c r="S184" i="546"/>
  <c r="H236" i="546"/>
  <c r="I6" i="546"/>
  <c r="H192" i="546"/>
  <c r="H195" i="546"/>
  <c r="H194" i="546"/>
  <c r="H180" i="546"/>
  <c r="H193" i="546"/>
  <c r="H139" i="546"/>
  <c r="H53" i="546"/>
  <c r="H67" i="546"/>
  <c r="H214" i="546" s="1"/>
  <c r="H179" i="546"/>
  <c r="H167" i="546"/>
  <c r="H217" i="546"/>
  <c r="H77" i="546"/>
  <c r="H177" i="546"/>
  <c r="H176" i="546"/>
  <c r="H174" i="546"/>
  <c r="H173" i="546"/>
  <c r="H172" i="546"/>
  <c r="H171" i="546"/>
  <c r="H175" i="546"/>
  <c r="H178" i="546"/>
  <c r="H58" i="546"/>
  <c r="H206" i="546" s="1"/>
  <c r="H63" i="546"/>
  <c r="H211" i="546" s="1"/>
  <c r="H57" i="546"/>
  <c r="H205" i="546" s="1"/>
  <c r="H60" i="546"/>
  <c r="H208" i="546" s="1"/>
  <c r="H66" i="546"/>
  <c r="H213" i="546" s="1"/>
  <c r="H64" i="546"/>
  <c r="H212" i="546" s="1"/>
  <c r="H59" i="546"/>
  <c r="H207" i="546" s="1"/>
  <c r="H62" i="546"/>
  <c r="H210" i="546" s="1"/>
  <c r="H61" i="546"/>
  <c r="H209" i="546" s="1"/>
  <c r="H65" i="546"/>
  <c r="H71" i="546" s="1"/>
  <c r="H56" i="546"/>
  <c r="H204" i="546" s="1"/>
  <c r="B52" i="895"/>
  <c r="B47" i="236"/>
  <c r="F55" i="764"/>
  <c r="E47" i="173"/>
  <c r="Q47" i="173" s="1"/>
  <c r="E46" i="173"/>
  <c r="E46" i="764"/>
  <c r="Q46" i="764" s="1"/>
  <c r="E45" i="764"/>
  <c r="Q45" i="764" s="1"/>
  <c r="F54" i="764"/>
  <c r="H29" i="764"/>
  <c r="H42" i="764" s="1"/>
  <c r="E34" i="173"/>
  <c r="E36" i="173"/>
  <c r="E50" i="173" s="1"/>
  <c r="F69" i="764"/>
  <c r="F57" i="764" s="1"/>
  <c r="F67" i="173"/>
  <c r="F55" i="173" s="1"/>
  <c r="S185" i="546"/>
  <c r="H185" i="546"/>
  <c r="U7" i="546"/>
  <c r="G8" i="173"/>
  <c r="G6" i="764"/>
  <c r="V6" i="546"/>
  <c r="F6" i="764"/>
  <c r="F8" i="173"/>
  <c r="E55" i="173"/>
  <c r="G5" i="764"/>
  <c r="G68" i="546"/>
  <c r="G184" i="546" s="1"/>
  <c r="AC6" i="546"/>
  <c r="AE5" i="546"/>
  <c r="AE107" i="546" s="1"/>
  <c r="R104" i="546"/>
  <c r="W5" i="546"/>
  <c r="W107" i="546" s="1"/>
  <c r="J104" i="546"/>
  <c r="I22" i="546"/>
  <c r="U22" i="546"/>
  <c r="AD5" i="546"/>
  <c r="AD107" i="546" s="1"/>
  <c r="Q104" i="546"/>
  <c r="I15" i="546"/>
  <c r="U15" i="546"/>
  <c r="AC5" i="546"/>
  <c r="AC107" i="546" s="1"/>
  <c r="P104" i="546"/>
  <c r="V5" i="546"/>
  <c r="V107" i="546" s="1"/>
  <c r="I104" i="546"/>
  <c r="U5" i="546"/>
  <c r="U124" i="546" s="1"/>
  <c r="H149" i="546" s="1"/>
  <c r="H104" i="546"/>
  <c r="G172" i="546"/>
  <c r="G58" i="546"/>
  <c r="I16" i="546"/>
  <c r="U16" i="546"/>
  <c r="AB5" i="546"/>
  <c r="AB107" i="546" s="1"/>
  <c r="O104" i="546"/>
  <c r="U6" i="546"/>
  <c r="N24" i="546"/>
  <c r="Z24" i="546"/>
  <c r="X5" i="546"/>
  <c r="X107" i="546" s="1"/>
  <c r="K104" i="546"/>
  <c r="AA5" i="546"/>
  <c r="AA107" i="546" s="1"/>
  <c r="N104" i="546"/>
  <c r="I14" i="546"/>
  <c r="U14" i="546"/>
  <c r="Z5" i="546"/>
  <c r="Z107" i="546" s="1"/>
  <c r="M104" i="546"/>
  <c r="G171" i="546"/>
  <c r="G57" i="546"/>
  <c r="Y5" i="546"/>
  <c r="Y107" i="546" s="1"/>
  <c r="L104" i="546"/>
  <c r="I4" i="546"/>
  <c r="U4" i="546"/>
  <c r="U53" i="546" s="1"/>
  <c r="I51" i="546"/>
  <c r="U51" i="546"/>
  <c r="I50" i="546"/>
  <c r="U50" i="546"/>
  <c r="I49" i="546"/>
  <c r="U49" i="546"/>
  <c r="I30" i="546"/>
  <c r="U30" i="546"/>
  <c r="U29" i="546"/>
  <c r="U228" i="546" s="1"/>
  <c r="U23" i="546"/>
  <c r="U182" i="546" s="1"/>
  <c r="I21" i="546"/>
  <c r="U21" i="546"/>
  <c r="I20" i="546"/>
  <c r="U20" i="546"/>
  <c r="I19" i="546"/>
  <c r="U19" i="546"/>
  <c r="I18" i="546"/>
  <c r="U18" i="546"/>
  <c r="I17" i="546"/>
  <c r="U17" i="546"/>
  <c r="I13" i="546"/>
  <c r="J13" i="546" s="1"/>
  <c r="U13" i="546"/>
  <c r="T172" i="546"/>
  <c r="T58" i="546"/>
  <c r="T68" i="546"/>
  <c r="T185" i="546" s="1"/>
  <c r="Y162" i="546"/>
  <c r="AD162" i="546"/>
  <c r="U162" i="546"/>
  <c r="AA162" i="546"/>
  <c r="T171" i="546"/>
  <c r="W162" i="546"/>
  <c r="Z162" i="546"/>
  <c r="AE162" i="546"/>
  <c r="AC162" i="546"/>
  <c r="AB162" i="546"/>
  <c r="X162" i="546"/>
  <c r="V162" i="546"/>
  <c r="T57" i="546"/>
  <c r="T174" i="546"/>
  <c r="T60" i="546"/>
  <c r="G210" i="546"/>
  <c r="T176" i="546"/>
  <c r="T62" i="546"/>
  <c r="G97" i="546"/>
  <c r="T175" i="546"/>
  <c r="T61" i="546"/>
  <c r="T173" i="546"/>
  <c r="T59" i="546"/>
  <c r="G175" i="546"/>
  <c r="B7" i="546"/>
  <c r="B10" i="546" s="1"/>
  <c r="B12" i="546" s="1"/>
  <c r="B13" i="546" s="1"/>
  <c r="B14" i="546" s="1"/>
  <c r="B15" i="546" s="1"/>
  <c r="B16" i="546" s="1"/>
  <c r="B17" i="546" s="1"/>
  <c r="B18" i="546" s="1"/>
  <c r="B19" i="546" s="1"/>
  <c r="B20" i="546" s="1"/>
  <c r="B21" i="546" s="1"/>
  <c r="B22" i="546" s="1"/>
  <c r="B23" i="546" s="1"/>
  <c r="B24" i="546" s="1"/>
  <c r="B25" i="546" s="1"/>
  <c r="B26" i="546" s="1"/>
  <c r="B29" i="546" s="1"/>
  <c r="B30" i="546" s="1"/>
  <c r="B31" i="546" s="1"/>
  <c r="B32" i="546" s="1"/>
  <c r="B33" i="546" s="1"/>
  <c r="B34" i="546" s="1"/>
  <c r="B35" i="546" s="1"/>
  <c r="F72" i="371"/>
  <c r="E60" i="63"/>
  <c r="G15" i="371"/>
  <c r="E53" i="18"/>
  <c r="E74" i="18" s="1"/>
  <c r="H11" i="371"/>
  <c r="I11" i="371" s="1"/>
  <c r="E94" i="219"/>
  <c r="E82" i="219" s="1"/>
  <c r="F17" i="18"/>
  <c r="E52" i="18"/>
  <c r="E52" i="63"/>
  <c r="E73" i="63" s="1"/>
  <c r="H9" i="371"/>
  <c r="I9" i="371" s="1"/>
  <c r="E96" i="18"/>
  <c r="E60" i="419"/>
  <c r="E51" i="18"/>
  <c r="G12" i="173"/>
  <c r="H12" i="173" s="1"/>
  <c r="I12" i="173" s="1"/>
  <c r="J12" i="173" s="1"/>
  <c r="K12" i="173" s="1"/>
  <c r="L12" i="173" s="1"/>
  <c r="M12" i="173" s="1"/>
  <c r="N12" i="173" s="1"/>
  <c r="O12" i="173" s="1"/>
  <c r="P12" i="173" s="1"/>
  <c r="G53" i="173"/>
  <c r="E54" i="371"/>
  <c r="E75" i="371" s="1"/>
  <c r="E96" i="419"/>
  <c r="F12" i="63"/>
  <c r="E54" i="419"/>
  <c r="E75" i="419" s="1"/>
  <c r="E45" i="219"/>
  <c r="F53" i="18"/>
  <c r="F74" i="18" s="1"/>
  <c r="E105" i="63"/>
  <c r="F104" i="63"/>
  <c r="G59" i="371"/>
  <c r="E92" i="219"/>
  <c r="E102" i="219"/>
  <c r="H47" i="371"/>
  <c r="H68" i="371" s="1"/>
  <c r="E94" i="419"/>
  <c r="P64" i="18"/>
  <c r="E69" i="18"/>
  <c r="E52" i="219"/>
  <c r="E55" i="219"/>
  <c r="E56" i="219" s="1"/>
  <c r="E54" i="18"/>
  <c r="E75" i="18" s="1"/>
  <c r="G29" i="173"/>
  <c r="G43" i="173" s="1"/>
  <c r="F71" i="764"/>
  <c r="N37" i="63"/>
  <c r="N63" i="63" s="1"/>
  <c r="D66" i="219"/>
  <c r="I20" i="371"/>
  <c r="H59" i="371"/>
  <c r="G18" i="371"/>
  <c r="F54" i="371"/>
  <c r="F75" i="371" s="1"/>
  <c r="G12" i="63"/>
  <c r="F48" i="63"/>
  <c r="F69" i="63" s="1"/>
  <c r="F51" i="219"/>
  <c r="F72" i="219" s="1"/>
  <c r="G15" i="219"/>
  <c r="H15" i="219" s="1"/>
  <c r="F13" i="63"/>
  <c r="G13" i="63" s="1"/>
  <c r="E49" i="63"/>
  <c r="E70" i="63" s="1"/>
  <c r="G17" i="371"/>
  <c r="F53" i="371"/>
  <c r="F74" i="371" s="1"/>
  <c r="K7" i="419"/>
  <c r="E7" i="419"/>
  <c r="J7" i="419"/>
  <c r="I7" i="419"/>
  <c r="E54" i="219"/>
  <c r="E75" i="219" s="1"/>
  <c r="F18" i="219"/>
  <c r="E71" i="219"/>
  <c r="K52" i="63"/>
  <c r="L16" i="63"/>
  <c r="M16" i="63" s="1"/>
  <c r="N16" i="63" s="1"/>
  <c r="O16" i="63" s="1"/>
  <c r="E69" i="63"/>
  <c r="F76" i="371"/>
  <c r="F94" i="371"/>
  <c r="F92" i="371" s="1"/>
  <c r="F96" i="371"/>
  <c r="E59" i="419"/>
  <c r="F20" i="419"/>
  <c r="G20" i="419" s="1"/>
  <c r="O7" i="419"/>
  <c r="E72" i="18"/>
  <c r="E45" i="63"/>
  <c r="E44" i="63"/>
  <c r="E58" i="63" s="1"/>
  <c r="E94" i="63"/>
  <c r="E100" i="63"/>
  <c r="F9" i="63"/>
  <c r="F44" i="63" s="1"/>
  <c r="F58" i="63" s="1"/>
  <c r="E96" i="63"/>
  <c r="F15" i="63"/>
  <c r="G15" i="63" s="1"/>
  <c r="E51" i="63"/>
  <c r="E72" i="63" s="1"/>
  <c r="D15" i="17"/>
  <c r="D19" i="17" s="1"/>
  <c r="D21" i="17" s="1"/>
  <c r="D24" i="17" s="1"/>
  <c r="E5" i="17"/>
  <c r="P64" i="219"/>
  <c r="G55" i="371"/>
  <c r="G76" i="371" s="1"/>
  <c r="G94" i="371"/>
  <c r="G60" i="371"/>
  <c r="E50" i="419"/>
  <c r="E71" i="419" s="1"/>
  <c r="E54" i="63"/>
  <c r="E75" i="63" s="1"/>
  <c r="F9" i="435"/>
  <c r="F10" i="435" s="1"/>
  <c r="F12" i="435" s="1"/>
  <c r="F17" i="435" s="1"/>
  <c r="F16" i="435"/>
  <c r="E59" i="371"/>
  <c r="F8" i="419"/>
  <c r="E71" i="18"/>
  <c r="D82" i="219"/>
  <c r="F13" i="219"/>
  <c r="D46" i="219"/>
  <c r="D67" i="219" s="1"/>
  <c r="F42" i="764"/>
  <c r="E73" i="18"/>
  <c r="D46" i="63"/>
  <c r="D67" i="63" s="1"/>
  <c r="C9" i="435"/>
  <c r="C10" i="435" s="1"/>
  <c r="G202" i="546"/>
  <c r="G209" i="546"/>
  <c r="C12" i="435"/>
  <c r="C17" i="435" s="1"/>
  <c r="E67" i="764"/>
  <c r="E35" i="764"/>
  <c r="E38" i="764"/>
  <c r="E51" i="764" s="1"/>
  <c r="A5" i="764"/>
  <c r="A6" i="764" s="1"/>
  <c r="A7" i="764" s="1"/>
  <c r="A8" i="764" s="1"/>
  <c r="A9" i="764" s="1"/>
  <c r="A10" i="764" s="1"/>
  <c r="I9" i="764"/>
  <c r="E34" i="764"/>
  <c r="P31" i="173"/>
  <c r="P18" i="173"/>
  <c r="P17" i="173"/>
  <c r="H7" i="173"/>
  <c r="Q46" i="173"/>
  <c r="G10" i="173"/>
  <c r="F69" i="173"/>
  <c r="A11" i="173"/>
  <c r="A12" i="173" s="1"/>
  <c r="A13" i="173" s="1"/>
  <c r="A14" i="173" s="1"/>
  <c r="A15" i="173" s="1"/>
  <c r="A16" i="173" s="1"/>
  <c r="A17" i="173" s="1"/>
  <c r="A18" i="173" s="1"/>
  <c r="A19" i="173" s="1"/>
  <c r="A20" i="173" s="1"/>
  <c r="A21" i="173" s="1"/>
  <c r="A22" i="173" s="1"/>
  <c r="A23" i="173" s="1"/>
  <c r="A24" i="173" s="1"/>
  <c r="A25" i="173" s="1"/>
  <c r="A26" i="173" s="1"/>
  <c r="A27" i="173" s="1"/>
  <c r="A28" i="173" s="1"/>
  <c r="A29" i="173" s="1"/>
  <c r="A30" i="173" s="1"/>
  <c r="A31" i="173" s="1"/>
  <c r="A32" i="173" s="1"/>
  <c r="A33" i="173" s="1"/>
  <c r="A34" i="173" s="1"/>
  <c r="A35" i="173" s="1"/>
  <c r="A36" i="173" s="1"/>
  <c r="A37" i="173" s="1"/>
  <c r="A38" i="173" s="1"/>
  <c r="A39" i="173" s="1"/>
  <c r="A40" i="173" s="1"/>
  <c r="A41" i="173" s="1"/>
  <c r="D76" i="219"/>
  <c r="I29" i="546"/>
  <c r="I228" i="546" s="1"/>
  <c r="H111" i="546"/>
  <c r="A27" i="499"/>
  <c r="K3" i="371"/>
  <c r="E47" i="219"/>
  <c r="E68" i="219" s="1"/>
  <c r="F11" i="219"/>
  <c r="F20" i="63"/>
  <c r="E59" i="63"/>
  <c r="F17" i="63"/>
  <c r="E53" i="63"/>
  <c r="E74" i="63" s="1"/>
  <c r="F14" i="63"/>
  <c r="E50" i="63"/>
  <c r="G11" i="63"/>
  <c r="F47" i="63"/>
  <c r="F68" i="63" s="1"/>
  <c r="F50" i="371"/>
  <c r="F71" i="371" s="1"/>
  <c r="G14" i="371"/>
  <c r="E52" i="371"/>
  <c r="F16" i="371"/>
  <c r="E48" i="371"/>
  <c r="E69" i="371" s="1"/>
  <c r="F12" i="371"/>
  <c r="F4" i="371"/>
  <c r="F104" i="371" s="1"/>
  <c r="E103" i="371"/>
  <c r="E102" i="371"/>
  <c r="E56" i="371"/>
  <c r="E57" i="371"/>
  <c r="E77" i="371" s="1"/>
  <c r="E105" i="371"/>
  <c r="E44" i="371"/>
  <c r="D16" i="435"/>
  <c r="D9" i="435"/>
  <c r="I18" i="63"/>
  <c r="F82" i="371"/>
  <c r="F45" i="63"/>
  <c r="F100" i="63"/>
  <c r="F52" i="63"/>
  <c r="F60" i="63"/>
  <c r="F54" i="63"/>
  <c r="F101" i="63"/>
  <c r="F94" i="63"/>
  <c r="G9" i="63"/>
  <c r="F96" i="63"/>
  <c r="J11" i="371"/>
  <c r="I47" i="371"/>
  <c r="I68" i="371" s="1"/>
  <c r="C9" i="17"/>
  <c r="C23" i="17"/>
  <c r="C18" i="17"/>
  <c r="E92" i="18"/>
  <c r="E95" i="219"/>
  <c r="P95" i="219" s="1"/>
  <c r="E72" i="219"/>
  <c r="E73" i="219"/>
  <c r="F71" i="219"/>
  <c r="E104" i="219"/>
  <c r="F4" i="219"/>
  <c r="F104" i="219" s="1"/>
  <c r="E105" i="219"/>
  <c r="F60" i="18"/>
  <c r="F13" i="18"/>
  <c r="F49" i="18" s="1"/>
  <c r="F70" i="18" s="1"/>
  <c r="E49" i="18"/>
  <c r="E70" i="18" s="1"/>
  <c r="H13" i="419"/>
  <c r="H11" i="419"/>
  <c r="F20" i="18"/>
  <c r="F59" i="18" s="1"/>
  <c r="E59" i="18"/>
  <c r="G19" i="18"/>
  <c r="H19" i="18" s="1"/>
  <c r="I19" i="18" s="1"/>
  <c r="J19" i="18" s="1"/>
  <c r="K19" i="18" s="1"/>
  <c r="L19" i="18" s="1"/>
  <c r="M19" i="18" s="1"/>
  <c r="N19" i="18" s="1"/>
  <c r="O19" i="18" s="1"/>
  <c r="F72" i="18"/>
  <c r="G17" i="419"/>
  <c r="F94" i="18"/>
  <c r="G9" i="18"/>
  <c r="E105" i="18"/>
  <c r="F4" i="18"/>
  <c r="F45" i="18" s="1"/>
  <c r="E103" i="18"/>
  <c r="E104" i="18"/>
  <c r="E45" i="18"/>
  <c r="E102" i="18"/>
  <c r="G4" i="63"/>
  <c r="G103" i="63" s="1"/>
  <c r="F105" i="63"/>
  <c r="F23" i="63"/>
  <c r="E62" i="63"/>
  <c r="E80" i="63" s="1"/>
  <c r="E5" i="63"/>
  <c r="D55" i="63"/>
  <c r="D92" i="419"/>
  <c r="D82" i="419"/>
  <c r="P64" i="419"/>
  <c r="F15" i="419"/>
  <c r="E52" i="419"/>
  <c r="E73" i="419" s="1"/>
  <c r="G10" i="219"/>
  <c r="H10" i="219" s="1"/>
  <c r="I10" i="219" s="1"/>
  <c r="J10" i="219" s="1"/>
  <c r="K10" i="219" s="1"/>
  <c r="L10" i="219" s="1"/>
  <c r="M10" i="219" s="1"/>
  <c r="N10" i="219" s="1"/>
  <c r="O10" i="219" s="1"/>
  <c r="E59" i="219"/>
  <c r="F20" i="219"/>
  <c r="D46" i="18"/>
  <c r="D67" i="18" s="1"/>
  <c r="F3" i="419"/>
  <c r="E48" i="419"/>
  <c r="E69" i="419" s="1"/>
  <c r="I10" i="546"/>
  <c r="I181" i="546" s="1"/>
  <c r="H125" i="546"/>
  <c r="F60" i="371"/>
  <c r="E53" i="371"/>
  <c r="E45" i="371"/>
  <c r="E47" i="371"/>
  <c r="E94" i="371"/>
  <c r="P64" i="371"/>
  <c r="E48" i="219"/>
  <c r="E69" i="219" s="1"/>
  <c r="F12" i="219"/>
  <c r="F48" i="219" s="1"/>
  <c r="F69" i="219" s="1"/>
  <c r="F11" i="18"/>
  <c r="L9" i="63"/>
  <c r="K94" i="63"/>
  <c r="K96" i="63"/>
  <c r="E49" i="371"/>
  <c r="E70" i="371" s="1"/>
  <c r="F13" i="371"/>
  <c r="G101" i="546"/>
  <c r="P64" i="63"/>
  <c r="E70" i="419"/>
  <c r="F19" i="419"/>
  <c r="G19" i="419" s="1"/>
  <c r="H19" i="419" s="1"/>
  <c r="I19" i="419" s="1"/>
  <c r="J19" i="419" s="1"/>
  <c r="K19" i="419" s="1"/>
  <c r="L19" i="419" s="1"/>
  <c r="M19" i="419" s="1"/>
  <c r="N19" i="419" s="1"/>
  <c r="O19" i="419" s="1"/>
  <c r="M7" i="419"/>
  <c r="L7" i="419"/>
  <c r="D46" i="371"/>
  <c r="D67" i="371" s="1"/>
  <c r="F9" i="219"/>
  <c r="F54" i="219" s="1"/>
  <c r="E96" i="219"/>
  <c r="E55" i="18"/>
  <c r="E76" i="18" s="1"/>
  <c r="F5" i="18"/>
  <c r="F55" i="18" s="1"/>
  <c r="F76" i="18" s="1"/>
  <c r="E44" i="18"/>
  <c r="E60" i="18"/>
  <c r="D56" i="18"/>
  <c r="D76" i="18"/>
  <c r="F59" i="371"/>
  <c r="E50" i="371"/>
  <c r="E71" i="371" s="1"/>
  <c r="E9" i="435"/>
  <c r="E10" i="435" s="1"/>
  <c r="G9" i="435"/>
  <c r="H5" i="764"/>
  <c r="E53" i="419"/>
  <c r="E74" i="419" s="1"/>
  <c r="E70" i="219"/>
  <c r="F102" i="63"/>
  <c r="E51" i="371"/>
  <c r="G211" i="546"/>
  <c r="H134" i="546"/>
  <c r="H132" i="546"/>
  <c r="D66" i="371"/>
  <c r="D66" i="63"/>
  <c r="D76" i="371"/>
  <c r="D56" i="371"/>
  <c r="D62" i="371" s="1"/>
  <c r="P95" i="63"/>
  <c r="D58" i="18"/>
  <c r="P95" i="18"/>
  <c r="P95" i="419"/>
  <c r="P95" i="371"/>
  <c r="D57" i="18"/>
  <c r="D77" i="18" s="1"/>
  <c r="G169" i="546"/>
  <c r="F33" i="173"/>
  <c r="B72" i="173"/>
  <c r="G212" i="546"/>
  <c r="H131" i="546"/>
  <c r="J33" i="173"/>
  <c r="N2" i="173"/>
  <c r="N33" i="173" s="1"/>
  <c r="G173" i="546"/>
  <c r="G204" i="546"/>
  <c r="G111" i="546"/>
  <c r="G96" i="546"/>
  <c r="G208" i="546"/>
  <c r="G174" i="546"/>
  <c r="L33" i="764"/>
  <c r="P77" i="546"/>
  <c r="AF76" i="546"/>
  <c r="H166" i="546"/>
  <c r="H133" i="546"/>
  <c r="G92" i="546"/>
  <c r="H165" i="546"/>
  <c r="O33" i="764"/>
  <c r="L162" i="546"/>
  <c r="H33" i="764"/>
  <c r="P162" i="546"/>
  <c r="H162" i="546"/>
  <c r="G98" i="546"/>
  <c r="I162" i="546"/>
  <c r="M162" i="546"/>
  <c r="Q162" i="546"/>
  <c r="G33" i="173"/>
  <c r="K2" i="173"/>
  <c r="K33" i="173" s="1"/>
  <c r="O2" i="173"/>
  <c r="O33" i="173" s="1"/>
  <c r="E33" i="764"/>
  <c r="I33" i="764"/>
  <c r="P33" i="764"/>
  <c r="I166" i="546"/>
  <c r="J162" i="546"/>
  <c r="N162" i="546"/>
  <c r="R162" i="546"/>
  <c r="H33" i="173"/>
  <c r="L2" i="173"/>
  <c r="L33" i="173" s="1"/>
  <c r="P2" i="173"/>
  <c r="P33" i="173" s="1"/>
  <c r="B62" i="173"/>
  <c r="G176" i="546"/>
  <c r="F33" i="764"/>
  <c r="J33" i="764"/>
  <c r="M33" i="764"/>
  <c r="Q6" i="764"/>
  <c r="AF75" i="546"/>
  <c r="I165" i="546"/>
  <c r="K162" i="546"/>
  <c r="O162" i="546"/>
  <c r="E33" i="173"/>
  <c r="I33" i="173"/>
  <c r="M2" i="173"/>
  <c r="M33" i="173" s="1"/>
  <c r="B71" i="173"/>
  <c r="G33" i="764"/>
  <c r="K33" i="764"/>
  <c r="N33" i="764"/>
  <c r="Q8" i="173"/>
  <c r="G207" i="546"/>
  <c r="G95" i="546"/>
  <c r="AF74" i="546"/>
  <c r="E36" i="764"/>
  <c r="A28" i="577"/>
  <c r="A23" i="717"/>
  <c r="O5" i="371"/>
  <c r="A56" i="577"/>
  <c r="O12" i="419"/>
  <c r="I11" i="419"/>
  <c r="H55" i="371"/>
  <c r="I19" i="63"/>
  <c r="F53" i="219"/>
  <c r="F74" i="219" s="1"/>
  <c r="F105" i="371"/>
  <c r="J82" i="63"/>
  <c r="F94" i="219"/>
  <c r="G20" i="18"/>
  <c r="D92" i="63"/>
  <c r="D92" i="18"/>
  <c r="F52" i="219"/>
  <c r="H10" i="63"/>
  <c r="F51" i="63"/>
  <c r="E51" i="419"/>
  <c r="E47" i="419"/>
  <c r="E55" i="419"/>
  <c r="F7" i="419"/>
  <c r="N7" i="419"/>
  <c r="E53" i="219"/>
  <c r="E44" i="219"/>
  <c r="D57" i="219"/>
  <c r="F18" i="18"/>
  <c r="F16" i="18"/>
  <c r="F14" i="18"/>
  <c r="F12" i="18"/>
  <c r="F105" i="18"/>
  <c r="F103" i="63"/>
  <c r="Q41" i="173"/>
  <c r="E92" i="371"/>
  <c r="H7" i="419"/>
  <c r="G18" i="219"/>
  <c r="G16" i="219"/>
  <c r="G14" i="219"/>
  <c r="G12" i="219"/>
  <c r="F5" i="219"/>
  <c r="G17" i="18"/>
  <c r="G15" i="18"/>
  <c r="G13" i="18"/>
  <c r="G5" i="18"/>
  <c r="F49" i="63"/>
  <c r="E47" i="63"/>
  <c r="E103" i="63"/>
  <c r="E104" i="371"/>
  <c r="C16" i="435"/>
  <c r="E102" i="63"/>
  <c r="F37" i="173"/>
  <c r="I23" i="546"/>
  <c r="I182" i="546" s="1"/>
  <c r="J21" i="546"/>
  <c r="M11" i="764"/>
  <c r="M38" i="764" s="1"/>
  <c r="P6" i="764"/>
  <c r="F39" i="764"/>
  <c r="G8" i="764"/>
  <c r="B47" i="895"/>
  <c r="B45" i="236"/>
  <c r="C33" i="717"/>
  <c r="D33" i="717"/>
  <c r="C10" i="895"/>
  <c r="C49" i="895"/>
  <c r="C50" i="895"/>
  <c r="T140" i="546" l="1"/>
  <c r="H202" i="546"/>
  <c r="AC195" i="546"/>
  <c r="AC67" i="546"/>
  <c r="AC181" i="546"/>
  <c r="G88" i="546" a="1"/>
  <c r="G88" i="546" s="1"/>
  <c r="G140" i="546" s="1"/>
  <c r="I192" i="546"/>
  <c r="I193" i="546"/>
  <c r="I194" i="546"/>
  <c r="I195" i="546"/>
  <c r="I236" i="546"/>
  <c r="I175" i="546"/>
  <c r="I53" i="546"/>
  <c r="I67" i="546"/>
  <c r="E76" i="219"/>
  <c r="H169" i="546"/>
  <c r="E49" i="173"/>
  <c r="E49" i="764"/>
  <c r="E40" i="764"/>
  <c r="E53" i="764" s="1"/>
  <c r="H55" i="764"/>
  <c r="G55" i="764"/>
  <c r="E38" i="173"/>
  <c r="E48" i="173" s="1"/>
  <c r="G69" i="764"/>
  <c r="G54" i="764"/>
  <c r="I29" i="764"/>
  <c r="J29" i="764" s="1"/>
  <c r="E37" i="764"/>
  <c r="E52" i="764" s="1"/>
  <c r="F67" i="764"/>
  <c r="E73" i="173"/>
  <c r="E74" i="173"/>
  <c r="F65" i="173"/>
  <c r="G37" i="173"/>
  <c r="G67" i="173"/>
  <c r="G65" i="173" s="1"/>
  <c r="I180" i="546"/>
  <c r="I216" i="546" a="1"/>
  <c r="I216" i="546" s="1"/>
  <c r="V21" i="546"/>
  <c r="I178" i="546"/>
  <c r="W21" i="546"/>
  <c r="V20" i="546"/>
  <c r="I177" i="546"/>
  <c r="V19" i="546"/>
  <c r="I176" i="546"/>
  <c r="V17" i="546"/>
  <c r="I174" i="546"/>
  <c r="I59" i="546"/>
  <c r="I207" i="546" s="1"/>
  <c r="I173" i="546"/>
  <c r="J15" i="546"/>
  <c r="I172" i="546"/>
  <c r="T109" i="546"/>
  <c r="I57" i="546"/>
  <c r="I205" i="546" s="1"/>
  <c r="I171" i="546"/>
  <c r="G142" i="546"/>
  <c r="V4" i="546"/>
  <c r="V53" i="546" s="1"/>
  <c r="I217" i="546"/>
  <c r="I139" i="546"/>
  <c r="I168" i="546"/>
  <c r="I167" i="546"/>
  <c r="I169" i="546"/>
  <c r="I179" i="546"/>
  <c r="H55" i="546"/>
  <c r="H88" i="546" s="1" a="1"/>
  <c r="H88" i="546" s="1"/>
  <c r="I123" i="546"/>
  <c r="I111" i="546" s="1"/>
  <c r="G71" i="546"/>
  <c r="V77" i="546"/>
  <c r="V80" i="546"/>
  <c r="V195" i="546"/>
  <c r="V194" i="546"/>
  <c r="V12" i="546"/>
  <c r="J10" i="546"/>
  <c r="J181" i="546" s="1"/>
  <c r="I131" i="546"/>
  <c r="J20" i="546"/>
  <c r="J19" i="546"/>
  <c r="I134" i="546"/>
  <c r="J4" i="546"/>
  <c r="K4" i="546" s="1"/>
  <c r="I133" i="546"/>
  <c r="I132" i="546"/>
  <c r="J17" i="546"/>
  <c r="U175" i="546"/>
  <c r="V23" i="546"/>
  <c r="V182" i="546" s="1"/>
  <c r="I68" i="546"/>
  <c r="I184" i="546" s="1"/>
  <c r="V15" i="546"/>
  <c r="I58" i="546"/>
  <c r="V13" i="546"/>
  <c r="V56" i="546" s="1"/>
  <c r="V204" i="546" s="1"/>
  <c r="I56" i="546"/>
  <c r="I204" i="546" s="1"/>
  <c r="I125" i="546"/>
  <c r="U107" i="546"/>
  <c r="U104" i="546"/>
  <c r="H124" i="546"/>
  <c r="U174" i="546"/>
  <c r="U58" i="546"/>
  <c r="U206" i="546" s="1"/>
  <c r="U195" i="546"/>
  <c r="AD6" i="546"/>
  <c r="U172" i="546"/>
  <c r="U68" i="546"/>
  <c r="U184" i="546" s="1"/>
  <c r="U176" i="546"/>
  <c r="U61" i="546"/>
  <c r="U97" i="546" s="1"/>
  <c r="U62" i="546"/>
  <c r="U210" i="546" s="1"/>
  <c r="U57" i="546"/>
  <c r="U205" i="546" s="1"/>
  <c r="U236" i="546"/>
  <c r="O24" i="546"/>
  <c r="AB24" i="546" s="1"/>
  <c r="AA24" i="546"/>
  <c r="J22" i="546"/>
  <c r="V22" i="546"/>
  <c r="U171" i="546"/>
  <c r="J16" i="546"/>
  <c r="V16" i="546"/>
  <c r="B36" i="546"/>
  <c r="B37" i="546" s="1"/>
  <c r="B38" i="546" s="1"/>
  <c r="B39" i="546" s="1"/>
  <c r="B40" i="546" s="1"/>
  <c r="B41" i="546" s="1"/>
  <c r="B42" i="546" s="1"/>
  <c r="B43" i="546" s="1"/>
  <c r="B44" i="546" s="1"/>
  <c r="B45" i="546" s="1"/>
  <c r="B46" i="546" s="1"/>
  <c r="B47" i="546" s="1"/>
  <c r="B48" i="546" s="1"/>
  <c r="B49" i="546" s="1"/>
  <c r="B50" i="546" s="1"/>
  <c r="B51" i="546" s="1"/>
  <c r="B52" i="546" s="1"/>
  <c r="B53" i="546" s="1"/>
  <c r="J14" i="546"/>
  <c r="V14" i="546"/>
  <c r="U65" i="546"/>
  <c r="U179" i="546"/>
  <c r="U139" i="546"/>
  <c r="U132" i="546"/>
  <c r="U134" i="546"/>
  <c r="U133" i="546"/>
  <c r="U217" i="546"/>
  <c r="U168" i="546"/>
  <c r="U167" i="546"/>
  <c r="U131" i="546"/>
  <c r="U54" i="546"/>
  <c r="K12" i="546"/>
  <c r="U77" i="546"/>
  <c r="U165" i="546"/>
  <c r="U166" i="546"/>
  <c r="U66" i="546"/>
  <c r="U80" i="546"/>
  <c r="U194" i="546"/>
  <c r="U180" i="546"/>
  <c r="U59" i="546"/>
  <c r="U95" i="546" s="1"/>
  <c r="U56" i="546"/>
  <c r="W13" i="546"/>
  <c r="U173" i="546"/>
  <c r="U60" i="546"/>
  <c r="U208" i="546" s="1"/>
  <c r="AC194" i="546"/>
  <c r="AC80" i="546"/>
  <c r="AC77" i="546"/>
  <c r="W15" i="546"/>
  <c r="I65" i="546"/>
  <c r="I62" i="546"/>
  <c r="I210" i="546" s="1"/>
  <c r="I63" i="546"/>
  <c r="I66" i="546"/>
  <c r="I69" i="546"/>
  <c r="I54" i="546"/>
  <c r="I60" i="546"/>
  <c r="I64" i="546"/>
  <c r="I212" i="546" s="1"/>
  <c r="I61" i="546"/>
  <c r="J51" i="546"/>
  <c r="V51" i="546"/>
  <c r="J50" i="546"/>
  <c r="V50" i="546"/>
  <c r="J49" i="546"/>
  <c r="V49" i="546"/>
  <c r="J30" i="546"/>
  <c r="V30" i="546"/>
  <c r="V29" i="546"/>
  <c r="V228" i="546" s="1"/>
  <c r="U64" i="546"/>
  <c r="U178" i="546"/>
  <c r="U63" i="546"/>
  <c r="U177" i="546"/>
  <c r="J18" i="546"/>
  <c r="V18" i="546"/>
  <c r="T207" i="546"/>
  <c r="T95" i="546"/>
  <c r="T209" i="546"/>
  <c r="T97" i="546"/>
  <c r="T184" i="546"/>
  <c r="T208" i="546"/>
  <c r="T96" i="546"/>
  <c r="T205" i="546"/>
  <c r="T93" i="546"/>
  <c r="T129" i="546"/>
  <c r="T163" i="546" s="1"/>
  <c r="T215" i="546"/>
  <c r="T103" i="546"/>
  <c r="T71" i="546"/>
  <c r="T70" i="546"/>
  <c r="T210" i="546"/>
  <c r="T98" i="546"/>
  <c r="T206" i="546"/>
  <c r="T94" i="546"/>
  <c r="F70" i="764"/>
  <c r="I94" i="371"/>
  <c r="I55" i="371"/>
  <c r="I76" i="371" s="1"/>
  <c r="F96" i="219"/>
  <c r="G51" i="371"/>
  <c r="G72" i="371" s="1"/>
  <c r="H15" i="371"/>
  <c r="G9" i="219"/>
  <c r="F45" i="219"/>
  <c r="F60" i="219"/>
  <c r="E46" i="219"/>
  <c r="E67" i="219" s="1"/>
  <c r="H60" i="371"/>
  <c r="H96" i="371"/>
  <c r="H94" i="371"/>
  <c r="F66" i="63"/>
  <c r="E66" i="63"/>
  <c r="E57" i="219"/>
  <c r="E77" i="219" s="1"/>
  <c r="Q85" i="546"/>
  <c r="I77" i="546"/>
  <c r="I7" i="173"/>
  <c r="H53" i="173"/>
  <c r="F57" i="371"/>
  <c r="F77" i="371" s="1"/>
  <c r="G51" i="219"/>
  <c r="G72" i="219" s="1"/>
  <c r="H29" i="173"/>
  <c r="H43" i="173" s="1"/>
  <c r="J9" i="371"/>
  <c r="J55" i="371" s="1"/>
  <c r="J76" i="371" s="1"/>
  <c r="F54" i="419"/>
  <c r="F75" i="419" s="1"/>
  <c r="F44" i="219"/>
  <c r="F58" i="219" s="1"/>
  <c r="E92" i="419"/>
  <c r="E82" i="419"/>
  <c r="K13" i="546"/>
  <c r="F34" i="764"/>
  <c r="G70" i="764"/>
  <c r="E56" i="18"/>
  <c r="F68" i="173"/>
  <c r="E82" i="63"/>
  <c r="E92" i="63"/>
  <c r="F59" i="419"/>
  <c r="F49" i="219"/>
  <c r="F70" i="219" s="1"/>
  <c r="G13" i="219"/>
  <c r="G8" i="419"/>
  <c r="G54" i="419" s="1"/>
  <c r="G75" i="419" s="1"/>
  <c r="F96" i="419"/>
  <c r="G92" i="371"/>
  <c r="G82" i="371"/>
  <c r="H92" i="371"/>
  <c r="H82" i="371"/>
  <c r="H17" i="371"/>
  <c r="G53" i="371"/>
  <c r="G74" i="371" s="1"/>
  <c r="H18" i="371"/>
  <c r="G54" i="371"/>
  <c r="G75" i="371" s="1"/>
  <c r="F34" i="173"/>
  <c r="D61" i="371"/>
  <c r="D88" i="371" s="1"/>
  <c r="E46" i="371"/>
  <c r="E67" i="371" s="1"/>
  <c r="F46" i="63"/>
  <c r="F67" i="63" s="1"/>
  <c r="F48" i="419"/>
  <c r="I96" i="371"/>
  <c r="I60" i="371"/>
  <c r="F5" i="17"/>
  <c r="E15" i="17"/>
  <c r="E19" i="17" s="1"/>
  <c r="E21" i="17" s="1"/>
  <c r="E24" i="17" s="1"/>
  <c r="H13" i="63"/>
  <c r="G49" i="63"/>
  <c r="G70" i="63" s="1"/>
  <c r="H12" i="63"/>
  <c r="G48" i="63"/>
  <c r="I59" i="371"/>
  <c r="J20" i="371"/>
  <c r="H90" i="546"/>
  <c r="H121" i="546"/>
  <c r="J29" i="546"/>
  <c r="J228" i="546" s="1"/>
  <c r="J9" i="764"/>
  <c r="K9" i="764" s="1"/>
  <c r="L9" i="764" s="1"/>
  <c r="M9" i="764" s="1"/>
  <c r="F36" i="764"/>
  <c r="F50" i="764" s="1"/>
  <c r="F38" i="764"/>
  <c r="F51" i="764" s="1"/>
  <c r="E48" i="764"/>
  <c r="E54" i="764" s="1"/>
  <c r="E50" i="764"/>
  <c r="G68" i="173"/>
  <c r="G69" i="173"/>
  <c r="H10" i="173"/>
  <c r="D100" i="371"/>
  <c r="D101" i="371"/>
  <c r="E100" i="371"/>
  <c r="F56" i="18"/>
  <c r="E66" i="371"/>
  <c r="F57" i="18"/>
  <c r="F77" i="18" s="1"/>
  <c r="D101" i="18"/>
  <c r="E57" i="18"/>
  <c r="E77" i="18" s="1"/>
  <c r="E62" i="371"/>
  <c r="E80" i="371" s="1"/>
  <c r="G205" i="546"/>
  <c r="H102" i="546"/>
  <c r="G93" i="546"/>
  <c r="F47" i="18"/>
  <c r="F68" i="18" s="1"/>
  <c r="G11" i="18"/>
  <c r="F59" i="219"/>
  <c r="G20" i="219"/>
  <c r="F75" i="219"/>
  <c r="F5" i="63"/>
  <c r="E55" i="63"/>
  <c r="G102" i="63"/>
  <c r="H4" i="63"/>
  <c r="H104" i="63" s="1"/>
  <c r="G104" i="63"/>
  <c r="H9" i="18"/>
  <c r="G96" i="18"/>
  <c r="G60" i="18"/>
  <c r="G94" i="18"/>
  <c r="I13" i="419"/>
  <c r="G54" i="63"/>
  <c r="G52" i="63"/>
  <c r="G73" i="63" s="1"/>
  <c r="G44" i="63"/>
  <c r="G101" i="63"/>
  <c r="G60" i="63"/>
  <c r="G100" i="63"/>
  <c r="G94" i="63"/>
  <c r="G96" i="63"/>
  <c r="G45" i="63"/>
  <c r="H9" i="63"/>
  <c r="F52" i="371"/>
  <c r="F73" i="371" s="1"/>
  <c r="G16" i="371"/>
  <c r="F59" i="63"/>
  <c r="G20" i="63"/>
  <c r="D80" i="371"/>
  <c r="G94" i="546"/>
  <c r="G206" i="546"/>
  <c r="E12" i="435"/>
  <c r="E17" i="435" s="1"/>
  <c r="F82" i="18"/>
  <c r="F92" i="18"/>
  <c r="H20" i="419"/>
  <c r="F92" i="63"/>
  <c r="F82" i="63"/>
  <c r="F73" i="63"/>
  <c r="J18" i="63"/>
  <c r="I82" i="371"/>
  <c r="I92" i="371"/>
  <c r="D10" i="435"/>
  <c r="D12" i="435" s="1"/>
  <c r="D17" i="435" s="1"/>
  <c r="F45" i="371"/>
  <c r="F103" i="371"/>
  <c r="G4" i="371"/>
  <c r="F44" i="371"/>
  <c r="F102" i="371"/>
  <c r="F46" i="371" s="1"/>
  <c r="F67" i="371" s="1"/>
  <c r="F56" i="371"/>
  <c r="E73" i="371"/>
  <c r="H11" i="63"/>
  <c r="G47" i="63"/>
  <c r="G68" i="63" s="1"/>
  <c r="G17" i="63"/>
  <c r="F53" i="63"/>
  <c r="G11" i="219"/>
  <c r="F47" i="219"/>
  <c r="F68" i="219" s="1"/>
  <c r="E72" i="371"/>
  <c r="E58" i="18"/>
  <c r="E66" i="18"/>
  <c r="K92" i="63"/>
  <c r="K82" i="63"/>
  <c r="E82" i="371"/>
  <c r="E74" i="371"/>
  <c r="G3" i="419"/>
  <c r="F49" i="419"/>
  <c r="F70" i="419" s="1"/>
  <c r="F60" i="419"/>
  <c r="F55" i="419"/>
  <c r="F76" i="419" s="1"/>
  <c r="F51" i="419"/>
  <c r="F72" i="419" s="1"/>
  <c r="F47" i="419"/>
  <c r="F68" i="419" s="1"/>
  <c r="F94" i="419"/>
  <c r="F53" i="419"/>
  <c r="F74" i="419" s="1"/>
  <c r="G15" i="419"/>
  <c r="F52" i="419"/>
  <c r="F73" i="419" s="1"/>
  <c r="G105" i="63"/>
  <c r="G23" i="63"/>
  <c r="F62" i="63"/>
  <c r="F80" i="63" s="1"/>
  <c r="E46" i="18"/>
  <c r="E67" i="18" s="1"/>
  <c r="F103" i="18"/>
  <c r="F102" i="18"/>
  <c r="G4" i="18"/>
  <c r="F104" i="18"/>
  <c r="F44" i="18"/>
  <c r="H17" i="419"/>
  <c r="F105" i="219"/>
  <c r="F103" i="219"/>
  <c r="G4" i="219"/>
  <c r="G44" i="219" s="1"/>
  <c r="F102" i="219"/>
  <c r="K11" i="371"/>
  <c r="J47" i="371"/>
  <c r="J68" i="371" s="1"/>
  <c r="F48" i="371"/>
  <c r="F69" i="371" s="1"/>
  <c r="G12" i="371"/>
  <c r="G50" i="371"/>
  <c r="G71" i="371" s="1"/>
  <c r="H14" i="371"/>
  <c r="E71" i="63"/>
  <c r="I5" i="764"/>
  <c r="G10" i="435"/>
  <c r="G12" i="435" s="1"/>
  <c r="G17" i="435" s="1"/>
  <c r="F49" i="371"/>
  <c r="F70" i="371" s="1"/>
  <c r="G13" i="371"/>
  <c r="L94" i="63"/>
  <c r="L60" i="63"/>
  <c r="L96" i="63"/>
  <c r="L52" i="63"/>
  <c r="M9" i="63"/>
  <c r="E68" i="371"/>
  <c r="D57" i="63"/>
  <c r="D77" i="63" s="1"/>
  <c r="D76" i="63"/>
  <c r="D56" i="63"/>
  <c r="H51" i="219"/>
  <c r="H72" i="219" s="1"/>
  <c r="I15" i="219"/>
  <c r="F50" i="419"/>
  <c r="C19" i="17"/>
  <c r="C21" i="17" s="1"/>
  <c r="C24" i="17" s="1"/>
  <c r="F75" i="63"/>
  <c r="K9" i="371"/>
  <c r="E58" i="371"/>
  <c r="F50" i="63"/>
  <c r="F71" i="63" s="1"/>
  <c r="G14" i="63"/>
  <c r="I42" i="764"/>
  <c r="M3" i="371"/>
  <c r="A28" i="499"/>
  <c r="D61" i="18"/>
  <c r="D100" i="18"/>
  <c r="D62" i="18"/>
  <c r="G103" i="546"/>
  <c r="G215" i="546"/>
  <c r="G185" i="546"/>
  <c r="H95" i="546"/>
  <c r="H96" i="546"/>
  <c r="H97" i="546"/>
  <c r="K15" i="546"/>
  <c r="H94" i="546"/>
  <c r="H100" i="546"/>
  <c r="F35" i="764"/>
  <c r="G203" i="546"/>
  <c r="G91" i="546"/>
  <c r="H98" i="546"/>
  <c r="H101" i="546"/>
  <c r="F70" i="63"/>
  <c r="G53" i="18"/>
  <c r="H17" i="18"/>
  <c r="G48" i="219"/>
  <c r="H12" i="219"/>
  <c r="F52" i="18"/>
  <c r="G16" i="18"/>
  <c r="D77" i="219"/>
  <c r="D100" i="219"/>
  <c r="D61" i="219"/>
  <c r="D62" i="219"/>
  <c r="E72" i="419"/>
  <c r="F73" i="219"/>
  <c r="G59" i="18"/>
  <c r="H20" i="18"/>
  <c r="J11" i="419"/>
  <c r="A24" i="717"/>
  <c r="A29" i="577"/>
  <c r="H99" i="546"/>
  <c r="H92" i="546"/>
  <c r="J23" i="546"/>
  <c r="J182" i="546" s="1"/>
  <c r="G55" i="18"/>
  <c r="H5" i="18"/>
  <c r="G50" i="219"/>
  <c r="H14" i="219"/>
  <c r="F54" i="18"/>
  <c r="G18" i="18"/>
  <c r="E58" i="219"/>
  <c r="E66" i="219"/>
  <c r="F72" i="63"/>
  <c r="I10" i="63"/>
  <c r="H102" i="63"/>
  <c r="J19" i="63"/>
  <c r="G71" i="764"/>
  <c r="H8" i="764"/>
  <c r="G39" i="764"/>
  <c r="J134" i="546"/>
  <c r="H103" i="546"/>
  <c r="G49" i="18"/>
  <c r="H13" i="18"/>
  <c r="G52" i="219"/>
  <c r="G73" i="219" s="1"/>
  <c r="H16" i="219"/>
  <c r="F48" i="18"/>
  <c r="G12" i="18"/>
  <c r="E74" i="219"/>
  <c r="E76" i="419"/>
  <c r="H15" i="63"/>
  <c r="G51" i="63"/>
  <c r="G72" i="63" s="1"/>
  <c r="F82" i="219"/>
  <c r="F92" i="219"/>
  <c r="H76" i="371"/>
  <c r="N11" i="764"/>
  <c r="K19" i="546"/>
  <c r="Q77" i="546"/>
  <c r="K21" i="546"/>
  <c r="H93" i="546"/>
  <c r="E46" i="63"/>
  <c r="E68" i="63"/>
  <c r="G51" i="18"/>
  <c r="H15" i="18"/>
  <c r="F55" i="219"/>
  <c r="G5" i="219"/>
  <c r="G54" i="219"/>
  <c r="H18" i="219"/>
  <c r="F50" i="18"/>
  <c r="G14" i="18"/>
  <c r="F69" i="419"/>
  <c r="E68" i="419"/>
  <c r="G53" i="219"/>
  <c r="G74" i="219" s="1"/>
  <c r="G60" i="219"/>
  <c r="G96" i="219"/>
  <c r="H9" i="219"/>
  <c r="G94" i="219"/>
  <c r="A57" i="577"/>
  <c r="B49" i="895"/>
  <c r="B50" i="895"/>
  <c r="B10" i="895"/>
  <c r="E62" i="717"/>
  <c r="G70" i="546" l="1"/>
  <c r="H129" i="546"/>
  <c r="H163" i="546" s="1"/>
  <c r="G129" i="546"/>
  <c r="AD195" i="546"/>
  <c r="AD181" i="546"/>
  <c r="AD67" i="546"/>
  <c r="I93" i="546"/>
  <c r="J171" i="546"/>
  <c r="J173" i="546"/>
  <c r="J192" i="546"/>
  <c r="J193" i="546"/>
  <c r="J194" i="546"/>
  <c r="J195" i="546"/>
  <c r="J236" i="546"/>
  <c r="J172" i="546"/>
  <c r="J178" i="546"/>
  <c r="J53" i="546"/>
  <c r="J67" i="546"/>
  <c r="J214" i="546" s="1"/>
  <c r="I95" i="546"/>
  <c r="E61" i="173"/>
  <c r="E56" i="173"/>
  <c r="E52" i="173"/>
  <c r="E47" i="764"/>
  <c r="E58" i="764"/>
  <c r="F49" i="764"/>
  <c r="E56" i="764"/>
  <c r="I55" i="764"/>
  <c r="E76" i="764"/>
  <c r="H69" i="764"/>
  <c r="H54" i="764"/>
  <c r="E75" i="764"/>
  <c r="F37" i="764"/>
  <c r="F52" i="764" s="1"/>
  <c r="F48" i="764"/>
  <c r="E51" i="173"/>
  <c r="H67" i="173"/>
  <c r="F38" i="173"/>
  <c r="F36" i="173"/>
  <c r="F50" i="173" s="1"/>
  <c r="V134" i="546"/>
  <c r="J175" i="546"/>
  <c r="I211" i="546"/>
  <c r="J180" i="546"/>
  <c r="J216" i="546" a="1"/>
  <c r="J216" i="546" s="1"/>
  <c r="I101" i="546"/>
  <c r="I213" i="546"/>
  <c r="I102" i="546"/>
  <c r="I214" i="546"/>
  <c r="T141" i="546"/>
  <c r="I215" i="546"/>
  <c r="I185" i="546"/>
  <c r="X21" i="546"/>
  <c r="K20" i="546"/>
  <c r="X20" i="546" s="1"/>
  <c r="J177" i="546"/>
  <c r="X19" i="546"/>
  <c r="W19" i="546"/>
  <c r="J176" i="546"/>
  <c r="I97" i="546"/>
  <c r="I209" i="546"/>
  <c r="K17" i="546"/>
  <c r="X17" i="546" s="1"/>
  <c r="J174" i="546"/>
  <c r="I96" i="546"/>
  <c r="I208" i="546"/>
  <c r="I94" i="546"/>
  <c r="I206" i="546"/>
  <c r="V133" i="546"/>
  <c r="X4" i="546"/>
  <c r="X53" i="546" s="1"/>
  <c r="I202" i="546"/>
  <c r="H203" i="546"/>
  <c r="H142" i="546"/>
  <c r="H143" i="546" s="1"/>
  <c r="W4" i="546"/>
  <c r="W53" i="546" s="1"/>
  <c r="J167" i="546"/>
  <c r="J168" i="546"/>
  <c r="J179" i="546"/>
  <c r="J217" i="546"/>
  <c r="J139" i="546"/>
  <c r="V166" i="546"/>
  <c r="V131" i="546"/>
  <c r="V165" i="546"/>
  <c r="G109" i="546"/>
  <c r="J123" i="546"/>
  <c r="V132" i="546"/>
  <c r="W20" i="546"/>
  <c r="AD194" i="546"/>
  <c r="W17" i="546"/>
  <c r="AD80" i="546"/>
  <c r="J132" i="546"/>
  <c r="I55" i="546"/>
  <c r="I203" i="546" s="1"/>
  <c r="U185" i="546"/>
  <c r="V68" i="546"/>
  <c r="V184" i="546" s="1"/>
  <c r="J131" i="546"/>
  <c r="U209" i="546"/>
  <c r="AD77" i="546"/>
  <c r="U98" i="546"/>
  <c r="U103" i="546"/>
  <c r="U215" i="546"/>
  <c r="J133" i="546"/>
  <c r="V92" i="546"/>
  <c r="W12" i="546"/>
  <c r="I71" i="546"/>
  <c r="I92" i="546"/>
  <c r="U93" i="546"/>
  <c r="U96" i="546"/>
  <c r="U169" i="546"/>
  <c r="U71" i="546"/>
  <c r="U94" i="546"/>
  <c r="W6" i="546"/>
  <c r="U207" i="546"/>
  <c r="J58" i="546"/>
  <c r="J206" i="546" s="1"/>
  <c r="K16" i="546"/>
  <c r="W16" i="546"/>
  <c r="J59" i="546"/>
  <c r="J207" i="546" s="1"/>
  <c r="W23" i="546"/>
  <c r="W182" i="546" s="1"/>
  <c r="J68" i="546"/>
  <c r="J184" i="546" s="1"/>
  <c r="AE6" i="546"/>
  <c r="X15" i="546"/>
  <c r="J56" i="546"/>
  <c r="J204" i="546" s="1"/>
  <c r="U213" i="546"/>
  <c r="U101" i="546"/>
  <c r="U55" i="546"/>
  <c r="T81" i="546"/>
  <c r="T83" i="546"/>
  <c r="T82" i="546"/>
  <c r="K22" i="546"/>
  <c r="W22" i="546"/>
  <c r="U204" i="546"/>
  <c r="U92" i="546"/>
  <c r="J57" i="546"/>
  <c r="J205" i="546" s="1"/>
  <c r="W14" i="546"/>
  <c r="K14" i="546"/>
  <c r="W80" i="546"/>
  <c r="U202" i="546"/>
  <c r="U90" i="546"/>
  <c r="U214" i="546"/>
  <c r="U102" i="546"/>
  <c r="L12" i="546"/>
  <c r="J61" i="546"/>
  <c r="J209" i="546" s="1"/>
  <c r="J65" i="546"/>
  <c r="J63" i="546"/>
  <c r="J66" i="546"/>
  <c r="J213" i="546" s="1"/>
  <c r="J69" i="546"/>
  <c r="J62" i="546"/>
  <c r="J54" i="546"/>
  <c r="J60" i="546"/>
  <c r="J64" i="546"/>
  <c r="J212" i="546" s="1"/>
  <c r="K51" i="546"/>
  <c r="W51" i="546"/>
  <c r="K50" i="546"/>
  <c r="W50" i="546"/>
  <c r="K49" i="546"/>
  <c r="W49" i="546"/>
  <c r="K30" i="546"/>
  <c r="W30" i="546"/>
  <c r="W29" i="546"/>
  <c r="W228" i="546" s="1"/>
  <c r="U212" i="546"/>
  <c r="U100" i="546"/>
  <c r="U211" i="546"/>
  <c r="U99" i="546"/>
  <c r="K18" i="546"/>
  <c r="W18" i="546"/>
  <c r="L13" i="546"/>
  <c r="M13" i="546" s="1"/>
  <c r="X13" i="546"/>
  <c r="T197" i="546"/>
  <c r="T198" i="546"/>
  <c r="T196" i="546"/>
  <c r="T219" i="546"/>
  <c r="T130" i="546"/>
  <c r="T164" i="546" s="1"/>
  <c r="B54" i="546"/>
  <c r="J7" i="173"/>
  <c r="J53" i="173" s="1"/>
  <c r="I15" i="371"/>
  <c r="H51" i="371"/>
  <c r="H72" i="371" s="1"/>
  <c r="E62" i="219"/>
  <c r="E80" i="219" s="1"/>
  <c r="E100" i="219"/>
  <c r="F66" i="219"/>
  <c r="J77" i="546"/>
  <c r="J166" i="546"/>
  <c r="J165" i="546"/>
  <c r="I53" i="173"/>
  <c r="G45" i="219"/>
  <c r="J96" i="371"/>
  <c r="E61" i="371"/>
  <c r="E65" i="371" s="1"/>
  <c r="E78" i="371" s="1"/>
  <c r="E79" i="371" s="1"/>
  <c r="E81" i="371" s="1"/>
  <c r="J94" i="371"/>
  <c r="G36" i="764"/>
  <c r="G50" i="764" s="1"/>
  <c r="J60" i="371"/>
  <c r="I29" i="173"/>
  <c r="J29" i="173" s="1"/>
  <c r="K29" i="173" s="1"/>
  <c r="G34" i="173"/>
  <c r="D83" i="371"/>
  <c r="D84" i="371" s="1"/>
  <c r="D85" i="371" s="1"/>
  <c r="H68" i="173"/>
  <c r="G38" i="764"/>
  <c r="G51" i="764" s="1"/>
  <c r="G35" i="764"/>
  <c r="G34" i="764"/>
  <c r="G55" i="173"/>
  <c r="D65" i="371"/>
  <c r="D78" i="371" s="1"/>
  <c r="E62" i="18"/>
  <c r="E80" i="18" s="1"/>
  <c r="I90" i="546"/>
  <c r="E100" i="18"/>
  <c r="E101" i="371"/>
  <c r="H103" i="63"/>
  <c r="H105" i="63"/>
  <c r="F46" i="18"/>
  <c r="F67" i="18" s="1"/>
  <c r="H49" i="63"/>
  <c r="H70" i="63" s="1"/>
  <c r="I13" i="63"/>
  <c r="I18" i="371"/>
  <c r="H54" i="371"/>
  <c r="H75" i="371" s="1"/>
  <c r="G69" i="63"/>
  <c r="H48" i="63"/>
  <c r="H69" i="63" s="1"/>
  <c r="I12" i="63"/>
  <c r="F15" i="17"/>
  <c r="F19" i="17" s="1"/>
  <c r="F21" i="17" s="1"/>
  <c r="F24" i="17" s="1"/>
  <c r="G5" i="17"/>
  <c r="I17" i="371"/>
  <c r="H53" i="371"/>
  <c r="H74" i="371" s="1"/>
  <c r="H8" i="419"/>
  <c r="G96" i="419"/>
  <c r="F46" i="219"/>
  <c r="F67" i="219" s="1"/>
  <c r="E61" i="18"/>
  <c r="K20" i="371"/>
  <c r="J59" i="371"/>
  <c r="G49" i="219"/>
  <c r="G70" i="219" s="1"/>
  <c r="H13" i="219"/>
  <c r="K29" i="546"/>
  <c r="K228" i="546" s="1"/>
  <c r="M35" i="764"/>
  <c r="N9" i="764"/>
  <c r="G52" i="173"/>
  <c r="H37" i="173"/>
  <c r="H69" i="173"/>
  <c r="I10" i="173"/>
  <c r="D61" i="63"/>
  <c r="D83" i="63" s="1"/>
  <c r="D84" i="63" s="1"/>
  <c r="D85" i="63" s="1"/>
  <c r="D86" i="63" s="1"/>
  <c r="D87" i="63" s="1"/>
  <c r="K10" i="546"/>
  <c r="K181" i="546" s="1"/>
  <c r="I121" i="546"/>
  <c r="K29" i="764"/>
  <c r="J42" i="764"/>
  <c r="F71" i="419"/>
  <c r="H50" i="371"/>
  <c r="I14" i="371"/>
  <c r="H4" i="18"/>
  <c r="H45" i="18" s="1"/>
  <c r="G102" i="18"/>
  <c r="G104" i="18"/>
  <c r="G105" i="18"/>
  <c r="G103" i="18"/>
  <c r="G52" i="419"/>
  <c r="G73" i="419" s="1"/>
  <c r="H15" i="419"/>
  <c r="H3" i="419"/>
  <c r="H54" i="419" s="1"/>
  <c r="H75" i="419" s="1"/>
  <c r="G51" i="419"/>
  <c r="G47" i="419"/>
  <c r="G49" i="419"/>
  <c r="G94" i="419"/>
  <c r="G55" i="419"/>
  <c r="G76" i="419" s="1"/>
  <c r="G60" i="419"/>
  <c r="G50" i="419"/>
  <c r="G71" i="419" s="1"/>
  <c r="G48" i="419"/>
  <c r="G69" i="419" s="1"/>
  <c r="G53" i="419"/>
  <c r="G74" i="419" s="1"/>
  <c r="H17" i="63"/>
  <c r="G53" i="63"/>
  <c r="G74" i="63" s="1"/>
  <c r="G103" i="371"/>
  <c r="G44" i="371"/>
  <c r="G104" i="371"/>
  <c r="G102" i="371"/>
  <c r="G105" i="371"/>
  <c r="G45" i="371"/>
  <c r="H4" i="371"/>
  <c r="G56" i="371"/>
  <c r="G57" i="371"/>
  <c r="G77" i="371" s="1"/>
  <c r="J54" i="63"/>
  <c r="K18" i="63"/>
  <c r="G52" i="371"/>
  <c r="G73" i="371" s="1"/>
  <c r="H16" i="371"/>
  <c r="G82" i="18"/>
  <c r="G92" i="18"/>
  <c r="G45" i="18"/>
  <c r="I4" i="63"/>
  <c r="J15" i="219"/>
  <c r="I51" i="219"/>
  <c r="J5" i="764"/>
  <c r="K47" i="371"/>
  <c r="K68" i="371" s="1"/>
  <c r="L11" i="371"/>
  <c r="G102" i="219"/>
  <c r="H4" i="219"/>
  <c r="G103" i="219"/>
  <c r="G105" i="219"/>
  <c r="G104" i="219"/>
  <c r="I17" i="419"/>
  <c r="H23" i="63"/>
  <c r="G62" i="63"/>
  <c r="G80" i="63" s="1"/>
  <c r="G82" i="63"/>
  <c r="G92" i="63"/>
  <c r="G58" i="63"/>
  <c r="G66" i="63"/>
  <c r="J13" i="419"/>
  <c r="G44" i="18"/>
  <c r="G46" i="63"/>
  <c r="G67" i="63" s="1"/>
  <c r="G59" i="219"/>
  <c r="H20" i="219"/>
  <c r="J92" i="371"/>
  <c r="J82" i="371"/>
  <c r="M94" i="63"/>
  <c r="N9" i="63"/>
  <c r="M52" i="63"/>
  <c r="M60" i="63"/>
  <c r="M96" i="63"/>
  <c r="L82" i="63"/>
  <c r="L92" i="63"/>
  <c r="H12" i="371"/>
  <c r="G48" i="371"/>
  <c r="G69" i="371" s="1"/>
  <c r="F58" i="18"/>
  <c r="F61" i="18" s="1"/>
  <c r="F66" i="18"/>
  <c r="F82" i="419"/>
  <c r="F92" i="419"/>
  <c r="I11" i="63"/>
  <c r="H47" i="63"/>
  <c r="G59" i="419"/>
  <c r="H20" i="63"/>
  <c r="G59" i="63"/>
  <c r="H52" i="63"/>
  <c r="H94" i="63"/>
  <c r="H96" i="63"/>
  <c r="I9" i="63"/>
  <c r="H100" i="63"/>
  <c r="H45" i="63"/>
  <c r="H44" i="63"/>
  <c r="H101" i="63"/>
  <c r="H60" i="63"/>
  <c r="H54" i="63"/>
  <c r="E57" i="63"/>
  <c r="E56" i="63"/>
  <c r="E76" i="63"/>
  <c r="A29" i="499"/>
  <c r="N3" i="371"/>
  <c r="G50" i="63"/>
  <c r="G71" i="63" s="1"/>
  <c r="H14" i="63"/>
  <c r="K94" i="371"/>
  <c r="L9" i="371"/>
  <c r="K60" i="371"/>
  <c r="K55" i="371"/>
  <c r="K96" i="371"/>
  <c r="H13" i="371"/>
  <c r="G49" i="371"/>
  <c r="H11" i="219"/>
  <c r="G47" i="219"/>
  <c r="F74" i="63"/>
  <c r="F58" i="371"/>
  <c r="F61" i="371" s="1"/>
  <c r="F66" i="371"/>
  <c r="F100" i="371"/>
  <c r="F62" i="371"/>
  <c r="F80" i="371" s="1"/>
  <c r="I20" i="419"/>
  <c r="G75" i="63"/>
  <c r="H94" i="18"/>
  <c r="H96" i="18"/>
  <c r="I9" i="18"/>
  <c r="H60" i="18"/>
  <c r="G5" i="63"/>
  <c r="F55" i="63"/>
  <c r="G47" i="18"/>
  <c r="G68" i="18" s="1"/>
  <c r="H11" i="18"/>
  <c r="I99" i="546"/>
  <c r="D65" i="18"/>
  <c r="D78" i="18" s="1"/>
  <c r="D79" i="18" s="1"/>
  <c r="E61" i="219"/>
  <c r="D80" i="18"/>
  <c r="D88" i="18"/>
  <c r="D83" i="18"/>
  <c r="D84" i="18" s="1"/>
  <c r="D85" i="18" s="1"/>
  <c r="D86" i="18" s="1"/>
  <c r="D87" i="18" s="1"/>
  <c r="D83" i="219"/>
  <c r="D84" i="219" s="1"/>
  <c r="D85" i="219" s="1"/>
  <c r="I98" i="546"/>
  <c r="H91" i="546"/>
  <c r="G220" i="546"/>
  <c r="I100" i="546"/>
  <c r="J125" i="546"/>
  <c r="L15" i="546"/>
  <c r="H107" i="546"/>
  <c r="L21" i="546"/>
  <c r="F69" i="18"/>
  <c r="F75" i="18"/>
  <c r="G71" i="219"/>
  <c r="G76" i="18"/>
  <c r="G57" i="18"/>
  <c r="G56" i="18"/>
  <c r="K11" i="419"/>
  <c r="D80" i="219"/>
  <c r="G69" i="219"/>
  <c r="E101" i="18"/>
  <c r="I18" i="219"/>
  <c r="H54" i="219"/>
  <c r="I15" i="18"/>
  <c r="H51" i="18"/>
  <c r="H72" i="18" s="1"/>
  <c r="G70" i="18"/>
  <c r="G57" i="764"/>
  <c r="G67" i="764"/>
  <c r="E101" i="219"/>
  <c r="A30" i="577"/>
  <c r="D88" i="219"/>
  <c r="D101" i="219"/>
  <c r="H53" i="18"/>
  <c r="H74" i="18" s="1"/>
  <c r="I17" i="18"/>
  <c r="I13" i="18"/>
  <c r="H49" i="18"/>
  <c r="H70" i="18" s="1"/>
  <c r="I103" i="546"/>
  <c r="A58" i="577"/>
  <c r="G82" i="219"/>
  <c r="G92" i="219"/>
  <c r="I9" i="219"/>
  <c r="H44" i="219"/>
  <c r="H60" i="219"/>
  <c r="H94" i="219"/>
  <c r="H45" i="219"/>
  <c r="H96" i="219"/>
  <c r="H53" i="219"/>
  <c r="G58" i="219"/>
  <c r="G66" i="219"/>
  <c r="G50" i="18"/>
  <c r="G71" i="18" s="1"/>
  <c r="H14" i="18"/>
  <c r="G75" i="219"/>
  <c r="G72" i="18"/>
  <c r="R77" i="546"/>
  <c r="I16" i="219"/>
  <c r="H52" i="219"/>
  <c r="L4" i="546"/>
  <c r="K134" i="546"/>
  <c r="H71" i="764"/>
  <c r="H39" i="764"/>
  <c r="I8" i="764"/>
  <c r="A25" i="717"/>
  <c r="G52" i="18"/>
  <c r="H16" i="18"/>
  <c r="G74" i="18"/>
  <c r="F76" i="219"/>
  <c r="F57" i="219"/>
  <c r="F56" i="219"/>
  <c r="L19" i="546"/>
  <c r="F71" i="18"/>
  <c r="G55" i="219"/>
  <c r="H5" i="219"/>
  <c r="E67" i="63"/>
  <c r="N38" i="764"/>
  <c r="O11" i="764"/>
  <c r="I15" i="63"/>
  <c r="H51" i="63"/>
  <c r="H72" i="63" s="1"/>
  <c r="G48" i="18"/>
  <c r="H12" i="18"/>
  <c r="K19" i="63"/>
  <c r="J73" i="63"/>
  <c r="I102" i="63"/>
  <c r="I103" i="63"/>
  <c r="I104" i="63"/>
  <c r="I105" i="63"/>
  <c r="G54" i="18"/>
  <c r="G75" i="18" s="1"/>
  <c r="H18" i="18"/>
  <c r="I14" i="219"/>
  <c r="H50" i="219"/>
  <c r="H71" i="219" s="1"/>
  <c r="I5" i="18"/>
  <c r="H55" i="18"/>
  <c r="K23" i="546"/>
  <c r="K182" i="546" s="1"/>
  <c r="H59" i="18"/>
  <c r="I20" i="18"/>
  <c r="D65" i="219"/>
  <c r="F73" i="18"/>
  <c r="F100" i="18"/>
  <c r="F62" i="18"/>
  <c r="F80" i="18" s="1"/>
  <c r="I12" i="219"/>
  <c r="H48" i="219"/>
  <c r="H69" i="219" s="1"/>
  <c r="C62" i="717"/>
  <c r="D62" i="717"/>
  <c r="E44" i="717"/>
  <c r="L17" i="546" l="1"/>
  <c r="AE195" i="546"/>
  <c r="AE181" i="546"/>
  <c r="AE67" i="546"/>
  <c r="J169" i="546"/>
  <c r="W67" i="546"/>
  <c r="W181" i="546"/>
  <c r="K173" i="546"/>
  <c r="E54" i="173"/>
  <c r="W165" i="546"/>
  <c r="K131" i="546"/>
  <c r="K192" i="546"/>
  <c r="K193" i="546"/>
  <c r="K194" i="546"/>
  <c r="K195" i="546"/>
  <c r="K236" i="546"/>
  <c r="K171" i="546"/>
  <c r="K172" i="546"/>
  <c r="K179" i="546"/>
  <c r="K53" i="546"/>
  <c r="K67" i="546"/>
  <c r="K214" i="546" s="1"/>
  <c r="W68" i="546"/>
  <c r="W184" i="546" s="1"/>
  <c r="V185" i="546"/>
  <c r="F48" i="173"/>
  <c r="G49" i="764"/>
  <c r="J55" i="764"/>
  <c r="E59" i="764"/>
  <c r="E60" i="764" s="1"/>
  <c r="I69" i="764"/>
  <c r="I54" i="764"/>
  <c r="G48" i="764"/>
  <c r="G37" i="764"/>
  <c r="G52" i="764" s="1"/>
  <c r="F75" i="764"/>
  <c r="F76" i="764"/>
  <c r="E63" i="764"/>
  <c r="Q63" i="764" s="1"/>
  <c r="F40" i="764"/>
  <c r="F53" i="764" s="1"/>
  <c r="F73" i="173"/>
  <c r="I67" i="173"/>
  <c r="I65" i="173" s="1"/>
  <c r="F51" i="173"/>
  <c r="F61" i="173"/>
  <c r="G38" i="173"/>
  <c r="G36" i="173"/>
  <c r="G73" i="173" s="1"/>
  <c r="F49" i="173"/>
  <c r="F74" i="173" s="1"/>
  <c r="V169" i="546"/>
  <c r="I88" i="546" a="1"/>
  <c r="I88" i="546" s="1"/>
  <c r="I129" i="546" s="1"/>
  <c r="J211" i="546"/>
  <c r="L20" i="546"/>
  <c r="K180" i="546"/>
  <c r="K216" i="546" a="1"/>
  <c r="K216" i="546" s="1"/>
  <c r="K168" i="546"/>
  <c r="K174" i="546"/>
  <c r="K178" i="546"/>
  <c r="K167" i="546"/>
  <c r="K177" i="546"/>
  <c r="K175" i="546"/>
  <c r="K139" i="546"/>
  <c r="K217" i="546"/>
  <c r="K176" i="546"/>
  <c r="T144" i="546"/>
  <c r="T146" i="546"/>
  <c r="T147" i="546"/>
  <c r="J215" i="546"/>
  <c r="J185" i="546"/>
  <c r="Y21" i="546"/>
  <c r="J98" i="546"/>
  <c r="J210" i="546"/>
  <c r="Y19" i="546"/>
  <c r="J96" i="546"/>
  <c r="J208" i="546"/>
  <c r="H109" i="546"/>
  <c r="H130" i="546" s="1" a="1"/>
  <c r="H130" i="546" s="1"/>
  <c r="H164" i="546" s="1"/>
  <c r="J202" i="546"/>
  <c r="Y4" i="546"/>
  <c r="Y53" i="546" s="1"/>
  <c r="H140" i="546"/>
  <c r="H221" i="546"/>
  <c r="H70" i="546"/>
  <c r="H219" i="546" s="1"/>
  <c r="V55" i="546"/>
  <c r="V203" i="546" s="1"/>
  <c r="G219" i="546"/>
  <c r="H145" i="546"/>
  <c r="I142" i="546"/>
  <c r="I143" i="546" s="1"/>
  <c r="H196" i="546"/>
  <c r="H197" i="546"/>
  <c r="H198" i="546"/>
  <c r="U88" i="546"/>
  <c r="U140" i="546" s="1"/>
  <c r="U141" i="546" s="1"/>
  <c r="G141" i="546"/>
  <c r="K123" i="546"/>
  <c r="I91" i="546"/>
  <c r="K132" i="546"/>
  <c r="I34" i="173"/>
  <c r="I6" i="764"/>
  <c r="E65" i="219"/>
  <c r="E78" i="219" s="1"/>
  <c r="E79" i="219" s="1"/>
  <c r="E81" i="219" s="1"/>
  <c r="J55" i="546"/>
  <c r="J91" i="546" s="1"/>
  <c r="W132" i="546"/>
  <c r="V215" i="546"/>
  <c r="V103" i="546"/>
  <c r="W77" i="546"/>
  <c r="W194" i="546"/>
  <c r="K133" i="546"/>
  <c r="W56" i="546"/>
  <c r="W204" i="546" s="1"/>
  <c r="W134" i="546"/>
  <c r="W166" i="546"/>
  <c r="W131" i="546"/>
  <c r="X12" i="546"/>
  <c r="J71" i="546"/>
  <c r="J100" i="546"/>
  <c r="J43" i="173"/>
  <c r="K7" i="173"/>
  <c r="L7" i="173" s="1"/>
  <c r="T117" i="546"/>
  <c r="X6" i="546"/>
  <c r="W133" i="546"/>
  <c r="W195" i="546"/>
  <c r="Y15" i="546"/>
  <c r="M12" i="546"/>
  <c r="U203" i="546"/>
  <c r="U91" i="546"/>
  <c r="U130" i="546" s="1"/>
  <c r="U164" i="546" s="1"/>
  <c r="U70" i="546"/>
  <c r="U129" i="546"/>
  <c r="U163" i="546" s="1"/>
  <c r="U142" i="546"/>
  <c r="U143" i="546" s="1"/>
  <c r="U145" i="546" s="1"/>
  <c r="K57" i="546"/>
  <c r="K205" i="546" s="1"/>
  <c r="X14" i="546"/>
  <c r="L14" i="546"/>
  <c r="Y13" i="546"/>
  <c r="L22" i="546"/>
  <c r="X22" i="546"/>
  <c r="K58" i="546"/>
  <c r="L16" i="546"/>
  <c r="L173" i="546" s="1"/>
  <c r="K59" i="546"/>
  <c r="K207" i="546" s="1"/>
  <c r="X16" i="546"/>
  <c r="X23" i="546"/>
  <c r="X182" i="546" s="1"/>
  <c r="K68" i="546"/>
  <c r="K184" i="546" s="1"/>
  <c r="AE194" i="546"/>
  <c r="AE77" i="546"/>
  <c r="AE80" i="546"/>
  <c r="Z13" i="546"/>
  <c r="K56" i="546"/>
  <c r="K204" i="546" s="1"/>
  <c r="K61" i="546"/>
  <c r="K209" i="546" s="1"/>
  <c r="K65" i="546"/>
  <c r="K62" i="546"/>
  <c r="K210" i="546" s="1"/>
  <c r="K63" i="546"/>
  <c r="K66" i="546"/>
  <c r="K213" i="546" s="1"/>
  <c r="K69" i="546"/>
  <c r="K54" i="546"/>
  <c r="K60" i="546"/>
  <c r="K208" i="546" s="1"/>
  <c r="K64" i="546"/>
  <c r="L51" i="546"/>
  <c r="X51" i="546"/>
  <c r="L50" i="546"/>
  <c r="X50" i="546"/>
  <c r="L49" i="546"/>
  <c r="X49" i="546"/>
  <c r="M30" i="546"/>
  <c r="X30" i="546"/>
  <c r="X29" i="546"/>
  <c r="X228" i="546" s="1"/>
  <c r="W215" i="546"/>
  <c r="W185" i="546"/>
  <c r="W103" i="546"/>
  <c r="Y20" i="546"/>
  <c r="M20" i="546"/>
  <c r="X18" i="546"/>
  <c r="L18" i="546"/>
  <c r="M17" i="546"/>
  <c r="Y17" i="546"/>
  <c r="B55" i="546"/>
  <c r="D168" i="546"/>
  <c r="L10" i="546"/>
  <c r="L181" i="546" s="1"/>
  <c r="H70" i="764"/>
  <c r="H75" i="219"/>
  <c r="H46" i="63"/>
  <c r="H44" i="18"/>
  <c r="H66" i="18" s="1"/>
  <c r="J15" i="371"/>
  <c r="I51" i="371"/>
  <c r="I72" i="371" s="1"/>
  <c r="H34" i="173"/>
  <c r="E65" i="18"/>
  <c r="E78" i="18" s="1"/>
  <c r="E88" i="18"/>
  <c r="E83" i="18"/>
  <c r="E84" i="18" s="1"/>
  <c r="E88" i="371"/>
  <c r="H36" i="764"/>
  <c r="H50" i="764" s="1"/>
  <c r="J92" i="546"/>
  <c r="L6" i="546"/>
  <c r="K77" i="546"/>
  <c r="K165" i="546"/>
  <c r="K166" i="546"/>
  <c r="E83" i="371"/>
  <c r="E84" i="371" s="1"/>
  <c r="E85" i="371" s="1"/>
  <c r="I43" i="173"/>
  <c r="H35" i="764"/>
  <c r="H38" i="764"/>
  <c r="H51" i="764" s="1"/>
  <c r="H34" i="764"/>
  <c r="D88" i="63"/>
  <c r="J94" i="546"/>
  <c r="L20" i="371"/>
  <c r="K59" i="371"/>
  <c r="J17" i="371"/>
  <c r="I53" i="371"/>
  <c r="I74" i="371" s="1"/>
  <c r="I54" i="371"/>
  <c r="I75" i="371" s="1"/>
  <c r="J18" i="371"/>
  <c r="G15" i="17"/>
  <c r="G19" i="17" s="1"/>
  <c r="G21" i="17" s="1"/>
  <c r="G24" i="17" s="1"/>
  <c r="H5" i="17"/>
  <c r="H59" i="419"/>
  <c r="H49" i="219"/>
  <c r="H70" i="219" s="1"/>
  <c r="I13" i="219"/>
  <c r="I48" i="63"/>
  <c r="J12" i="63"/>
  <c r="J13" i="63"/>
  <c r="I49" i="63"/>
  <c r="I70" i="63" s="1"/>
  <c r="I8" i="419"/>
  <c r="H96" i="419"/>
  <c r="J95" i="546"/>
  <c r="O9" i="764"/>
  <c r="N35" i="764"/>
  <c r="I37" i="173"/>
  <c r="I68" i="173"/>
  <c r="F52" i="173"/>
  <c r="I69" i="173"/>
  <c r="J10" i="173"/>
  <c r="H52" i="173"/>
  <c r="H65" i="173"/>
  <c r="H55" i="173"/>
  <c r="E61" i="63"/>
  <c r="E83" i="63" s="1"/>
  <c r="E84" i="63" s="1"/>
  <c r="E85" i="63" s="1"/>
  <c r="E83" i="219"/>
  <c r="E84" i="219" s="1"/>
  <c r="E85" i="219" s="1"/>
  <c r="E86" i="219" s="1"/>
  <c r="E87" i="219" s="1"/>
  <c r="F83" i="371"/>
  <c r="F84" i="371" s="1"/>
  <c r="F85" i="371" s="1"/>
  <c r="F86" i="371" s="1"/>
  <c r="F87" i="371" s="1"/>
  <c r="D65" i="63"/>
  <c r="D78" i="63" s="1"/>
  <c r="D79" i="63" s="1"/>
  <c r="D81" i="63" s="1"/>
  <c r="D90" i="63" s="1"/>
  <c r="D91" i="63" s="1"/>
  <c r="D93" i="63" s="1"/>
  <c r="D97" i="18"/>
  <c r="F65" i="371"/>
  <c r="F78" i="371" s="1"/>
  <c r="F79" i="371" s="1"/>
  <c r="F88" i="371"/>
  <c r="J93" i="546"/>
  <c r="F56" i="173"/>
  <c r="F57" i="173" s="1"/>
  <c r="F58" i="173" s="1"/>
  <c r="F59" i="173" s="1"/>
  <c r="F60" i="173" s="1"/>
  <c r="G55" i="63"/>
  <c r="H5" i="63"/>
  <c r="I94" i="18"/>
  <c r="J9" i="18"/>
  <c r="I60" i="18"/>
  <c r="I96" i="18"/>
  <c r="J20" i="419"/>
  <c r="F101" i="371"/>
  <c r="H73" i="63"/>
  <c r="H68" i="63"/>
  <c r="H48" i="371"/>
  <c r="I12" i="371"/>
  <c r="G58" i="18"/>
  <c r="G66" i="18"/>
  <c r="I23" i="63"/>
  <c r="J23" i="63" s="1"/>
  <c r="K23" i="63" s="1"/>
  <c r="L23" i="63" s="1"/>
  <c r="H62" i="63"/>
  <c r="L47" i="371"/>
  <c r="L68" i="371" s="1"/>
  <c r="M11" i="371"/>
  <c r="J4" i="63"/>
  <c r="H52" i="371"/>
  <c r="I16" i="371"/>
  <c r="G68" i="419"/>
  <c r="I11" i="18"/>
  <c r="H47" i="18"/>
  <c r="H68" i="18" s="1"/>
  <c r="G68" i="219"/>
  <c r="G70" i="371"/>
  <c r="K76" i="371"/>
  <c r="M9" i="371"/>
  <c r="L60" i="371"/>
  <c r="L55" i="371"/>
  <c r="L76" i="371" s="1"/>
  <c r="L94" i="371"/>
  <c r="I100" i="63"/>
  <c r="I62" i="63"/>
  <c r="I80" i="63" s="1"/>
  <c r="I94" i="63"/>
  <c r="I101" i="63"/>
  <c r="I44" i="63"/>
  <c r="I45" i="63"/>
  <c r="I96" i="63"/>
  <c r="I60" i="63"/>
  <c r="I52" i="63"/>
  <c r="I73" i="63" s="1"/>
  <c r="I54" i="63"/>
  <c r="J11" i="63"/>
  <c r="I47" i="63"/>
  <c r="I68" i="63" s="1"/>
  <c r="N60" i="63"/>
  <c r="N96" i="63"/>
  <c r="N52" i="63"/>
  <c r="N94" i="63"/>
  <c r="O9" i="63"/>
  <c r="H59" i="219"/>
  <c r="I20" i="219"/>
  <c r="K13" i="419"/>
  <c r="J17" i="419"/>
  <c r="K5" i="764"/>
  <c r="G46" i="371"/>
  <c r="G72" i="419"/>
  <c r="G46" i="18"/>
  <c r="G67" i="18" s="1"/>
  <c r="H102" i="18"/>
  <c r="H103" i="18"/>
  <c r="H104" i="18"/>
  <c r="H105" i="18"/>
  <c r="I4" i="18"/>
  <c r="L29" i="764"/>
  <c r="K42" i="764"/>
  <c r="H82" i="18"/>
  <c r="H92" i="18"/>
  <c r="H47" i="219"/>
  <c r="H68" i="219" s="1"/>
  <c r="I11" i="219"/>
  <c r="I13" i="371"/>
  <c r="H49" i="371"/>
  <c r="H70" i="371" s="1"/>
  <c r="K82" i="371"/>
  <c r="K92" i="371"/>
  <c r="O3" i="371"/>
  <c r="H58" i="63"/>
  <c r="H66" i="63"/>
  <c r="I20" i="63"/>
  <c r="H59" i="63"/>
  <c r="M82" i="63"/>
  <c r="M92" i="63"/>
  <c r="H102" i="219"/>
  <c r="H103" i="219"/>
  <c r="H105" i="219"/>
  <c r="I4" i="219"/>
  <c r="H104" i="219"/>
  <c r="I72" i="219"/>
  <c r="L18" i="63"/>
  <c r="K54" i="63"/>
  <c r="H105" i="371"/>
  <c r="H104" i="371"/>
  <c r="H44" i="371"/>
  <c r="H102" i="371"/>
  <c r="I4" i="371"/>
  <c r="H45" i="371"/>
  <c r="H103" i="371"/>
  <c r="H57" i="371"/>
  <c r="H56" i="371"/>
  <c r="I17" i="63"/>
  <c r="H53" i="63"/>
  <c r="G92" i="419"/>
  <c r="G82" i="419"/>
  <c r="I3" i="419"/>
  <c r="I59" i="419" s="1"/>
  <c r="H60" i="419"/>
  <c r="H49" i="419"/>
  <c r="H70" i="419" s="1"/>
  <c r="H51" i="419"/>
  <c r="H72" i="419" s="1"/>
  <c r="H94" i="419"/>
  <c r="H55" i="419"/>
  <c r="H76" i="419" s="1"/>
  <c r="H53" i="419"/>
  <c r="H74" i="419" s="1"/>
  <c r="H47" i="419"/>
  <c r="H68" i="419" s="1"/>
  <c r="H48" i="419"/>
  <c r="H69" i="419" s="1"/>
  <c r="H50" i="419"/>
  <c r="H71" i="419" s="1"/>
  <c r="I50" i="371"/>
  <c r="I71" i="371" s="1"/>
  <c r="J14" i="371"/>
  <c r="I46" i="63"/>
  <c r="I67" i="63" s="1"/>
  <c r="F76" i="63"/>
  <c r="F56" i="63"/>
  <c r="F57" i="63"/>
  <c r="F77" i="63" s="1"/>
  <c r="H50" i="63"/>
  <c r="H71" i="63" s="1"/>
  <c r="I14" i="63"/>
  <c r="A30" i="499"/>
  <c r="E77" i="63"/>
  <c r="H75" i="63"/>
  <c r="H82" i="63"/>
  <c r="H92" i="63"/>
  <c r="G46" i="219"/>
  <c r="K15" i="219"/>
  <c r="J51" i="219"/>
  <c r="J72" i="219" s="1"/>
  <c r="G66" i="371"/>
  <c r="G101" i="371" s="1"/>
  <c r="G58" i="371"/>
  <c r="G62" i="371"/>
  <c r="G80" i="371" s="1"/>
  <c r="G100" i="371"/>
  <c r="G70" i="419"/>
  <c r="I15" i="419"/>
  <c r="H52" i="419"/>
  <c r="H73" i="419" s="1"/>
  <c r="H71" i="371"/>
  <c r="E88" i="219"/>
  <c r="F100" i="219"/>
  <c r="D81" i="18"/>
  <c r="D98" i="18" s="1"/>
  <c r="F83" i="18"/>
  <c r="F84" i="18" s="1"/>
  <c r="F85" i="18" s="1"/>
  <c r="F65" i="18"/>
  <c r="F78" i="18" s="1"/>
  <c r="F79" i="18" s="1"/>
  <c r="J90" i="546"/>
  <c r="J97" i="546"/>
  <c r="J102" i="546"/>
  <c r="J99" i="546"/>
  <c r="J111" i="546"/>
  <c r="J121" i="546"/>
  <c r="J101" i="546"/>
  <c r="K125" i="546"/>
  <c r="M15" i="546"/>
  <c r="M29" i="546"/>
  <c r="N13" i="546"/>
  <c r="I107" i="546"/>
  <c r="D86" i="219"/>
  <c r="D87" i="219" s="1"/>
  <c r="D97" i="219" s="1"/>
  <c r="D86" i="371"/>
  <c r="D87" i="371" s="1"/>
  <c r="J103" i="546"/>
  <c r="J5" i="18"/>
  <c r="I55" i="18"/>
  <c r="H54" i="18"/>
  <c r="H75" i="18" s="1"/>
  <c r="I18" i="18"/>
  <c r="L19" i="63"/>
  <c r="K73" i="63"/>
  <c r="I51" i="63"/>
  <c r="I72" i="63" s="1"/>
  <c r="J15" i="63"/>
  <c r="H55" i="219"/>
  <c r="I5" i="219"/>
  <c r="H52" i="18"/>
  <c r="I16" i="18"/>
  <c r="H50" i="18"/>
  <c r="I14" i="18"/>
  <c r="H82" i="219"/>
  <c r="H92" i="219"/>
  <c r="D79" i="371"/>
  <c r="D81" i="371" s="1"/>
  <c r="M21" i="546"/>
  <c r="H48" i="18"/>
  <c r="I12" i="18"/>
  <c r="P11" i="764"/>
  <c r="P38" i="764" s="1"/>
  <c r="O38" i="764"/>
  <c r="G76" i="219"/>
  <c r="G56" i="219"/>
  <c r="G57" i="219"/>
  <c r="G77" i="219" s="1"/>
  <c r="M19" i="546"/>
  <c r="G100" i="18"/>
  <c r="G62" i="18"/>
  <c r="G80" i="18" s="1"/>
  <c r="G73" i="18"/>
  <c r="A26" i="717"/>
  <c r="F88" i="18"/>
  <c r="H67" i="63"/>
  <c r="I34" i="764"/>
  <c r="I71" i="764"/>
  <c r="J8" i="764"/>
  <c r="I39" i="764"/>
  <c r="H73" i="219"/>
  <c r="J17" i="18"/>
  <c r="I53" i="18"/>
  <c r="F61" i="219"/>
  <c r="J15" i="18"/>
  <c r="I51" i="18"/>
  <c r="G77" i="18"/>
  <c r="L23" i="546"/>
  <c r="L182" i="546" s="1"/>
  <c r="D78" i="219"/>
  <c r="I50" i="219"/>
  <c r="I71" i="219" s="1"/>
  <c r="J14" i="219"/>
  <c r="G69" i="18"/>
  <c r="J16" i="219"/>
  <c r="I52" i="219"/>
  <c r="I73" i="219" s="1"/>
  <c r="H58" i="219"/>
  <c r="H66" i="219"/>
  <c r="A59" i="577"/>
  <c r="J13" i="18"/>
  <c r="I49" i="18"/>
  <c r="I70" i="18" s="1"/>
  <c r="E98" i="371"/>
  <c r="E90" i="371"/>
  <c r="F62" i="219"/>
  <c r="F101" i="18"/>
  <c r="J12" i="219"/>
  <c r="I48" i="219"/>
  <c r="I69" i="219" s="1"/>
  <c r="J20" i="18"/>
  <c r="I59" i="18"/>
  <c r="H76" i="18"/>
  <c r="H56" i="18"/>
  <c r="H57" i="18"/>
  <c r="H77" i="18" s="1"/>
  <c r="F77" i="219"/>
  <c r="H57" i="764"/>
  <c r="H67" i="764"/>
  <c r="L133" i="546"/>
  <c r="L134" i="546"/>
  <c r="M4" i="546"/>
  <c r="H74" i="219"/>
  <c r="I94" i="219"/>
  <c r="J9" i="219"/>
  <c r="I53" i="219"/>
  <c r="I74" i="219" s="1"/>
  <c r="I44" i="219"/>
  <c r="I45" i="219"/>
  <c r="I60" i="219"/>
  <c r="I96" i="219"/>
  <c r="A31" i="577"/>
  <c r="I54" i="219"/>
  <c r="J18" i="219"/>
  <c r="L29" i="173"/>
  <c r="K43" i="173"/>
  <c r="L11" i="419"/>
  <c r="C30" i="895"/>
  <c r="W169" i="546" l="1"/>
  <c r="X195" i="546"/>
  <c r="X181" i="546"/>
  <c r="X67" i="546"/>
  <c r="L192" i="546"/>
  <c r="L193" i="546"/>
  <c r="L194" i="546"/>
  <c r="L195" i="546"/>
  <c r="L236" i="546"/>
  <c r="L171" i="546"/>
  <c r="L172" i="546"/>
  <c r="T148" i="546"/>
  <c r="L217" i="546"/>
  <c r="L53" i="546"/>
  <c r="L67" i="546"/>
  <c r="B30" i="895"/>
  <c r="E97" i="219"/>
  <c r="H147" i="546"/>
  <c r="G48" i="173"/>
  <c r="F63" i="764"/>
  <c r="H49" i="764"/>
  <c r="F58" i="764"/>
  <c r="F59" i="764" s="1"/>
  <c r="F60" i="764" s="1"/>
  <c r="F61" i="764" s="1"/>
  <c r="F62" i="764" s="1"/>
  <c r="F47" i="764"/>
  <c r="K55" i="764"/>
  <c r="G76" i="764"/>
  <c r="G75" i="764"/>
  <c r="F56" i="764"/>
  <c r="H48" i="764"/>
  <c r="H37" i="764"/>
  <c r="H52" i="764" s="1"/>
  <c r="J69" i="764"/>
  <c r="J54" i="764"/>
  <c r="I48" i="764"/>
  <c r="E73" i="764"/>
  <c r="E65" i="764"/>
  <c r="E66" i="764" s="1"/>
  <c r="E68" i="764" s="1"/>
  <c r="G40" i="764"/>
  <c r="E61" i="764"/>
  <c r="E62" i="764" s="1"/>
  <c r="J67" i="173"/>
  <c r="G49" i="173"/>
  <c r="G50" i="173"/>
  <c r="G51" i="173"/>
  <c r="G61" i="173"/>
  <c r="H38" i="173"/>
  <c r="H36" i="173"/>
  <c r="H73" i="173" s="1"/>
  <c r="I38" i="173"/>
  <c r="I36" i="173"/>
  <c r="K169" i="546"/>
  <c r="J88" i="546" a="1"/>
  <c r="J88" i="546" s="1"/>
  <c r="J70" i="546" s="1"/>
  <c r="J219" i="546" s="1"/>
  <c r="K211" i="546"/>
  <c r="V91" i="546"/>
  <c r="L216" i="546" a="1"/>
  <c r="L216" i="546" s="1"/>
  <c r="L180" i="546"/>
  <c r="L178" i="546"/>
  <c r="L175" i="546"/>
  <c r="L139" i="546"/>
  <c r="L179" i="546"/>
  <c r="L177" i="546"/>
  <c r="L168" i="546"/>
  <c r="L176" i="546"/>
  <c r="L167" i="546"/>
  <c r="L174" i="546"/>
  <c r="K185" i="546"/>
  <c r="K215" i="546"/>
  <c r="Z21" i="546"/>
  <c r="K100" i="546"/>
  <c r="K212" i="546"/>
  <c r="Z19" i="546"/>
  <c r="K94" i="546"/>
  <c r="K206" i="546"/>
  <c r="U146" i="546"/>
  <c r="J203" i="546"/>
  <c r="I221" i="546"/>
  <c r="I140" i="546"/>
  <c r="I141" i="546" s="1"/>
  <c r="H141" i="546"/>
  <c r="H146" i="546"/>
  <c r="Z4" i="546"/>
  <c r="Z53" i="546" s="1"/>
  <c r="K202" i="546"/>
  <c r="J142" i="546"/>
  <c r="J143" i="546" s="1"/>
  <c r="I145" i="546"/>
  <c r="I70" i="546"/>
  <c r="I219" i="546" s="1"/>
  <c r="U109" i="546"/>
  <c r="U83" i="546"/>
  <c r="U82" i="546"/>
  <c r="U81" i="546"/>
  <c r="L123" i="546"/>
  <c r="K55" i="546"/>
  <c r="K142" i="546" s="1"/>
  <c r="K143" i="546" s="1"/>
  <c r="L132" i="546"/>
  <c r="J34" i="173"/>
  <c r="J6" i="764"/>
  <c r="J34" i="764" s="1"/>
  <c r="W92" i="546"/>
  <c r="K53" i="173"/>
  <c r="X68" i="546"/>
  <c r="X185" i="546" s="1"/>
  <c r="X194" i="546"/>
  <c r="X80" i="546"/>
  <c r="X133" i="546"/>
  <c r="X131" i="546"/>
  <c r="X132" i="546"/>
  <c r="X56" i="546"/>
  <c r="X204" i="546" s="1"/>
  <c r="X77" i="546"/>
  <c r="X165" i="546"/>
  <c r="X134" i="546"/>
  <c r="X166" i="546"/>
  <c r="W55" i="546"/>
  <c r="W203" i="546" s="1"/>
  <c r="Y12" i="546"/>
  <c r="K71" i="546"/>
  <c r="H58" i="18"/>
  <c r="H61" i="18" s="1"/>
  <c r="U147" i="546"/>
  <c r="L56" i="546"/>
  <c r="L204" i="546" s="1"/>
  <c r="U144" i="546"/>
  <c r="Y23" i="546"/>
  <c r="Y182" i="546" s="1"/>
  <c r="L68" i="546"/>
  <c r="L184" i="546" s="1"/>
  <c r="N30" i="546"/>
  <c r="Z30" i="546"/>
  <c r="M22" i="546"/>
  <c r="Y22" i="546"/>
  <c r="U197" i="546"/>
  <c r="U198" i="546"/>
  <c r="U196" i="546"/>
  <c r="Z29" i="546"/>
  <c r="Z228" i="546" s="1"/>
  <c r="M16" i="546"/>
  <c r="L59" i="546"/>
  <c r="L207" i="546" s="1"/>
  <c r="Y16" i="546"/>
  <c r="U219" i="546"/>
  <c r="AA13" i="546"/>
  <c r="Z15" i="546"/>
  <c r="L131" i="546"/>
  <c r="Y6" i="546"/>
  <c r="Y14" i="546"/>
  <c r="L57" i="546"/>
  <c r="L205" i="546" s="1"/>
  <c r="M14" i="546"/>
  <c r="L58" i="546"/>
  <c r="L206" i="546" s="1"/>
  <c r="N12" i="546"/>
  <c r="L54" i="546"/>
  <c r="L60" i="546"/>
  <c r="L208" i="546" s="1"/>
  <c r="L64" i="546"/>
  <c r="L214" i="546"/>
  <c r="L61" i="546"/>
  <c r="L209" i="546" s="1"/>
  <c r="L65" i="546"/>
  <c r="L62" i="546"/>
  <c r="L66" i="546"/>
  <c r="L213" i="546" s="1"/>
  <c r="L69" i="546"/>
  <c r="L63" i="546"/>
  <c r="M51" i="546"/>
  <c r="Y51" i="546"/>
  <c r="M50" i="546"/>
  <c r="Y50" i="546"/>
  <c r="M49" i="546"/>
  <c r="Y49" i="546"/>
  <c r="Z20" i="546"/>
  <c r="N20" i="546"/>
  <c r="Y18" i="546"/>
  <c r="M18" i="546"/>
  <c r="N17" i="546"/>
  <c r="Z17" i="546"/>
  <c r="B56" i="546"/>
  <c r="D169" i="546"/>
  <c r="I70" i="764"/>
  <c r="G56" i="173"/>
  <c r="G57" i="173" s="1"/>
  <c r="G58" i="173" s="1"/>
  <c r="G59" i="173" s="1"/>
  <c r="G60" i="173" s="1"/>
  <c r="E85" i="18"/>
  <c r="E86" i="18" s="1"/>
  <c r="E87" i="18" s="1"/>
  <c r="E97" i="18" s="1"/>
  <c r="K15" i="371"/>
  <c r="J51" i="371"/>
  <c r="J72" i="371" s="1"/>
  <c r="M6" i="546"/>
  <c r="L77" i="546"/>
  <c r="L165" i="546"/>
  <c r="L166" i="546"/>
  <c r="K92" i="546"/>
  <c r="L53" i="173"/>
  <c r="I38" i="764"/>
  <c r="I51" i="764" s="1"/>
  <c r="I35" i="764"/>
  <c r="I36" i="764"/>
  <c r="I50" i="764" s="1"/>
  <c r="F61" i="63"/>
  <c r="F83" i="63" s="1"/>
  <c r="F84" i="63" s="1"/>
  <c r="F85" i="63" s="1"/>
  <c r="F86" i="63" s="1"/>
  <c r="F87" i="63" s="1"/>
  <c r="F81" i="371"/>
  <c r="F98" i="371" s="1"/>
  <c r="E65" i="63"/>
  <c r="E78" i="63" s="1"/>
  <c r="E79" i="63" s="1"/>
  <c r="E88" i="63"/>
  <c r="D98" i="63"/>
  <c r="I75" i="63"/>
  <c r="I69" i="63"/>
  <c r="I5" i="17"/>
  <c r="H15" i="17"/>
  <c r="H19" i="17" s="1"/>
  <c r="H21" i="17" s="1"/>
  <c r="H24" i="17" s="1"/>
  <c r="G61" i="18"/>
  <c r="G65" i="18" s="1"/>
  <c r="G78" i="18" s="1"/>
  <c r="G79" i="18" s="1"/>
  <c r="G81" i="18" s="1"/>
  <c r="J8" i="419"/>
  <c r="I96" i="419"/>
  <c r="J13" i="219"/>
  <c r="I49" i="219"/>
  <c r="I70" i="219" s="1"/>
  <c r="K17" i="371"/>
  <c r="J53" i="371"/>
  <c r="J74" i="371" s="1"/>
  <c r="K13" i="63"/>
  <c r="J49" i="63"/>
  <c r="K18" i="371"/>
  <c r="J54" i="371"/>
  <c r="J75" i="371" s="1"/>
  <c r="G61" i="371"/>
  <c r="G65" i="371" s="1"/>
  <c r="G78" i="371" s="1"/>
  <c r="F54" i="173"/>
  <c r="F71" i="173" s="1"/>
  <c r="J48" i="63"/>
  <c r="J69" i="63" s="1"/>
  <c r="K12" i="63"/>
  <c r="M20" i="371"/>
  <c r="L59" i="371"/>
  <c r="K95" i="546"/>
  <c r="P9" i="764"/>
  <c r="P35" i="764" s="1"/>
  <c r="O35" i="764"/>
  <c r="J68" i="173"/>
  <c r="J69" i="173"/>
  <c r="F70" i="173"/>
  <c r="J55" i="173"/>
  <c r="J37" i="173"/>
  <c r="I52" i="173"/>
  <c r="I55" i="173"/>
  <c r="K10" i="173"/>
  <c r="M7" i="173"/>
  <c r="D97" i="63"/>
  <c r="D90" i="18"/>
  <c r="D91" i="18" s="1"/>
  <c r="D93" i="18" s="1"/>
  <c r="F97" i="371"/>
  <c r="M10" i="546"/>
  <c r="M181" i="546" s="1"/>
  <c r="K93" i="546"/>
  <c r="K96" i="546"/>
  <c r="J15" i="419"/>
  <c r="I52" i="419"/>
  <c r="I73" i="419" s="1"/>
  <c r="J17" i="63"/>
  <c r="I53" i="63"/>
  <c r="I74" i="63" s="1"/>
  <c r="N92" i="63"/>
  <c r="N82" i="63"/>
  <c r="M96" i="371"/>
  <c r="M60" i="371"/>
  <c r="N9" i="371"/>
  <c r="M94" i="371"/>
  <c r="M55" i="371"/>
  <c r="M76" i="371" s="1"/>
  <c r="J11" i="18"/>
  <c r="I47" i="18"/>
  <c r="I68" i="18" s="1"/>
  <c r="K20" i="419"/>
  <c r="H55" i="63"/>
  <c r="I5" i="63"/>
  <c r="A31" i="499"/>
  <c r="H62" i="371"/>
  <c r="I103" i="371"/>
  <c r="J4" i="371"/>
  <c r="I104" i="371"/>
  <c r="I102" i="371"/>
  <c r="I105" i="371"/>
  <c r="I44" i="371"/>
  <c r="I57" i="371"/>
  <c r="I77" i="371" s="1"/>
  <c r="I45" i="371"/>
  <c r="I56" i="371"/>
  <c r="H46" i="219"/>
  <c r="H67" i="219" s="1"/>
  <c r="J13" i="371"/>
  <c r="I49" i="371"/>
  <c r="I70" i="371" s="1"/>
  <c r="J11" i="219"/>
  <c r="I47" i="219"/>
  <c r="I68" i="219" s="1"/>
  <c r="L42" i="764"/>
  <c r="M29" i="764"/>
  <c r="J4" i="18"/>
  <c r="J45" i="18" s="1"/>
  <c r="I102" i="18"/>
  <c r="I105" i="18"/>
  <c r="I104" i="18"/>
  <c r="I103" i="18"/>
  <c r="H46" i="18"/>
  <c r="H67" i="18" s="1"/>
  <c r="G67" i="371"/>
  <c r="L5" i="764"/>
  <c r="J20" i="219"/>
  <c r="I59" i="219"/>
  <c r="I82" i="63"/>
  <c r="I92" i="63"/>
  <c r="L92" i="371"/>
  <c r="L82" i="371"/>
  <c r="H80" i="63"/>
  <c r="G76" i="63"/>
  <c r="G56" i="63"/>
  <c r="G57" i="63"/>
  <c r="H82" i="419"/>
  <c r="H92" i="419"/>
  <c r="I49" i="419"/>
  <c r="I70" i="419" s="1"/>
  <c r="I47" i="419"/>
  <c r="I68" i="419" s="1"/>
  <c r="I51" i="419"/>
  <c r="I72" i="419" s="1"/>
  <c r="J3" i="419"/>
  <c r="I60" i="419"/>
  <c r="I53" i="419"/>
  <c r="I55" i="419"/>
  <c r="I76" i="419" s="1"/>
  <c r="I94" i="419"/>
  <c r="I48" i="419"/>
  <c r="I69" i="419" s="1"/>
  <c r="I50" i="419"/>
  <c r="I71" i="419" s="1"/>
  <c r="H77" i="371"/>
  <c r="H46" i="371"/>
  <c r="I105" i="219"/>
  <c r="J4" i="219"/>
  <c r="J44" i="219" s="1"/>
  <c r="I102" i="219"/>
  <c r="I103" i="219"/>
  <c r="I104" i="219"/>
  <c r="I54" i="419"/>
  <c r="I75" i="419" s="1"/>
  <c r="O96" i="63"/>
  <c r="P96" i="63" s="1"/>
  <c r="O60" i="63"/>
  <c r="P60" i="63" s="1"/>
  <c r="O52" i="63"/>
  <c r="P52" i="63" s="1"/>
  <c r="O94" i="63"/>
  <c r="P94" i="63" s="1"/>
  <c r="J47" i="63"/>
  <c r="K11" i="63"/>
  <c r="J16" i="371"/>
  <c r="I52" i="371"/>
  <c r="I73" i="371" s="1"/>
  <c r="J103" i="63"/>
  <c r="J44" i="63"/>
  <c r="J104" i="63"/>
  <c r="J102" i="63"/>
  <c r="J45" i="63"/>
  <c r="K4" i="63"/>
  <c r="J105" i="63"/>
  <c r="I48" i="371"/>
  <c r="I69" i="371" s="1"/>
  <c r="J12" i="371"/>
  <c r="I45" i="18"/>
  <c r="J94" i="18"/>
  <c r="J60" i="18"/>
  <c r="J96" i="18"/>
  <c r="K9" i="18"/>
  <c r="J44" i="18"/>
  <c r="K51" i="219"/>
  <c r="K72" i="219" s="1"/>
  <c r="L15" i="219"/>
  <c r="G67" i="219"/>
  <c r="I50" i="63"/>
  <c r="I71" i="63" s="1"/>
  <c r="J14" i="63"/>
  <c r="K14" i="371"/>
  <c r="J50" i="371"/>
  <c r="J71" i="371" s="1"/>
  <c r="H74" i="63"/>
  <c r="H58" i="371"/>
  <c r="H66" i="371"/>
  <c r="H100" i="371"/>
  <c r="M18" i="63"/>
  <c r="L54" i="63"/>
  <c r="I59" i="63"/>
  <c r="J20" i="63"/>
  <c r="K17" i="419"/>
  <c r="L13" i="419"/>
  <c r="I58" i="63"/>
  <c r="I66" i="63"/>
  <c r="H73" i="371"/>
  <c r="N11" i="371"/>
  <c r="M47" i="371"/>
  <c r="M68" i="371" s="1"/>
  <c r="H69" i="371"/>
  <c r="I44" i="18"/>
  <c r="I92" i="18"/>
  <c r="I82" i="18"/>
  <c r="G101" i="219"/>
  <c r="F83" i="219"/>
  <c r="F84" i="219" s="1"/>
  <c r="F85" i="219" s="1"/>
  <c r="G61" i="219"/>
  <c r="G100" i="219"/>
  <c r="G62" i="219"/>
  <c r="G80" i="219" s="1"/>
  <c r="K98" i="546"/>
  <c r="K111" i="546"/>
  <c r="K121" i="546"/>
  <c r="K97" i="546"/>
  <c r="K90" i="546"/>
  <c r="L125" i="546"/>
  <c r="K101" i="546"/>
  <c r="K102" i="546"/>
  <c r="K99" i="546"/>
  <c r="N29" i="546"/>
  <c r="N15" i="546"/>
  <c r="O13" i="546"/>
  <c r="J107" i="546"/>
  <c r="E86" i="371"/>
  <c r="E87" i="371" s="1"/>
  <c r="E97" i="371" s="1"/>
  <c r="F86" i="18"/>
  <c r="F87" i="18" s="1"/>
  <c r="F97" i="18" s="1"/>
  <c r="E98" i="219"/>
  <c r="E90" i="219"/>
  <c r="M23" i="546"/>
  <c r="M182" i="546" s="1"/>
  <c r="I72" i="18"/>
  <c r="D98" i="371"/>
  <c r="D90" i="371"/>
  <c r="J18" i="18"/>
  <c r="I54" i="18"/>
  <c r="D97" i="371"/>
  <c r="F80" i="219"/>
  <c r="E91" i="371"/>
  <c r="E93" i="371" s="1"/>
  <c r="K13" i="18"/>
  <c r="J49" i="18"/>
  <c r="M11" i="419"/>
  <c r="L43" i="173"/>
  <c r="M29" i="173"/>
  <c r="J94" i="219"/>
  <c r="J96" i="219"/>
  <c r="J60" i="219"/>
  <c r="J53" i="219"/>
  <c r="J74" i="219" s="1"/>
  <c r="K9" i="219"/>
  <c r="K20" i="18"/>
  <c r="J59" i="18"/>
  <c r="D79" i="219"/>
  <c r="D81" i="219" s="1"/>
  <c r="J51" i="18"/>
  <c r="J72" i="18" s="1"/>
  <c r="K15" i="18"/>
  <c r="I74" i="18"/>
  <c r="I67" i="764"/>
  <c r="I57" i="764"/>
  <c r="A27" i="717"/>
  <c r="I50" i="18"/>
  <c r="I71" i="18" s="1"/>
  <c r="J14" i="18"/>
  <c r="J16" i="18"/>
  <c r="I52" i="18"/>
  <c r="J5" i="219"/>
  <c r="I55" i="219"/>
  <c r="K18" i="219"/>
  <c r="J54" i="219"/>
  <c r="I66" i="219"/>
  <c r="I58" i="219"/>
  <c r="I82" i="219"/>
  <c r="I92" i="219"/>
  <c r="A60" i="577"/>
  <c r="F101" i="219"/>
  <c r="K17" i="18"/>
  <c r="J53" i="18"/>
  <c r="J74" i="18" s="1"/>
  <c r="K8" i="764"/>
  <c r="J71" i="764"/>
  <c r="J39" i="764"/>
  <c r="N19" i="546"/>
  <c r="E86" i="63"/>
  <c r="E87" i="63" s="1"/>
  <c r="I48" i="18"/>
  <c r="J12" i="18"/>
  <c r="F81" i="18"/>
  <c r="H71" i="18"/>
  <c r="H73" i="18"/>
  <c r="H62" i="18"/>
  <c r="H100" i="18"/>
  <c r="H76" i="219"/>
  <c r="H56" i="219"/>
  <c r="H57" i="219"/>
  <c r="I76" i="18"/>
  <c r="I56" i="18"/>
  <c r="I57" i="18"/>
  <c r="I77" i="18" s="1"/>
  <c r="F88" i="219"/>
  <c r="I75" i="219"/>
  <c r="A32" i="577"/>
  <c r="M134" i="546"/>
  <c r="N4" i="546"/>
  <c r="J48" i="219"/>
  <c r="J69" i="219" s="1"/>
  <c r="K12" i="219"/>
  <c r="J52" i="219"/>
  <c r="J73" i="219" s="1"/>
  <c r="K16" i="219"/>
  <c r="K14" i="219"/>
  <c r="J50" i="219"/>
  <c r="J71" i="219" s="1"/>
  <c r="K103" i="546"/>
  <c r="E79" i="18"/>
  <c r="E81" i="18" s="1"/>
  <c r="F65" i="219"/>
  <c r="G101" i="18"/>
  <c r="H69" i="18"/>
  <c r="N21" i="546"/>
  <c r="K15" i="63"/>
  <c r="J51" i="63"/>
  <c r="M19" i="63"/>
  <c r="L73" i="63"/>
  <c r="K5" i="18"/>
  <c r="J55" i="18"/>
  <c r="C35" i="895"/>
  <c r="C38" i="895"/>
  <c r="T105" i="546" l="1"/>
  <c r="T106" i="546"/>
  <c r="T110" i="546" s="1"/>
  <c r="T127" i="546" s="1"/>
  <c r="J129" i="546"/>
  <c r="J163" i="546" s="1"/>
  <c r="Y195" i="546"/>
  <c r="Y181" i="546"/>
  <c r="Y67" i="546"/>
  <c r="I48" i="173"/>
  <c r="L169" i="546"/>
  <c r="M192" i="546"/>
  <c r="M193" i="546"/>
  <c r="M194" i="546"/>
  <c r="M195" i="546"/>
  <c r="M236" i="546"/>
  <c r="M171" i="546"/>
  <c r="M173" i="546"/>
  <c r="M172" i="546"/>
  <c r="U148" i="546"/>
  <c r="M177" i="546"/>
  <c r="M53" i="546"/>
  <c r="M67" i="546"/>
  <c r="H48" i="173"/>
  <c r="F72" i="764"/>
  <c r="G47" i="764"/>
  <c r="G53" i="764"/>
  <c r="G56" i="764" s="1"/>
  <c r="I49" i="764"/>
  <c r="G58" i="764"/>
  <c r="G59" i="764" s="1"/>
  <c r="G60" i="764" s="1"/>
  <c r="L55" i="764"/>
  <c r="H56" i="173"/>
  <c r="H57" i="173" s="1"/>
  <c r="H58" i="173" s="1"/>
  <c r="H59" i="173" s="1"/>
  <c r="H60" i="173" s="1"/>
  <c r="G63" i="764"/>
  <c r="J48" i="764"/>
  <c r="F73" i="764"/>
  <c r="F65" i="764"/>
  <c r="F66" i="764" s="1"/>
  <c r="F68" i="764" s="1"/>
  <c r="I37" i="764"/>
  <c r="I52" i="764" s="1"/>
  <c r="I76" i="764" s="1"/>
  <c r="H75" i="764"/>
  <c r="H76" i="764"/>
  <c r="K69" i="764"/>
  <c r="K54" i="764"/>
  <c r="H40" i="764"/>
  <c r="G54" i="173"/>
  <c r="G71" i="173" s="1"/>
  <c r="G74" i="173"/>
  <c r="I49" i="173"/>
  <c r="I50" i="173"/>
  <c r="I73" i="173"/>
  <c r="I51" i="173"/>
  <c r="H49" i="173"/>
  <c r="H50" i="173"/>
  <c r="H51" i="173"/>
  <c r="K67" i="173"/>
  <c r="K55" i="173" s="1"/>
  <c r="J38" i="173"/>
  <c r="J36" i="173"/>
  <c r="K88" i="546" a="1"/>
  <c r="K88" i="546" s="1"/>
  <c r="K129" i="546" s="1"/>
  <c r="L211" i="546"/>
  <c r="M175" i="546"/>
  <c r="M168" i="546"/>
  <c r="M167" i="546"/>
  <c r="M139" i="546"/>
  <c r="M178" i="546"/>
  <c r="M217" i="546"/>
  <c r="M216" i="546" a="1"/>
  <c r="M216" i="546" s="1"/>
  <c r="M180" i="546"/>
  <c r="M179" i="546"/>
  <c r="M176" i="546"/>
  <c r="M174" i="546"/>
  <c r="L185" i="546"/>
  <c r="L215" i="546"/>
  <c r="L100" i="546"/>
  <c r="L212" i="546"/>
  <c r="AA21" i="546"/>
  <c r="L98" i="546"/>
  <c r="L210" i="546"/>
  <c r="AA19" i="546"/>
  <c r="I146" i="546"/>
  <c r="U89" i="546"/>
  <c r="I147" i="546"/>
  <c r="K145" i="546"/>
  <c r="J221" i="546"/>
  <c r="J140" i="546"/>
  <c r="J145" i="546"/>
  <c r="K91" i="546"/>
  <c r="K203" i="546"/>
  <c r="H148" i="546"/>
  <c r="H144" i="546"/>
  <c r="AA4" i="546"/>
  <c r="AA53" i="546" s="1"/>
  <c r="L202" i="546"/>
  <c r="U117" i="546"/>
  <c r="U112" i="546"/>
  <c r="U113" i="546" s="1"/>
  <c r="U225" i="546" s="1"/>
  <c r="I144" i="546"/>
  <c r="X103" i="546"/>
  <c r="L55" i="546"/>
  <c r="L203" i="546" s="1"/>
  <c r="J109" i="546"/>
  <c r="J130" i="546" s="1" a="1"/>
  <c r="J130" i="546" s="1"/>
  <c r="J164" i="546" s="1"/>
  <c r="I163" i="546"/>
  <c r="I109" i="546"/>
  <c r="I130" i="546" s="1" a="1"/>
  <c r="I130" i="546" s="1"/>
  <c r="I164" i="546" s="1"/>
  <c r="X215" i="546"/>
  <c r="X184" i="546"/>
  <c r="K6" i="764"/>
  <c r="M123" i="546"/>
  <c r="X169" i="546"/>
  <c r="X55" i="546"/>
  <c r="X91" i="546" s="1"/>
  <c r="X92" i="546"/>
  <c r="Y68" i="546"/>
  <c r="Y185" i="546" s="1"/>
  <c r="L71" i="546"/>
  <c r="W91" i="546"/>
  <c r="Y134" i="546"/>
  <c r="Z12" i="546"/>
  <c r="G70" i="173"/>
  <c r="M58" i="546"/>
  <c r="Z23" i="546"/>
  <c r="Z182" i="546" s="1"/>
  <c r="M68" i="546"/>
  <c r="M184" i="546" s="1"/>
  <c r="O12" i="546"/>
  <c r="O166" i="546" s="1"/>
  <c r="Y166" i="546"/>
  <c r="Y194" i="546"/>
  <c r="Y77" i="546"/>
  <c r="Y165" i="546"/>
  <c r="Y80" i="546"/>
  <c r="Y131" i="546"/>
  <c r="Y133" i="546"/>
  <c r="Y132" i="546"/>
  <c r="Y56" i="546"/>
  <c r="N22" i="546"/>
  <c r="Z22" i="546"/>
  <c r="AB13" i="546"/>
  <c r="AB56" i="546" s="1"/>
  <c r="AB92" i="546" s="1"/>
  <c r="O56" i="546"/>
  <c r="O204" i="546" s="1"/>
  <c r="O30" i="546"/>
  <c r="AA30" i="546"/>
  <c r="AA15" i="546"/>
  <c r="Z14" i="546"/>
  <c r="M57" i="546"/>
  <c r="M205" i="546" s="1"/>
  <c r="N14" i="546"/>
  <c r="AA29" i="546"/>
  <c r="AA228" i="546" s="1"/>
  <c r="M131" i="546"/>
  <c r="Z6" i="546"/>
  <c r="M56" i="546"/>
  <c r="M204" i="546" s="1"/>
  <c r="N16" i="546"/>
  <c r="M59" i="546"/>
  <c r="M207" i="546" s="1"/>
  <c r="Z16" i="546"/>
  <c r="M54" i="546"/>
  <c r="M60" i="546"/>
  <c r="M64" i="546"/>
  <c r="M214" i="546"/>
  <c r="M61" i="546"/>
  <c r="M209" i="546" s="1"/>
  <c r="M65" i="546"/>
  <c r="M62" i="546"/>
  <c r="M210" i="546" s="1"/>
  <c r="M63" i="546"/>
  <c r="M66" i="546"/>
  <c r="M213" i="546" s="1"/>
  <c r="M69" i="546"/>
  <c r="N51" i="546"/>
  <c r="Z51" i="546"/>
  <c r="N50" i="546"/>
  <c r="Z50" i="546"/>
  <c r="N49" i="546"/>
  <c r="Z49" i="546"/>
  <c r="AA20" i="546"/>
  <c r="O20" i="546"/>
  <c r="Z18" i="546"/>
  <c r="N18" i="546"/>
  <c r="O17" i="546"/>
  <c r="AA17" i="546"/>
  <c r="M133" i="546"/>
  <c r="M132" i="546"/>
  <c r="B57" i="546"/>
  <c r="D170" i="546"/>
  <c r="H61" i="173"/>
  <c r="J70" i="764"/>
  <c r="L15" i="371"/>
  <c r="K51" i="371"/>
  <c r="K72" i="371" s="1"/>
  <c r="G88" i="18"/>
  <c r="G88" i="371"/>
  <c r="G83" i="371"/>
  <c r="G84" i="371" s="1"/>
  <c r="G85" i="371" s="1"/>
  <c r="G86" i="371" s="1"/>
  <c r="G87" i="371" s="1"/>
  <c r="G97" i="371" s="1"/>
  <c r="F90" i="371"/>
  <c r="F91" i="371" s="1"/>
  <c r="F93" i="371" s="1"/>
  <c r="L92" i="546"/>
  <c r="N6" i="546"/>
  <c r="N172" i="546" s="1"/>
  <c r="M77" i="546"/>
  <c r="M165" i="546"/>
  <c r="M166" i="546"/>
  <c r="M53" i="173"/>
  <c r="E72" i="764"/>
  <c r="J45" i="219"/>
  <c r="J75" i="219"/>
  <c r="F88" i="63"/>
  <c r="F65" i="63"/>
  <c r="F97" i="63" s="1"/>
  <c r="J36" i="764"/>
  <c r="J50" i="764" s="1"/>
  <c r="J38" i="764"/>
  <c r="J51" i="764" s="1"/>
  <c r="J35" i="764"/>
  <c r="E81" i="63"/>
  <c r="E90" i="63" s="1"/>
  <c r="E91" i="63" s="1"/>
  <c r="E93" i="63" s="1"/>
  <c r="H61" i="371"/>
  <c r="H88" i="371" s="1"/>
  <c r="G83" i="18"/>
  <c r="F63" i="173"/>
  <c r="F64" i="173" s="1"/>
  <c r="F66" i="173" s="1"/>
  <c r="L95" i="546"/>
  <c r="J65" i="173"/>
  <c r="K68" i="173"/>
  <c r="I56" i="173"/>
  <c r="I57" i="173" s="1"/>
  <c r="I58" i="173" s="1"/>
  <c r="I59" i="173" s="1"/>
  <c r="I60" i="173" s="1"/>
  <c r="I61" i="173"/>
  <c r="L10" i="173"/>
  <c r="J52" i="173"/>
  <c r="K69" i="173"/>
  <c r="K37" i="173"/>
  <c r="N7" i="173"/>
  <c r="G88" i="219"/>
  <c r="H83" i="18"/>
  <c r="H84" i="18" s="1"/>
  <c r="H85" i="18" s="1"/>
  <c r="H86" i="18" s="1"/>
  <c r="H87" i="18" s="1"/>
  <c r="L93" i="546"/>
  <c r="L94" i="546"/>
  <c r="N10" i="546"/>
  <c r="N181" i="546" s="1"/>
  <c r="L17" i="419"/>
  <c r="H101" i="371"/>
  <c r="K60" i="18"/>
  <c r="K96" i="18"/>
  <c r="L9" i="18"/>
  <c r="K94" i="18"/>
  <c r="K45" i="18"/>
  <c r="I74" i="419"/>
  <c r="J47" i="419"/>
  <c r="J68" i="419" s="1"/>
  <c r="K3" i="419"/>
  <c r="K59" i="419" s="1"/>
  <c r="J49" i="419"/>
  <c r="J70" i="419" s="1"/>
  <c r="J51" i="419"/>
  <c r="J55" i="419"/>
  <c r="J60" i="419"/>
  <c r="J53" i="419"/>
  <c r="J74" i="419" s="1"/>
  <c r="J94" i="419"/>
  <c r="J48" i="419"/>
  <c r="J69" i="419" s="1"/>
  <c r="J50" i="419"/>
  <c r="J71" i="419" s="1"/>
  <c r="J59" i="219"/>
  <c r="K20" i="219"/>
  <c r="J47" i="219"/>
  <c r="K11" i="219"/>
  <c r="I66" i="371"/>
  <c r="I100" i="371"/>
  <c r="I58" i="371"/>
  <c r="I62" i="371"/>
  <c r="I80" i="371" s="1"/>
  <c r="J105" i="371"/>
  <c r="K4" i="371"/>
  <c r="J104" i="371"/>
  <c r="J102" i="371"/>
  <c r="J56" i="371"/>
  <c r="J103" i="371"/>
  <c r="J57" i="371"/>
  <c r="J45" i="371"/>
  <c r="J44" i="371"/>
  <c r="J59" i="419"/>
  <c r="I58" i="18"/>
  <c r="I66" i="18"/>
  <c r="N18" i="63"/>
  <c r="M54" i="63"/>
  <c r="L14" i="371"/>
  <c r="K50" i="371"/>
  <c r="K71" i="371" s="1"/>
  <c r="K16" i="371"/>
  <c r="J52" i="371"/>
  <c r="J73" i="371" s="1"/>
  <c r="K47" i="63"/>
  <c r="K68" i="63" s="1"/>
  <c r="L11" i="63"/>
  <c r="I82" i="419"/>
  <c r="I92" i="419"/>
  <c r="G77" i="63"/>
  <c r="I46" i="18"/>
  <c r="I67" i="18" s="1"/>
  <c r="J5" i="63"/>
  <c r="I55" i="63"/>
  <c r="L20" i="419"/>
  <c r="K11" i="18"/>
  <c r="J47" i="18"/>
  <c r="J68" i="18" s="1"/>
  <c r="M82" i="371"/>
  <c r="M92" i="371"/>
  <c r="N47" i="371"/>
  <c r="N68" i="371" s="1"/>
  <c r="O11" i="371"/>
  <c r="O47" i="371" s="1"/>
  <c r="O68" i="371" s="1"/>
  <c r="M13" i="419"/>
  <c r="J59" i="63"/>
  <c r="K20" i="63"/>
  <c r="J75" i="63"/>
  <c r="J50" i="63"/>
  <c r="J71" i="63" s="1"/>
  <c r="K14" i="63"/>
  <c r="M15" i="219"/>
  <c r="L51" i="219"/>
  <c r="L72" i="219" s="1"/>
  <c r="J58" i="18"/>
  <c r="J66" i="18"/>
  <c r="K12" i="371"/>
  <c r="J48" i="371"/>
  <c r="L4" i="63"/>
  <c r="K45" i="63"/>
  <c r="K104" i="63"/>
  <c r="K44" i="63"/>
  <c r="K105" i="63"/>
  <c r="K102" i="63"/>
  <c r="K103" i="63"/>
  <c r="J58" i="63"/>
  <c r="J66" i="63"/>
  <c r="J68" i="63"/>
  <c r="I46" i="219"/>
  <c r="J103" i="18"/>
  <c r="J105" i="18"/>
  <c r="J104" i="18"/>
  <c r="J102" i="18"/>
  <c r="K4" i="18"/>
  <c r="K13" i="371"/>
  <c r="J49" i="371"/>
  <c r="I46" i="371"/>
  <c r="I67" i="371" s="1"/>
  <c r="H57" i="63"/>
  <c r="H77" i="63" s="1"/>
  <c r="H76" i="63"/>
  <c r="H56" i="63"/>
  <c r="J54" i="419"/>
  <c r="J82" i="18"/>
  <c r="J92" i="18"/>
  <c r="O92" i="63"/>
  <c r="P92" i="63" s="1"/>
  <c r="O82" i="63"/>
  <c r="P82" i="63" s="1"/>
  <c r="J103" i="219"/>
  <c r="J102" i="219"/>
  <c r="K4" i="219"/>
  <c r="K44" i="219" s="1"/>
  <c r="J104" i="219"/>
  <c r="J105" i="219"/>
  <c r="H67" i="371"/>
  <c r="M5" i="764"/>
  <c r="G79" i="371"/>
  <c r="G81" i="371" s="1"/>
  <c r="N29" i="764"/>
  <c r="M42" i="764"/>
  <c r="H80" i="371"/>
  <c r="A32" i="499"/>
  <c r="N60" i="371"/>
  <c r="N94" i="371"/>
  <c r="N96" i="371"/>
  <c r="O9" i="371"/>
  <c r="N55" i="371"/>
  <c r="N76" i="371" s="1"/>
  <c r="K17" i="63"/>
  <c r="J53" i="63"/>
  <c r="K15" i="419"/>
  <c r="J52" i="419"/>
  <c r="G65" i="219"/>
  <c r="G78" i="219" s="1"/>
  <c r="G83" i="219"/>
  <c r="G84" i="219" s="1"/>
  <c r="G85" i="219" s="1"/>
  <c r="L96" i="546"/>
  <c r="L121" i="546"/>
  <c r="L111" i="546"/>
  <c r="L101" i="546"/>
  <c r="L97" i="546"/>
  <c r="L90" i="546"/>
  <c r="M125" i="546"/>
  <c r="L99" i="546"/>
  <c r="L102" i="546"/>
  <c r="O15" i="546"/>
  <c r="O172" i="546" s="1"/>
  <c r="O29" i="546"/>
  <c r="P13" i="546"/>
  <c r="K107" i="546"/>
  <c r="G98" i="18"/>
  <c r="G90" i="18"/>
  <c r="L8" i="764"/>
  <c r="K71" i="764"/>
  <c r="K39" i="764"/>
  <c r="J72" i="63"/>
  <c r="H65" i="18"/>
  <c r="N134" i="546"/>
  <c r="N132" i="546"/>
  <c r="O4" i="546"/>
  <c r="N133" i="546"/>
  <c r="H77" i="219"/>
  <c r="H101" i="219" s="1"/>
  <c r="J48" i="18"/>
  <c r="K12" i="18"/>
  <c r="E97" i="63"/>
  <c r="J57" i="764"/>
  <c r="J67" i="764"/>
  <c r="A61" i="577"/>
  <c r="L15" i="18"/>
  <c r="K51" i="18"/>
  <c r="G84" i="18"/>
  <c r="G85" i="18" s="1"/>
  <c r="N11" i="419"/>
  <c r="I75" i="18"/>
  <c r="E91" i="219"/>
  <c r="E93" i="219" s="1"/>
  <c r="H80" i="18"/>
  <c r="L18" i="219"/>
  <c r="K54" i="219"/>
  <c r="J76" i="18"/>
  <c r="J56" i="18"/>
  <c r="J57" i="18"/>
  <c r="J77" i="18" s="1"/>
  <c r="F78" i="219"/>
  <c r="L5" i="18"/>
  <c r="K55" i="18"/>
  <c r="L15" i="63"/>
  <c r="K51" i="63"/>
  <c r="H88" i="18"/>
  <c r="L16" i="219"/>
  <c r="K52" i="219"/>
  <c r="K73" i="219" s="1"/>
  <c r="L12" i="219"/>
  <c r="K48" i="219"/>
  <c r="K69" i="219" s="1"/>
  <c r="H62" i="219"/>
  <c r="H100" i="219"/>
  <c r="H61" i="219"/>
  <c r="F90" i="18"/>
  <c r="F98" i="18"/>
  <c r="I69" i="18"/>
  <c r="O19" i="546"/>
  <c r="L17" i="18"/>
  <c r="K53" i="18"/>
  <c r="K74" i="18" s="1"/>
  <c r="J50" i="18"/>
  <c r="J71" i="18" s="1"/>
  <c r="K14" i="18"/>
  <c r="D98" i="219"/>
  <c r="D90" i="219"/>
  <c r="J92" i="219"/>
  <c r="J82" i="219"/>
  <c r="N29" i="173"/>
  <c r="M43" i="173"/>
  <c r="J70" i="18"/>
  <c r="K18" i="18"/>
  <c r="J54" i="18"/>
  <c r="J75" i="18" s="1"/>
  <c r="D91" i="371"/>
  <c r="E98" i="18"/>
  <c r="E90" i="18"/>
  <c r="J58" i="219"/>
  <c r="J66" i="219"/>
  <c r="L13" i="18"/>
  <c r="K49" i="18"/>
  <c r="K70" i="18" s="1"/>
  <c r="L103" i="546"/>
  <c r="F86" i="219"/>
  <c r="F87" i="219" s="1"/>
  <c r="F97" i="219" s="1"/>
  <c r="L14" i="219"/>
  <c r="K50" i="219"/>
  <c r="I76" i="219"/>
  <c r="I56" i="219"/>
  <c r="I57" i="219"/>
  <c r="I77" i="219" s="1"/>
  <c r="I73" i="18"/>
  <c r="I62" i="18"/>
  <c r="I80" i="18" s="1"/>
  <c r="I100" i="18"/>
  <c r="N19" i="63"/>
  <c r="M73" i="63"/>
  <c r="O21" i="546"/>
  <c r="A33" i="577"/>
  <c r="H101" i="18"/>
  <c r="J55" i="219"/>
  <c r="K5" i="219"/>
  <c r="K16" i="18"/>
  <c r="J52" i="18"/>
  <c r="A28" i="717"/>
  <c r="L20" i="18"/>
  <c r="K59" i="18"/>
  <c r="K96" i="219"/>
  <c r="K53" i="219"/>
  <c r="K94" i="219"/>
  <c r="L9" i="219"/>
  <c r="K60" i="219"/>
  <c r="N23" i="546"/>
  <c r="N182" i="546" s="1"/>
  <c r="B35" i="895"/>
  <c r="B38" i="895"/>
  <c r="C53" i="895"/>
  <c r="C46" i="895"/>
  <c r="C45" i="895"/>
  <c r="T119" i="546" l="1"/>
  <c r="T218" i="546"/>
  <c r="T120" i="546"/>
  <c r="T122" i="546" s="1"/>
  <c r="U105" i="546"/>
  <c r="U218" i="546" s="1"/>
  <c r="U106" i="546"/>
  <c r="H105" i="546"/>
  <c r="H106" i="546"/>
  <c r="G63" i="173"/>
  <c r="G64" i="173" s="1"/>
  <c r="G66" i="173" s="1"/>
  <c r="Z181" i="546"/>
  <c r="Z67" i="546"/>
  <c r="N173" i="546"/>
  <c r="H70" i="173"/>
  <c r="N192" i="546"/>
  <c r="N193" i="546"/>
  <c r="N194" i="546"/>
  <c r="N195" i="546"/>
  <c r="N236" i="546"/>
  <c r="N171" i="546"/>
  <c r="N167" i="546"/>
  <c r="N67" i="546"/>
  <c r="N214" i="546" s="1"/>
  <c r="N53" i="546"/>
  <c r="B53" i="895"/>
  <c r="B45" i="895"/>
  <c r="B46" i="895"/>
  <c r="L91" i="546"/>
  <c r="J48" i="173"/>
  <c r="H53" i="764"/>
  <c r="H56" i="764" s="1"/>
  <c r="H47" i="764"/>
  <c r="J49" i="764"/>
  <c r="H58" i="764"/>
  <c r="H59" i="764" s="1"/>
  <c r="H60" i="764" s="1"/>
  <c r="H61" i="764" s="1"/>
  <c r="H62" i="764" s="1"/>
  <c r="M55" i="764"/>
  <c r="I74" i="173"/>
  <c r="H63" i="764"/>
  <c r="I75" i="764"/>
  <c r="G73" i="764"/>
  <c r="G65" i="764"/>
  <c r="G66" i="764" s="1"/>
  <c r="G68" i="764" s="1"/>
  <c r="M51" i="764"/>
  <c r="M49" i="764"/>
  <c r="J37" i="764"/>
  <c r="J52" i="764" s="1"/>
  <c r="J76" i="764" s="1"/>
  <c r="L69" i="764"/>
  <c r="L54" i="764"/>
  <c r="I40" i="764"/>
  <c r="I47" i="764" s="1"/>
  <c r="H74" i="173"/>
  <c r="J49" i="173"/>
  <c r="J50" i="173"/>
  <c r="L67" i="173"/>
  <c r="L65" i="173" s="1"/>
  <c r="I54" i="173"/>
  <c r="I71" i="173" s="1"/>
  <c r="J73" i="173"/>
  <c r="J51" i="173"/>
  <c r="H54" i="173"/>
  <c r="H71" i="173" s="1"/>
  <c r="I148" i="546"/>
  <c r="M169" i="546"/>
  <c r="L88" i="546" a="1"/>
  <c r="L88" i="546" s="1"/>
  <c r="L70" i="546" s="1"/>
  <c r="M211" i="546"/>
  <c r="O165" i="546"/>
  <c r="O169" i="546" s="1"/>
  <c r="N175" i="546"/>
  <c r="N178" i="546"/>
  <c r="N179" i="546"/>
  <c r="N168" i="546"/>
  <c r="N216" i="546" a="1"/>
  <c r="N216" i="546" s="1"/>
  <c r="N180" i="546"/>
  <c r="N139" i="546"/>
  <c r="N176" i="546"/>
  <c r="N217" i="546"/>
  <c r="J147" i="546"/>
  <c r="N177" i="546"/>
  <c r="N174" i="546"/>
  <c r="M185" i="546"/>
  <c r="M215" i="546"/>
  <c r="AB21" i="546"/>
  <c r="M100" i="546"/>
  <c r="M212" i="546"/>
  <c r="AB19" i="546"/>
  <c r="M96" i="546"/>
  <c r="M208" i="546"/>
  <c r="M94" i="546"/>
  <c r="M206" i="546"/>
  <c r="K140" i="546"/>
  <c r="K147" i="546" s="1"/>
  <c r="K221" i="546"/>
  <c r="K70" i="546"/>
  <c r="L142" i="546"/>
  <c r="L143" i="546" s="1"/>
  <c r="J141" i="546"/>
  <c r="J144" i="546" s="1"/>
  <c r="J146" i="546"/>
  <c r="U114" i="546"/>
  <c r="U115" i="546" s="1"/>
  <c r="U116" i="546" s="1"/>
  <c r="U126" i="546" s="1"/>
  <c r="M202" i="546"/>
  <c r="I196" i="546"/>
  <c r="I197" i="546"/>
  <c r="I198" i="546"/>
  <c r="J197" i="546"/>
  <c r="J196" i="546"/>
  <c r="J198" i="546"/>
  <c r="J81" i="546"/>
  <c r="J82" i="546"/>
  <c r="J83" i="546"/>
  <c r="I81" i="546"/>
  <c r="I83" i="546"/>
  <c r="I82" i="546"/>
  <c r="AB4" i="546"/>
  <c r="AB53" i="546" s="1"/>
  <c r="AB204" i="546"/>
  <c r="N131" i="546"/>
  <c r="N55" i="546" s="1"/>
  <c r="N203" i="546" s="1"/>
  <c r="L6" i="764"/>
  <c r="X203" i="546"/>
  <c r="N123" i="546"/>
  <c r="Y215" i="546"/>
  <c r="Y184" i="546"/>
  <c r="Y103" i="546"/>
  <c r="Z68" i="546"/>
  <c r="Z103" i="546" s="1"/>
  <c r="Z134" i="546"/>
  <c r="AA12" i="546"/>
  <c r="M71" i="546"/>
  <c r="Y169" i="546"/>
  <c r="F78" i="63"/>
  <c r="F79" i="63" s="1"/>
  <c r="F81" i="63" s="1"/>
  <c r="F98" i="63" s="1"/>
  <c r="Z131" i="546"/>
  <c r="Z195" i="546"/>
  <c r="N58" i="546"/>
  <c r="Z132" i="546"/>
  <c r="O16" i="546"/>
  <c r="O173" i="546" s="1"/>
  <c r="AA16" i="546"/>
  <c r="N59" i="546"/>
  <c r="N207" i="546" s="1"/>
  <c r="O22" i="546"/>
  <c r="AA22" i="546"/>
  <c r="Y204" i="546"/>
  <c r="Y92" i="546"/>
  <c r="Z77" i="546"/>
  <c r="Z194" i="546"/>
  <c r="Z165" i="546"/>
  <c r="Z80" i="546"/>
  <c r="Z166" i="546"/>
  <c r="Z56" i="546"/>
  <c r="AA6" i="546"/>
  <c r="N56" i="546"/>
  <c r="N204" i="546" s="1"/>
  <c r="M55" i="546"/>
  <c r="M203" i="546" s="1"/>
  <c r="Y55" i="546"/>
  <c r="P12" i="546"/>
  <c r="P30" i="546"/>
  <c r="AB30" i="546"/>
  <c r="AC13" i="546"/>
  <c r="AC56" i="546" s="1"/>
  <c r="AC92" i="546" s="1"/>
  <c r="P56" i="546"/>
  <c r="P204" i="546" s="1"/>
  <c r="AA23" i="546"/>
  <c r="AA182" i="546" s="1"/>
  <c r="N68" i="546"/>
  <c r="N184" i="546" s="1"/>
  <c r="AB29" i="546"/>
  <c r="AB228" i="546" s="1"/>
  <c r="O58" i="546"/>
  <c r="O206" i="546" s="1"/>
  <c r="AB15" i="546"/>
  <c r="AA14" i="546"/>
  <c r="N57" i="546"/>
  <c r="N205" i="546" s="1"/>
  <c r="O14" i="546"/>
  <c r="O171" i="546" s="1"/>
  <c r="Z133" i="546"/>
  <c r="N63" i="546"/>
  <c r="N66" i="546"/>
  <c r="N213" i="546" s="1"/>
  <c r="N69" i="546"/>
  <c r="N54" i="546"/>
  <c r="N60" i="546"/>
  <c r="N208" i="546" s="1"/>
  <c r="N64" i="546"/>
  <c r="N212" i="546" s="1"/>
  <c r="N61" i="546"/>
  <c r="N209" i="546" s="1"/>
  <c r="N65" i="546"/>
  <c r="N62" i="546"/>
  <c r="N210" i="546" s="1"/>
  <c r="O51" i="546"/>
  <c r="AA51" i="546"/>
  <c r="O50" i="546"/>
  <c r="AA50" i="546"/>
  <c r="O49" i="546"/>
  <c r="AA49" i="546"/>
  <c r="AB20" i="546"/>
  <c r="P20" i="546"/>
  <c r="AA18" i="546"/>
  <c r="O18" i="546"/>
  <c r="P17" i="546"/>
  <c r="AB17" i="546"/>
  <c r="B58" i="546"/>
  <c r="D171" i="546"/>
  <c r="K70" i="764"/>
  <c r="K45" i="219"/>
  <c r="L51" i="371"/>
  <c r="L72" i="371" s="1"/>
  <c r="M15" i="371"/>
  <c r="H65" i="371"/>
  <c r="H78" i="371" s="1"/>
  <c r="H79" i="371" s="1"/>
  <c r="H81" i="371" s="1"/>
  <c r="H98" i="371" s="1"/>
  <c r="H83" i="371"/>
  <c r="H84" i="371" s="1"/>
  <c r="H85" i="371" s="1"/>
  <c r="H86" i="371" s="1"/>
  <c r="H87" i="371" s="1"/>
  <c r="J61" i="173"/>
  <c r="N85" i="546"/>
  <c r="AF80" i="546"/>
  <c r="N77" i="546"/>
  <c r="AF77" i="546" s="1"/>
  <c r="N165" i="546"/>
  <c r="N166" i="546"/>
  <c r="K36" i="764"/>
  <c r="K50" i="764" s="1"/>
  <c r="M92" i="546"/>
  <c r="N53" i="173"/>
  <c r="K34" i="764"/>
  <c r="J46" i="219"/>
  <c r="J67" i="219" s="1"/>
  <c r="K34" i="173"/>
  <c r="E98" i="63"/>
  <c r="K35" i="764"/>
  <c r="K38" i="764"/>
  <c r="K51" i="764" s="1"/>
  <c r="I61" i="18"/>
  <c r="I89" i="18" s="1"/>
  <c r="J46" i="18"/>
  <c r="J67" i="18" s="1"/>
  <c r="K46" i="63"/>
  <c r="K67" i="63" s="1"/>
  <c r="J70" i="63"/>
  <c r="L17" i="371"/>
  <c r="K53" i="371"/>
  <c r="K74" i="371" s="1"/>
  <c r="J5" i="17"/>
  <c r="I15" i="17"/>
  <c r="I19" i="17" s="1"/>
  <c r="I21" i="17" s="1"/>
  <c r="I24" i="17" s="1"/>
  <c r="K49" i="63"/>
  <c r="K70" i="63" s="1"/>
  <c r="L13" i="63"/>
  <c r="K48" i="63"/>
  <c r="K69" i="63" s="1"/>
  <c r="L12" i="63"/>
  <c r="K13" i="219"/>
  <c r="J49" i="219"/>
  <c r="J70" i="219" s="1"/>
  <c r="K8" i="419"/>
  <c r="J96" i="419"/>
  <c r="J46" i="63"/>
  <c r="J67" i="63" s="1"/>
  <c r="G61" i="63"/>
  <c r="N20" i="371"/>
  <c r="M59" i="371"/>
  <c r="L18" i="371"/>
  <c r="K54" i="371"/>
  <c r="K75" i="371" s="1"/>
  <c r="M95" i="546"/>
  <c r="L68" i="173"/>
  <c r="L37" i="173"/>
  <c r="M10" i="173"/>
  <c r="L69" i="173"/>
  <c r="I70" i="173"/>
  <c r="K65" i="173"/>
  <c r="J56" i="173"/>
  <c r="J57" i="173" s="1"/>
  <c r="J58" i="173" s="1"/>
  <c r="J59" i="173" s="1"/>
  <c r="J60" i="173" s="1"/>
  <c r="K52" i="173"/>
  <c r="O7" i="173"/>
  <c r="I101" i="18"/>
  <c r="H61" i="63"/>
  <c r="H65" i="63" s="1"/>
  <c r="H78" i="63" s="1"/>
  <c r="H79" i="63" s="1"/>
  <c r="H81" i="63" s="1"/>
  <c r="H90" i="63" s="1"/>
  <c r="L107" i="546"/>
  <c r="M93" i="546"/>
  <c r="O10" i="546"/>
  <c r="J73" i="419"/>
  <c r="J74" i="63"/>
  <c r="I67" i="219"/>
  <c r="K58" i="63"/>
  <c r="K66" i="63"/>
  <c r="J69" i="371"/>
  <c r="L20" i="63"/>
  <c r="K59" i="63"/>
  <c r="K75" i="63"/>
  <c r="K47" i="18"/>
  <c r="K68" i="18" s="1"/>
  <c r="L11" i="18"/>
  <c r="K5" i="63"/>
  <c r="J55" i="63"/>
  <c r="L16" i="371"/>
  <c r="K52" i="371"/>
  <c r="J77" i="371"/>
  <c r="I61" i="371"/>
  <c r="I83" i="371" s="1"/>
  <c r="I84" i="371" s="1"/>
  <c r="I85" i="371" s="1"/>
  <c r="I86" i="371" s="1"/>
  <c r="I87" i="371" s="1"/>
  <c r="K47" i="219"/>
  <c r="K68" i="219" s="1"/>
  <c r="L11" i="219"/>
  <c r="M17" i="419"/>
  <c r="K52" i="419"/>
  <c r="K73" i="419" s="1"/>
  <c r="L15" i="419"/>
  <c r="L17" i="63"/>
  <c r="K53" i="63"/>
  <c r="K74" i="63" s="1"/>
  <c r="A33" i="499"/>
  <c r="J75" i="419"/>
  <c r="J70" i="371"/>
  <c r="K48" i="371"/>
  <c r="K69" i="371" s="1"/>
  <c r="L12" i="371"/>
  <c r="P68" i="371"/>
  <c r="M20" i="419"/>
  <c r="M11" i="63"/>
  <c r="L47" i="63"/>
  <c r="M14" i="371"/>
  <c r="L50" i="371"/>
  <c r="L71" i="371" s="1"/>
  <c r="K102" i="371"/>
  <c r="K103" i="371"/>
  <c r="K104" i="371"/>
  <c r="K105" i="371"/>
  <c r="L4" i="371"/>
  <c r="K57" i="371"/>
  <c r="K77" i="371" s="1"/>
  <c r="K45" i="371"/>
  <c r="K44" i="371"/>
  <c r="K56" i="371"/>
  <c r="J68" i="219"/>
  <c r="J72" i="419"/>
  <c r="K92" i="18"/>
  <c r="K82" i="18"/>
  <c r="O96" i="371"/>
  <c r="P96" i="371" s="1"/>
  <c r="O94" i="371"/>
  <c r="O60" i="371"/>
  <c r="P60" i="371" s="1"/>
  <c r="O55" i="371"/>
  <c r="O76" i="371" s="1"/>
  <c r="P76" i="371" s="1"/>
  <c r="N42" i="764"/>
  <c r="O29" i="764"/>
  <c r="L13" i="371"/>
  <c r="K49" i="371"/>
  <c r="K70" i="371" s="1"/>
  <c r="M51" i="219"/>
  <c r="N15" i="219"/>
  <c r="N13" i="419"/>
  <c r="J66" i="371"/>
  <c r="J58" i="371"/>
  <c r="J62" i="371"/>
  <c r="J100" i="371"/>
  <c r="L20" i="219"/>
  <c r="K59" i="219"/>
  <c r="L96" i="18"/>
  <c r="M9" i="18"/>
  <c r="L94" i="18"/>
  <c r="L60" i="18"/>
  <c r="N92" i="371"/>
  <c r="N82" i="371"/>
  <c r="G90" i="371"/>
  <c r="G91" i="371" s="1"/>
  <c r="G93" i="371" s="1"/>
  <c r="G98" i="371"/>
  <c r="N5" i="764"/>
  <c r="K102" i="219"/>
  <c r="L4" i="219"/>
  <c r="K103" i="219"/>
  <c r="K105" i="219"/>
  <c r="K104" i="219"/>
  <c r="P47" i="371"/>
  <c r="L4" i="18"/>
  <c r="L45" i="18" s="1"/>
  <c r="K102" i="18"/>
  <c r="K104" i="18"/>
  <c r="K105" i="18"/>
  <c r="K103" i="18"/>
  <c r="M4" i="63"/>
  <c r="L102" i="63"/>
  <c r="L105" i="63"/>
  <c r="L103" i="63"/>
  <c r="L104" i="63"/>
  <c r="L45" i="63"/>
  <c r="L44" i="63"/>
  <c r="K50" i="63"/>
  <c r="K71" i="63" s="1"/>
  <c r="L14" i="63"/>
  <c r="I76" i="63"/>
  <c r="I56" i="63"/>
  <c r="I57" i="63"/>
  <c r="I77" i="63" s="1"/>
  <c r="O18" i="63"/>
  <c r="O54" i="63" s="1"/>
  <c r="N54" i="63"/>
  <c r="J46" i="371"/>
  <c r="J67" i="371" s="1"/>
  <c r="I101" i="371"/>
  <c r="J82" i="419"/>
  <c r="J92" i="419"/>
  <c r="J76" i="419"/>
  <c r="L3" i="419"/>
  <c r="L59" i="419" s="1"/>
  <c r="K51" i="419"/>
  <c r="K72" i="419" s="1"/>
  <c r="K49" i="419"/>
  <c r="K47" i="419"/>
  <c r="K68" i="419" s="1"/>
  <c r="K53" i="419"/>
  <c r="K74" i="419" s="1"/>
  <c r="K60" i="419"/>
  <c r="K55" i="419"/>
  <c r="K76" i="419" s="1"/>
  <c r="K94" i="419"/>
  <c r="K48" i="419"/>
  <c r="K69" i="419" s="1"/>
  <c r="K50" i="419"/>
  <c r="K44" i="18"/>
  <c r="K54" i="419"/>
  <c r="K75" i="419" s="1"/>
  <c r="I101" i="219"/>
  <c r="M98" i="546"/>
  <c r="M97" i="546"/>
  <c r="M90" i="546"/>
  <c r="M102" i="546"/>
  <c r="M101" i="546"/>
  <c r="M99" i="546"/>
  <c r="M121" i="546"/>
  <c r="M111" i="546"/>
  <c r="N125" i="546"/>
  <c r="P29" i="546"/>
  <c r="P15" i="546"/>
  <c r="P172" i="546" s="1"/>
  <c r="O92" i="546"/>
  <c r="Q13" i="546"/>
  <c r="G86" i="219"/>
  <c r="G87" i="219" s="1"/>
  <c r="G97" i="219" s="1"/>
  <c r="L5" i="219"/>
  <c r="K55" i="219"/>
  <c r="P19" i="546"/>
  <c r="H88" i="219"/>
  <c r="L48" i="219"/>
  <c r="M12" i="219"/>
  <c r="M5" i="18"/>
  <c r="L55" i="18"/>
  <c r="K75" i="219"/>
  <c r="O11" i="419"/>
  <c r="K48" i="18"/>
  <c r="L12" i="18"/>
  <c r="O134" i="546"/>
  <c r="P4" i="546"/>
  <c r="O132" i="546"/>
  <c r="O133" i="546"/>
  <c r="O131" i="546"/>
  <c r="G91" i="18"/>
  <c r="G93" i="18" s="1"/>
  <c r="O23" i="546"/>
  <c r="O182" i="546" s="1"/>
  <c r="K74" i="219"/>
  <c r="A29" i="717"/>
  <c r="J76" i="219"/>
  <c r="J56" i="219"/>
  <c r="J57" i="219"/>
  <c r="J77" i="219" s="1"/>
  <c r="G61" i="764"/>
  <c r="G62" i="764" s="1"/>
  <c r="O19" i="63"/>
  <c r="N73" i="63"/>
  <c r="I61" i="219"/>
  <c r="E91" i="18"/>
  <c r="D91" i="219"/>
  <c r="D93" i="219" s="1"/>
  <c r="M17" i="18"/>
  <c r="L53" i="18"/>
  <c r="F91" i="18"/>
  <c r="F93" i="18" s="1"/>
  <c r="H80" i="219"/>
  <c r="L54" i="219"/>
  <c r="L75" i="219" s="1"/>
  <c r="M18" i="219"/>
  <c r="K72" i="18"/>
  <c r="J69" i="18"/>
  <c r="J61" i="18"/>
  <c r="K67" i="764"/>
  <c r="K57" i="764"/>
  <c r="H83" i="219"/>
  <c r="M103" i="546"/>
  <c r="K58" i="219"/>
  <c r="K66" i="219"/>
  <c r="G79" i="219"/>
  <c r="G81" i="219" s="1"/>
  <c r="J73" i="18"/>
  <c r="J62" i="18"/>
  <c r="J80" i="18" s="1"/>
  <c r="J100" i="18"/>
  <c r="P21" i="546"/>
  <c r="K71" i="219"/>
  <c r="M13" i="18"/>
  <c r="L49" i="18"/>
  <c r="K50" i="18"/>
  <c r="K71" i="18" s="1"/>
  <c r="L14" i="18"/>
  <c r="H65" i="219"/>
  <c r="K72" i="63"/>
  <c r="F79" i="219"/>
  <c r="G86" i="18"/>
  <c r="G87" i="18" s="1"/>
  <c r="M15" i="18"/>
  <c r="L51" i="18"/>
  <c r="L72" i="18" s="1"/>
  <c r="A62" i="577"/>
  <c r="H78" i="18"/>
  <c r="H97" i="18"/>
  <c r="M8" i="764"/>
  <c r="L71" i="764"/>
  <c r="L39" i="764"/>
  <c r="I100" i="219"/>
  <c r="K82" i="219"/>
  <c r="K92" i="219"/>
  <c r="L53" i="219"/>
  <c r="L74" i="219" s="1"/>
  <c r="L94" i="219"/>
  <c r="L60" i="219"/>
  <c r="L96" i="219"/>
  <c r="L45" i="219"/>
  <c r="M9" i="219"/>
  <c r="L44" i="219"/>
  <c r="M20" i="18"/>
  <c r="L59" i="18"/>
  <c r="L16" i="18"/>
  <c r="K52" i="18"/>
  <c r="A34" i="577"/>
  <c r="I62" i="219"/>
  <c r="I80" i="219" s="1"/>
  <c r="M14" i="219"/>
  <c r="L50" i="219"/>
  <c r="L71" i="219" s="1"/>
  <c r="D93" i="371"/>
  <c r="L18" i="18"/>
  <c r="K54" i="18"/>
  <c r="O29" i="173"/>
  <c r="N43" i="173"/>
  <c r="L52" i="219"/>
  <c r="M16" i="219"/>
  <c r="M15" i="63"/>
  <c r="L51" i="63"/>
  <c r="K76" i="18"/>
  <c r="K56" i="18"/>
  <c r="K57" i="18"/>
  <c r="H218" i="546" l="1"/>
  <c r="U110" i="546"/>
  <c r="U120" i="546" s="1"/>
  <c r="I105" i="546"/>
  <c r="I218" i="546" s="1"/>
  <c r="I106" i="546"/>
  <c r="L129" i="546"/>
  <c r="AA195" i="546"/>
  <c r="AA181" i="546"/>
  <c r="AA67" i="546"/>
  <c r="F90" i="63"/>
  <c r="F91" i="63" s="1"/>
  <c r="F93" i="63" s="1"/>
  <c r="O168" i="546"/>
  <c r="O181" i="546"/>
  <c r="Z185" i="546"/>
  <c r="H72" i="764"/>
  <c r="H65" i="764"/>
  <c r="H73" i="764"/>
  <c r="K49" i="764"/>
  <c r="I58" i="764"/>
  <c r="I59" i="764" s="1"/>
  <c r="I60" i="764" s="1"/>
  <c r="I53" i="764"/>
  <c r="I56" i="764" s="1"/>
  <c r="N55" i="764"/>
  <c r="J54" i="173"/>
  <c r="J72" i="173" s="1"/>
  <c r="M54" i="764"/>
  <c r="J75" i="764"/>
  <c r="N51" i="764"/>
  <c r="N49" i="764"/>
  <c r="J40" i="764"/>
  <c r="J53" i="764" s="1"/>
  <c r="K37" i="764"/>
  <c r="K52" i="764" s="1"/>
  <c r="K48" i="764"/>
  <c r="I63" i="764"/>
  <c r="I63" i="173"/>
  <c r="I64" i="173" s="1"/>
  <c r="I66" i="173" s="1"/>
  <c r="H63" i="173"/>
  <c r="H64" i="173" s="1"/>
  <c r="H66" i="173" s="1"/>
  <c r="J74" i="173"/>
  <c r="K38" i="173"/>
  <c r="K36" i="173"/>
  <c r="M70" i="764"/>
  <c r="M69" i="764"/>
  <c r="M69" i="173"/>
  <c r="M67" i="173"/>
  <c r="M65" i="173" s="1"/>
  <c r="N169" i="546"/>
  <c r="M88" i="546" a="1"/>
  <c r="M88" i="546" s="1"/>
  <c r="M70" i="546" s="1"/>
  <c r="M219" i="546" s="1"/>
  <c r="N211" i="546"/>
  <c r="N88" i="546" a="1"/>
  <c r="N88" i="546" s="1"/>
  <c r="N129" i="546" s="1"/>
  <c r="O216" i="546" a="1"/>
  <c r="O216" i="546" s="1"/>
  <c r="O180" i="546"/>
  <c r="O176" i="546"/>
  <c r="O179" i="546"/>
  <c r="O174" i="546"/>
  <c r="O167" i="546"/>
  <c r="O178" i="546"/>
  <c r="O139" i="546"/>
  <c r="O177" i="546"/>
  <c r="O217" i="546"/>
  <c r="O175" i="546"/>
  <c r="N215" i="546"/>
  <c r="N185" i="546"/>
  <c r="AC21" i="546"/>
  <c r="AC19" i="546"/>
  <c r="N94" i="546"/>
  <c r="N206" i="546"/>
  <c r="J148" i="546"/>
  <c r="L145" i="546"/>
  <c r="L221" i="546"/>
  <c r="L140" i="546"/>
  <c r="L141" i="546" s="1"/>
  <c r="M142" i="546"/>
  <c r="M143" i="546" s="1"/>
  <c r="K219" i="546"/>
  <c r="K89" i="546"/>
  <c r="K112" i="546"/>
  <c r="N202" i="546"/>
  <c r="N142" i="546"/>
  <c r="N143" i="546" s="1"/>
  <c r="K146" i="546"/>
  <c r="K141" i="546"/>
  <c r="K144" i="546" s="1"/>
  <c r="L219" i="546"/>
  <c r="L112" i="546"/>
  <c r="L225" i="546" s="1"/>
  <c r="L163" i="546"/>
  <c r="J112" i="546"/>
  <c r="J89" i="546"/>
  <c r="J117" i="546"/>
  <c r="I112" i="546"/>
  <c r="I225" i="546" s="1"/>
  <c r="I89" i="546"/>
  <c r="I117" i="546"/>
  <c r="K163" i="546"/>
  <c r="K109" i="546"/>
  <c r="K130" i="546" s="1" a="1"/>
  <c r="K130" i="546" s="1"/>
  <c r="K164" i="546" s="1"/>
  <c r="L109" i="546"/>
  <c r="L130" i="546" s="1" a="1"/>
  <c r="L130" i="546" s="1"/>
  <c r="L164" i="546" s="1"/>
  <c r="L89" i="546"/>
  <c r="O67" i="546"/>
  <c r="O214" i="546" s="1"/>
  <c r="Z215" i="546"/>
  <c r="K117" i="546"/>
  <c r="L117" i="546"/>
  <c r="Z184" i="546"/>
  <c r="O53" i="546"/>
  <c r="AC4" i="546"/>
  <c r="AC53" i="546" s="1"/>
  <c r="O123" i="546"/>
  <c r="AA68" i="546"/>
  <c r="AA185" i="546" s="1"/>
  <c r="M91" i="546"/>
  <c r="AA134" i="546"/>
  <c r="AB12" i="546"/>
  <c r="AB132" i="546" s="1"/>
  <c r="P166" i="546"/>
  <c r="N71" i="546"/>
  <c r="Z169" i="546"/>
  <c r="Z55" i="546"/>
  <c r="Z91" i="546" s="1"/>
  <c r="P165" i="546"/>
  <c r="AC204" i="546"/>
  <c r="AB14" i="546"/>
  <c r="O57" i="546"/>
  <c r="O205" i="546" s="1"/>
  <c r="P14" i="546"/>
  <c r="P171" i="546" s="1"/>
  <c r="AA194" i="546"/>
  <c r="AA165" i="546"/>
  <c r="AA166" i="546"/>
  <c r="AA80" i="546"/>
  <c r="AA77" i="546"/>
  <c r="AA132" i="546"/>
  <c r="AA131" i="546"/>
  <c r="AA56" i="546"/>
  <c r="Z204" i="546"/>
  <c r="Z92" i="546"/>
  <c r="Q30" i="546"/>
  <c r="AC30" i="546"/>
  <c r="P22" i="546"/>
  <c r="AB22" i="546"/>
  <c r="AD13" i="546"/>
  <c r="AD56" i="546" s="1"/>
  <c r="AD204" i="546" s="1"/>
  <c r="Q56" i="546"/>
  <c r="Q204" i="546" s="1"/>
  <c r="AB23" i="546"/>
  <c r="AB68" i="546" s="1"/>
  <c r="O68" i="546"/>
  <c r="O184" i="546" s="1"/>
  <c r="P58" i="546"/>
  <c r="P206" i="546" s="1"/>
  <c r="AC15" i="546"/>
  <c r="AC29" i="546"/>
  <c r="AC228" i="546" s="1"/>
  <c r="Q12" i="546"/>
  <c r="Y203" i="546"/>
  <c r="Y91" i="546"/>
  <c r="P16" i="546"/>
  <c r="P173" i="546" s="1"/>
  <c r="AB16" i="546"/>
  <c r="O59" i="546"/>
  <c r="O207" i="546" s="1"/>
  <c r="O55" i="546"/>
  <c r="O203" i="546" s="1"/>
  <c r="AA133" i="546"/>
  <c r="O63" i="546"/>
  <c r="O66" i="546"/>
  <c r="O213" i="546" s="1"/>
  <c r="O69" i="546"/>
  <c r="O54" i="546"/>
  <c r="O60" i="546"/>
  <c r="O208" i="546" s="1"/>
  <c r="O64" i="546"/>
  <c r="O61" i="546"/>
  <c r="O209" i="546" s="1"/>
  <c r="O65" i="546"/>
  <c r="O62" i="546"/>
  <c r="O210" i="546" s="1"/>
  <c r="P51" i="546"/>
  <c r="AB51" i="546"/>
  <c r="P50" i="546"/>
  <c r="AB50" i="546"/>
  <c r="P49" i="546"/>
  <c r="AB49" i="546"/>
  <c r="AA184" i="546"/>
  <c r="AC20" i="546"/>
  <c r="Q20" i="546"/>
  <c r="AB18" i="546"/>
  <c r="P18" i="546"/>
  <c r="Q17" i="546"/>
  <c r="AC17" i="546"/>
  <c r="B59" i="546"/>
  <c r="D172" i="546"/>
  <c r="L70" i="764"/>
  <c r="M51" i="371"/>
  <c r="M72" i="371" s="1"/>
  <c r="N15" i="371"/>
  <c r="H97" i="371"/>
  <c r="L34" i="173"/>
  <c r="I83" i="18"/>
  <c r="I84" i="18" s="1"/>
  <c r="I85" i="18" s="1"/>
  <c r="I86" i="18" s="1"/>
  <c r="I87" i="18" s="1"/>
  <c r="I65" i="18"/>
  <c r="I78" i="18" s="1"/>
  <c r="H88" i="63"/>
  <c r="N92" i="546"/>
  <c r="L52" i="173"/>
  <c r="O53" i="173"/>
  <c r="L44" i="18"/>
  <c r="L66" i="18" s="1"/>
  <c r="N96" i="546"/>
  <c r="L34" i="764"/>
  <c r="L36" i="764"/>
  <c r="L50" i="764" s="1"/>
  <c r="L35" i="764"/>
  <c r="L38" i="764"/>
  <c r="L51" i="764" s="1"/>
  <c r="O94" i="546"/>
  <c r="M18" i="371"/>
  <c r="L54" i="371"/>
  <c r="L75" i="371" s="1"/>
  <c r="L13" i="219"/>
  <c r="K49" i="219"/>
  <c r="K70" i="219" s="1"/>
  <c r="M13" i="63"/>
  <c r="L49" i="63"/>
  <c r="H90" i="371"/>
  <c r="H91" i="371" s="1"/>
  <c r="H93" i="371" s="1"/>
  <c r="P54" i="63"/>
  <c r="L46" i="63"/>
  <c r="L67" i="63" s="1"/>
  <c r="L55" i="173"/>
  <c r="M17" i="371"/>
  <c r="L53" i="371"/>
  <c r="L74" i="371" s="1"/>
  <c r="G65" i="63"/>
  <c r="G78" i="63" s="1"/>
  <c r="G79" i="63" s="1"/>
  <c r="G81" i="63" s="1"/>
  <c r="G88" i="63"/>
  <c r="G83" i="63"/>
  <c r="M12" i="63"/>
  <c r="L48" i="63"/>
  <c r="L69" i="63" s="1"/>
  <c r="J15" i="17"/>
  <c r="J19" i="17" s="1"/>
  <c r="J21" i="17" s="1"/>
  <c r="J24" i="17" s="1"/>
  <c r="K5" i="17"/>
  <c r="K46" i="18"/>
  <c r="K67" i="18" s="1"/>
  <c r="O20" i="371"/>
  <c r="O59" i="371" s="1"/>
  <c r="N59" i="371"/>
  <c r="P59" i="371" s="1"/>
  <c r="K96" i="419"/>
  <c r="L8" i="419"/>
  <c r="L55" i="419" s="1"/>
  <c r="L76" i="419" s="1"/>
  <c r="N95" i="546"/>
  <c r="M68" i="173"/>
  <c r="M37" i="173"/>
  <c r="M34" i="173"/>
  <c r="N10" i="173"/>
  <c r="J70" i="173"/>
  <c r="Q40" i="173"/>
  <c r="M52" i="173"/>
  <c r="P7" i="173"/>
  <c r="H98" i="63"/>
  <c r="H83" i="63"/>
  <c r="H84" i="63" s="1"/>
  <c r="H85" i="63" s="1"/>
  <c r="H86" i="63" s="1"/>
  <c r="H87" i="63" s="1"/>
  <c r="H97" i="63" s="1"/>
  <c r="I89" i="371"/>
  <c r="I65" i="371"/>
  <c r="I78" i="371" s="1"/>
  <c r="I79" i="371" s="1"/>
  <c r="I81" i="371" s="1"/>
  <c r="P10" i="546"/>
  <c r="N93" i="546"/>
  <c r="K58" i="18"/>
  <c r="K61" i="18" s="1"/>
  <c r="K66" i="18"/>
  <c r="L50" i="63"/>
  <c r="L71" i="63" s="1"/>
  <c r="M14" i="63"/>
  <c r="O5" i="764"/>
  <c r="J61" i="371"/>
  <c r="J89" i="371" s="1"/>
  <c r="O13" i="419"/>
  <c r="M13" i="371"/>
  <c r="L49" i="371"/>
  <c r="L70" i="371" s="1"/>
  <c r="O82" i="371"/>
  <c r="P82" i="371" s="1"/>
  <c r="O92" i="371"/>
  <c r="P92" i="371" s="1"/>
  <c r="P94" i="371"/>
  <c r="L68" i="63"/>
  <c r="L48" i="371"/>
  <c r="L69" i="371" s="1"/>
  <c r="M12" i="371"/>
  <c r="A34" i="499"/>
  <c r="L53" i="63"/>
  <c r="L74" i="63" s="1"/>
  <c r="M17" i="63"/>
  <c r="K55" i="63"/>
  <c r="L5" i="63"/>
  <c r="K70" i="419"/>
  <c r="M102" i="63"/>
  <c r="M105" i="63"/>
  <c r="M104" i="63"/>
  <c r="N4" i="63"/>
  <c r="M103" i="63"/>
  <c r="M45" i="63"/>
  <c r="M44" i="63"/>
  <c r="L104" i="18"/>
  <c r="M4" i="18"/>
  <c r="M45" i="18" s="1"/>
  <c r="L102" i="18"/>
  <c r="L105" i="18"/>
  <c r="L103" i="18"/>
  <c r="L104" i="219"/>
  <c r="L102" i="219"/>
  <c r="M4" i="219"/>
  <c r="L103" i="219" a="1"/>
  <c r="L105" i="219"/>
  <c r="L82" i="18"/>
  <c r="L92" i="18"/>
  <c r="M20" i="219"/>
  <c r="L59" i="219"/>
  <c r="J80" i="371"/>
  <c r="M4" i="371"/>
  <c r="L104" i="371"/>
  <c r="L105" i="371"/>
  <c r="L102" i="371"/>
  <c r="L103" i="371"/>
  <c r="L57" i="371"/>
  <c r="L77" i="371" s="1"/>
  <c r="L56" i="371"/>
  <c r="L44" i="371"/>
  <c r="L45" i="371"/>
  <c r="K46" i="371"/>
  <c r="K67" i="371" s="1"/>
  <c r="M47" i="63"/>
  <c r="M68" i="63" s="1"/>
  <c r="N11" i="63"/>
  <c r="N20" i="419"/>
  <c r="M15" i="419"/>
  <c r="M11" i="219"/>
  <c r="L47" i="219"/>
  <c r="K73" i="371"/>
  <c r="M11" i="18"/>
  <c r="L47" i="18"/>
  <c r="L68" i="18" s="1"/>
  <c r="L59" i="63"/>
  <c r="M20" i="63"/>
  <c r="L75" i="63"/>
  <c r="K82" i="419"/>
  <c r="K92" i="419"/>
  <c r="I61" i="63"/>
  <c r="I89" i="63" s="1"/>
  <c r="L66" i="63"/>
  <c r="L58" i="63"/>
  <c r="K46" i="219"/>
  <c r="M60" i="18"/>
  <c r="M94" i="18"/>
  <c r="N9" i="18"/>
  <c r="M96" i="18"/>
  <c r="M44" i="18"/>
  <c r="N51" i="219"/>
  <c r="N72" i="219" s="1"/>
  <c r="O15" i="219"/>
  <c r="O51" i="219" s="1"/>
  <c r="O72" i="219" s="1"/>
  <c r="P29" i="764"/>
  <c r="P42" i="764" s="1"/>
  <c r="O42" i="764"/>
  <c r="K58" i="371"/>
  <c r="K61" i="371" s="1"/>
  <c r="K66" i="371"/>
  <c r="K62" i="371"/>
  <c r="K80" i="371" s="1"/>
  <c r="K100" i="371"/>
  <c r="M16" i="371"/>
  <c r="L52" i="371"/>
  <c r="L73" i="371" s="1"/>
  <c r="K71" i="419"/>
  <c r="L51" i="419"/>
  <c r="L47" i="419"/>
  <c r="L68" i="419" s="1"/>
  <c r="M3" i="419"/>
  <c r="L49" i="419"/>
  <c r="L70" i="419" s="1"/>
  <c r="L48" i="419"/>
  <c r="L50" i="419"/>
  <c r="L71" i="419" s="1"/>
  <c r="J101" i="371"/>
  <c r="M72" i="219"/>
  <c r="M50" i="371"/>
  <c r="N14" i="371"/>
  <c r="P55" i="371"/>
  <c r="N17" i="419"/>
  <c r="J57" i="63"/>
  <c r="J77" i="63" s="1"/>
  <c r="J76" i="63"/>
  <c r="J56" i="63"/>
  <c r="J101" i="219"/>
  <c r="J100" i="219"/>
  <c r="J83" i="18"/>
  <c r="J84" i="18" s="1"/>
  <c r="J85" i="18" s="1"/>
  <c r="J89" i="18"/>
  <c r="J65" i="18"/>
  <c r="J78" i="18" s="1"/>
  <c r="N98" i="546"/>
  <c r="N100" i="546"/>
  <c r="N99" i="546"/>
  <c r="N111" i="546"/>
  <c r="N121" i="546"/>
  <c r="N101" i="546"/>
  <c r="N90" i="546"/>
  <c r="N102" i="546"/>
  <c r="O125" i="546"/>
  <c r="N97" i="546"/>
  <c r="Q29" i="546"/>
  <c r="Q15" i="546"/>
  <c r="Q172" i="546" s="1"/>
  <c r="P92" i="546"/>
  <c r="R13" i="546"/>
  <c r="M107" i="546"/>
  <c r="G90" i="219"/>
  <c r="G98" i="219"/>
  <c r="L72" i="63"/>
  <c r="M16" i="18"/>
  <c r="L52" i="18"/>
  <c r="N8" i="764"/>
  <c r="M34" i="764"/>
  <c r="M39" i="764"/>
  <c r="M36" i="764"/>
  <c r="M50" i="764" s="1"/>
  <c r="M71" i="764"/>
  <c r="I65" i="219"/>
  <c r="L73" i="219"/>
  <c r="L82" i="219"/>
  <c r="L92" i="219"/>
  <c r="H79" i="18"/>
  <c r="L70" i="18"/>
  <c r="J101" i="18"/>
  <c r="L76" i="18"/>
  <c r="L57" i="18"/>
  <c r="L77" i="18" s="1"/>
  <c r="L56" i="18"/>
  <c r="M5" i="219"/>
  <c r="L55" i="219"/>
  <c r="K75" i="18"/>
  <c r="L58" i="219"/>
  <c r="L66" i="219"/>
  <c r="N9" i="219"/>
  <c r="M96" i="219"/>
  <c r="M45" i="219"/>
  <c r="M60" i="219"/>
  <c r="M94" i="219"/>
  <c r="M53" i="219"/>
  <c r="M74" i="219" s="1"/>
  <c r="M44" i="219"/>
  <c r="K73" i="18"/>
  <c r="K100" i="18"/>
  <c r="K62" i="18"/>
  <c r="M59" i="18"/>
  <c r="N20" i="18"/>
  <c r="L67" i="764"/>
  <c r="L57" i="764"/>
  <c r="H78" i="219"/>
  <c r="M49" i="18"/>
  <c r="M70" i="18" s="1"/>
  <c r="N13" i="18"/>
  <c r="H84" i="219"/>
  <c r="H85" i="219" s="1"/>
  <c r="O73" i="63"/>
  <c r="A30" i="717"/>
  <c r="M12" i="18"/>
  <c r="L48" i="18"/>
  <c r="N5" i="18"/>
  <c r="M55" i="18"/>
  <c r="Q19" i="546"/>
  <c r="Q21" i="546"/>
  <c r="N18" i="219"/>
  <c r="M54" i="219"/>
  <c r="L74" i="18"/>
  <c r="I89" i="219"/>
  <c r="J61" i="219"/>
  <c r="J62" i="219"/>
  <c r="J80" i="219" s="1"/>
  <c r="N103" i="546"/>
  <c r="P131" i="546"/>
  <c r="Q4" i="546"/>
  <c r="P132" i="546"/>
  <c r="P133" i="546"/>
  <c r="P134" i="546"/>
  <c r="K69" i="18"/>
  <c r="H91" i="63"/>
  <c r="M48" i="219"/>
  <c r="M69" i="219" s="1"/>
  <c r="N12" i="219"/>
  <c r="L50" i="18"/>
  <c r="M14" i="18"/>
  <c r="N91" i="546"/>
  <c r="K77" i="18"/>
  <c r="M51" i="63"/>
  <c r="N15" i="63"/>
  <c r="N16" i="219"/>
  <c r="M52" i="219"/>
  <c r="M73" i="219" s="1"/>
  <c r="P29" i="173"/>
  <c r="P43" i="173" s="1"/>
  <c r="O43" i="173"/>
  <c r="M18" i="18"/>
  <c r="L54" i="18"/>
  <c r="L75" i="18" s="1"/>
  <c r="M50" i="219"/>
  <c r="M71" i="219" s="1"/>
  <c r="N14" i="219"/>
  <c r="I83" i="219"/>
  <c r="A35" i="577"/>
  <c r="A36" i="577" s="1"/>
  <c r="A63" i="577"/>
  <c r="N15" i="18"/>
  <c r="M51" i="18"/>
  <c r="M72" i="18" s="1"/>
  <c r="G97" i="18"/>
  <c r="F81" i="219"/>
  <c r="N17" i="18"/>
  <c r="M53" i="18"/>
  <c r="M74" i="18" s="1"/>
  <c r="E93" i="18"/>
  <c r="H66" i="764"/>
  <c r="H68" i="764" s="1"/>
  <c r="G72" i="764"/>
  <c r="P23" i="546"/>
  <c r="P182" i="546" s="1"/>
  <c r="L69" i="219"/>
  <c r="K76" i="219"/>
  <c r="K56" i="219"/>
  <c r="K57" i="219"/>
  <c r="U119" i="546" l="1"/>
  <c r="U122" i="546" s="1"/>
  <c r="U127" i="546"/>
  <c r="J105" i="546"/>
  <c r="J218" i="546" s="1"/>
  <c r="J106" i="546"/>
  <c r="M129" i="546"/>
  <c r="P168" i="546"/>
  <c r="P181" i="546"/>
  <c r="K48" i="173"/>
  <c r="J63" i="173"/>
  <c r="J64" i="173" s="1"/>
  <c r="J66" i="173" s="1"/>
  <c r="I65" i="764"/>
  <c r="I66" i="764" s="1"/>
  <c r="I68" i="764" s="1"/>
  <c r="I73" i="764"/>
  <c r="Q73" i="764" s="1"/>
  <c r="J56" i="764"/>
  <c r="J74" i="764" s="1"/>
  <c r="J58" i="764"/>
  <c r="J59" i="764" s="1"/>
  <c r="J60" i="764" s="1"/>
  <c r="J61" i="764" s="1"/>
  <c r="J62" i="764" s="1"/>
  <c r="L49" i="764"/>
  <c r="J47" i="764"/>
  <c r="O55" i="764"/>
  <c r="O51" i="764"/>
  <c r="O49" i="764"/>
  <c r="J63" i="764"/>
  <c r="L37" i="764"/>
  <c r="L52" i="764" s="1"/>
  <c r="L48" i="764"/>
  <c r="K75" i="764"/>
  <c r="M37" i="764"/>
  <c r="M48" i="764"/>
  <c r="K76" i="764"/>
  <c r="N54" i="764"/>
  <c r="K40" i="764"/>
  <c r="K47" i="764" s="1"/>
  <c r="Q43" i="173"/>
  <c r="N67" i="173"/>
  <c r="K49" i="173"/>
  <c r="K50" i="173"/>
  <c r="K73" i="173"/>
  <c r="K51" i="173"/>
  <c r="M38" i="173"/>
  <c r="M36" i="173"/>
  <c r="M61" i="173" s="1"/>
  <c r="L38" i="173"/>
  <c r="L36" i="173"/>
  <c r="N70" i="764"/>
  <c r="N69" i="764"/>
  <c r="P175" i="546"/>
  <c r="AA215" i="546"/>
  <c r="P169" i="546"/>
  <c r="O211" i="546"/>
  <c r="O88" i="546" a="1"/>
  <c r="O88" i="546" s="1"/>
  <c r="O129" i="546" s="1"/>
  <c r="P179" i="546"/>
  <c r="P176" i="546"/>
  <c r="P174" i="546"/>
  <c r="P177" i="546"/>
  <c r="P180" i="546"/>
  <c r="P216" i="546" a="1"/>
  <c r="P216" i="546" s="1"/>
  <c r="P139" i="546"/>
  <c r="P178" i="546"/>
  <c r="P217" i="546"/>
  <c r="P167" i="546"/>
  <c r="O215" i="546"/>
  <c r="O185" i="546"/>
  <c r="AD21" i="546"/>
  <c r="O100" i="546"/>
  <c r="O212" i="546"/>
  <c r="AD19" i="546"/>
  <c r="L146" i="546"/>
  <c r="L113" i="546"/>
  <c r="L114" i="546" s="1"/>
  <c r="L115" i="546" s="1"/>
  <c r="K148" i="546"/>
  <c r="L144" i="546"/>
  <c r="N221" i="546"/>
  <c r="N140" i="546"/>
  <c r="N141" i="546" s="1"/>
  <c r="M145" i="546"/>
  <c r="N145" i="546"/>
  <c r="N70" i="546"/>
  <c r="L147" i="546"/>
  <c r="O202" i="546"/>
  <c r="O142" i="546"/>
  <c r="O143" i="546" s="1"/>
  <c r="K225" i="546"/>
  <c r="K113" i="546"/>
  <c r="K114" i="546" s="1"/>
  <c r="K115" i="546" s="1"/>
  <c r="K116" i="546" s="1"/>
  <c r="K126" i="546" s="1"/>
  <c r="M112" i="546"/>
  <c r="M225" i="546" s="1"/>
  <c r="M221" i="546"/>
  <c r="M140" i="546"/>
  <c r="M141" i="546" s="1"/>
  <c r="K196" i="546"/>
  <c r="K198" i="546"/>
  <c r="K197" i="546"/>
  <c r="L197" i="546"/>
  <c r="L198" i="546"/>
  <c r="L196" i="546"/>
  <c r="J225" i="546"/>
  <c r="J113" i="546"/>
  <c r="J114" i="546" s="1"/>
  <c r="J115" i="546" s="1"/>
  <c r="J116" i="546" s="1"/>
  <c r="J126" i="546" s="1"/>
  <c r="I113" i="546"/>
  <c r="P67" i="546"/>
  <c r="P214" i="546" s="1"/>
  <c r="AA103" i="546"/>
  <c r="P53" i="546"/>
  <c r="AD4" i="546"/>
  <c r="AD53" i="546" s="1"/>
  <c r="P123" i="546"/>
  <c r="AB166" i="546"/>
  <c r="Z203" i="546"/>
  <c r="AB165" i="546"/>
  <c r="AB131" i="546"/>
  <c r="L40" i="764"/>
  <c r="L53" i="764" s="1"/>
  <c r="AC12" i="546"/>
  <c r="AC133" i="546" s="1"/>
  <c r="AB134" i="546"/>
  <c r="AB133" i="546"/>
  <c r="Q166" i="546"/>
  <c r="O71" i="546"/>
  <c r="AA169" i="546"/>
  <c r="AB182" i="546"/>
  <c r="I97" i="18"/>
  <c r="Q165" i="546"/>
  <c r="AD92" i="546"/>
  <c r="AE13" i="546"/>
  <c r="AE56" i="546" s="1"/>
  <c r="AE92" i="546" s="1"/>
  <c r="R56" i="546"/>
  <c r="R204" i="546" s="1"/>
  <c r="Q16" i="546"/>
  <c r="Q173" i="546" s="1"/>
  <c r="AC16" i="546"/>
  <c r="P59" i="546"/>
  <c r="P207" i="546" s="1"/>
  <c r="Q22" i="546"/>
  <c r="AC22" i="546"/>
  <c r="P55" i="546"/>
  <c r="P203" i="546" s="1"/>
  <c r="AD15" i="546"/>
  <c r="Q58" i="546"/>
  <c r="Q206" i="546" s="1"/>
  <c r="R30" i="546"/>
  <c r="AE30" i="546" s="1"/>
  <c r="AD30" i="546"/>
  <c r="AC23" i="546"/>
  <c r="AC182" i="546" s="1"/>
  <c r="P68" i="546"/>
  <c r="P184" i="546" s="1"/>
  <c r="AD29" i="546"/>
  <c r="AD228" i="546" s="1"/>
  <c r="R12" i="546"/>
  <c r="R165" i="546" s="1"/>
  <c r="AA204" i="546"/>
  <c r="AA92" i="546"/>
  <c r="AC14" i="546"/>
  <c r="P57" i="546"/>
  <c r="P205" i="546" s="1"/>
  <c r="Q14" i="546"/>
  <c r="Q171" i="546" s="1"/>
  <c r="AA55" i="546"/>
  <c r="P62" i="546"/>
  <c r="P210" i="546" s="1"/>
  <c r="P63" i="546"/>
  <c r="P66" i="546"/>
  <c r="P213" i="546" s="1"/>
  <c r="P69" i="546"/>
  <c r="P64" i="546"/>
  <c r="P212" i="546" s="1"/>
  <c r="P54" i="546"/>
  <c r="P60" i="546"/>
  <c r="P208" i="546" s="1"/>
  <c r="P61" i="546"/>
  <c r="P209" i="546" s="1"/>
  <c r="P65" i="546"/>
  <c r="Q51" i="546"/>
  <c r="AC51" i="546"/>
  <c r="Q50" i="546"/>
  <c r="AC50" i="546"/>
  <c r="Q49" i="546"/>
  <c r="AC49" i="546"/>
  <c r="AB215" i="546"/>
  <c r="AB103" i="546"/>
  <c r="AB184" i="546"/>
  <c r="AB185" i="546"/>
  <c r="AD20" i="546"/>
  <c r="R20" i="546"/>
  <c r="AC18" i="546"/>
  <c r="Q18" i="546"/>
  <c r="R17" i="546"/>
  <c r="AD17" i="546"/>
  <c r="D173" i="546"/>
  <c r="B60" i="546"/>
  <c r="N51" i="371"/>
  <c r="O15" i="371"/>
  <c r="O51" i="371" s="1"/>
  <c r="O72" i="371" s="1"/>
  <c r="P72" i="219"/>
  <c r="P88" i="63"/>
  <c r="O37" i="63" s="1"/>
  <c r="O63" i="63" s="1"/>
  <c r="P63" i="63" s="1"/>
  <c r="L58" i="18"/>
  <c r="Q35" i="764"/>
  <c r="K61" i="173"/>
  <c r="K56" i="173"/>
  <c r="K57" i="173" s="1"/>
  <c r="K58" i="173" s="1"/>
  <c r="K59" i="173" s="1"/>
  <c r="K60" i="173" s="1"/>
  <c r="P53" i="173"/>
  <c r="Q53" i="173" s="1"/>
  <c r="M75" i="219"/>
  <c r="N34" i="173"/>
  <c r="N69" i="173"/>
  <c r="J65" i="371"/>
  <c r="J78" i="371" s="1"/>
  <c r="J79" i="371" s="1"/>
  <c r="J81" i="371" s="1"/>
  <c r="J90" i="371" s="1"/>
  <c r="J91" i="371" s="1"/>
  <c r="J93" i="371" s="1"/>
  <c r="L96" i="419"/>
  <c r="M8" i="419"/>
  <c r="M54" i="419" s="1"/>
  <c r="M75" i="419" s="1"/>
  <c r="N12" i="63"/>
  <c r="M48" i="63"/>
  <c r="M69" i="63" s="1"/>
  <c r="P51" i="219"/>
  <c r="L60" i="419"/>
  <c r="G90" i="63"/>
  <c r="G91" i="63" s="1"/>
  <c r="G93" i="63" s="1"/>
  <c r="G98" i="63"/>
  <c r="P98" i="63" s="1"/>
  <c r="L54" i="419"/>
  <c r="L75" i="419" s="1"/>
  <c r="M13" i="219"/>
  <c r="L49" i="219"/>
  <c r="L70" i="219" s="1"/>
  <c r="L53" i="419"/>
  <c r="L74" i="419" s="1"/>
  <c r="L52" i="419"/>
  <c r="L73" i="419" s="1"/>
  <c r="I97" i="371"/>
  <c r="K15" i="17"/>
  <c r="K19" i="17" s="1"/>
  <c r="K21" i="17" s="1"/>
  <c r="K24" i="17" s="1"/>
  <c r="L5" i="17"/>
  <c r="L15" i="17" s="1"/>
  <c r="L19" i="17" s="1"/>
  <c r="L21" i="17" s="1"/>
  <c r="L24" i="17" s="1"/>
  <c r="G84" i="63"/>
  <c r="G85" i="63" s="1"/>
  <c r="G86" i="63" s="1"/>
  <c r="G87" i="63" s="1"/>
  <c r="G97" i="63" s="1"/>
  <c r="L70" i="63"/>
  <c r="N17" i="371"/>
  <c r="M53" i="371"/>
  <c r="L94" i="419"/>
  <c r="N13" i="63"/>
  <c r="M49" i="63"/>
  <c r="M70" i="63" s="1"/>
  <c r="N18" i="371"/>
  <c r="M54" i="371"/>
  <c r="O95" i="546"/>
  <c r="N37" i="173"/>
  <c r="N68" i="173"/>
  <c r="M55" i="173"/>
  <c r="N65" i="173"/>
  <c r="O10" i="173"/>
  <c r="N52" i="173"/>
  <c r="J83" i="371"/>
  <c r="J84" i="371" s="1"/>
  <c r="J85" i="371" s="1"/>
  <c r="J86" i="371" s="1"/>
  <c r="J87" i="371" s="1"/>
  <c r="K89" i="371"/>
  <c r="K65" i="18"/>
  <c r="K78" i="18" s="1"/>
  <c r="K79" i="18" s="1"/>
  <c r="I65" i="63"/>
  <c r="I78" i="63" s="1"/>
  <c r="I79" i="63" s="1"/>
  <c r="I81" i="63" s="1"/>
  <c r="K65" i="371"/>
  <c r="K78" i="371" s="1"/>
  <c r="K79" i="371" s="1"/>
  <c r="K81" i="371" s="1"/>
  <c r="N81" i="546"/>
  <c r="N83" i="546"/>
  <c r="N82" i="546"/>
  <c r="O93" i="546"/>
  <c r="Q10" i="546"/>
  <c r="Q181" i="546" s="1"/>
  <c r="J100" i="63"/>
  <c r="M71" i="371"/>
  <c r="L72" i="419"/>
  <c r="M52" i="371"/>
  <c r="M73" i="371" s="1"/>
  <c r="N16" i="371"/>
  <c r="O20" i="419"/>
  <c r="M105" i="371"/>
  <c r="M103" i="371"/>
  <c r="M104" i="371"/>
  <c r="N4" i="371"/>
  <c r="M102" i="371"/>
  <c r="M56" i="371"/>
  <c r="M57" i="371"/>
  <c r="M44" i="371"/>
  <c r="M45" i="371"/>
  <c r="M105" i="219"/>
  <c r="M104" i="219"/>
  <c r="N4" i="219"/>
  <c r="N45" i="219" s="1"/>
  <c r="M102" i="219"/>
  <c r="M58" i="63"/>
  <c r="M66" i="63"/>
  <c r="N103" i="63"/>
  <c r="N105" i="63"/>
  <c r="O4" i="63"/>
  <c r="N102" i="63"/>
  <c r="N104" i="63"/>
  <c r="N45" i="63"/>
  <c r="N44" i="63"/>
  <c r="M5" i="63"/>
  <c r="L55" i="63"/>
  <c r="N17" i="63"/>
  <c r="M53" i="63"/>
  <c r="J62" i="63"/>
  <c r="J101" i="63"/>
  <c r="N96" i="18"/>
  <c r="N94" i="18"/>
  <c r="O9" i="18"/>
  <c r="N60" i="18"/>
  <c r="N47" i="63"/>
  <c r="N68" i="63" s="1"/>
  <c r="O11" i="63"/>
  <c r="O47" i="63" s="1"/>
  <c r="O68" i="63" s="1"/>
  <c r="L58" i="371"/>
  <c r="L66" i="371"/>
  <c r="L100" i="371"/>
  <c r="L46" i="371"/>
  <c r="L67" i="371" s="1"/>
  <c r="M59" i="219"/>
  <c r="N20" i="219"/>
  <c r="L46" i="18"/>
  <c r="L67" i="18" s="1"/>
  <c r="I83" i="63"/>
  <c r="I84" i="63" s="1"/>
  <c r="I85" i="63" s="1"/>
  <c r="I86" i="63" s="1"/>
  <c r="I87" i="63" s="1"/>
  <c r="K76" i="63"/>
  <c r="K57" i="63"/>
  <c r="K77" i="63" s="1"/>
  <c r="K56" i="63"/>
  <c r="N12" i="371"/>
  <c r="M48" i="371"/>
  <c r="K101" i="371"/>
  <c r="O17" i="419"/>
  <c r="L69" i="419"/>
  <c r="N3" i="419"/>
  <c r="M47" i="419"/>
  <c r="M68" i="419" s="1"/>
  <c r="M51" i="419"/>
  <c r="M72" i="419" s="1"/>
  <c r="M49" i="419"/>
  <c r="M70" i="419" s="1"/>
  <c r="M94" i="419"/>
  <c r="M55" i="419"/>
  <c r="M53" i="419"/>
  <c r="M74" i="419" s="1"/>
  <c r="M60" i="419"/>
  <c r="M48" i="419"/>
  <c r="M69" i="419" s="1"/>
  <c r="M50" i="419"/>
  <c r="M71" i="419" s="1"/>
  <c r="K83" i="371"/>
  <c r="K84" i="371" s="1"/>
  <c r="K85" i="371" s="1"/>
  <c r="K86" i="371" s="1"/>
  <c r="K87" i="371" s="1"/>
  <c r="M92" i="18"/>
  <c r="M82" i="18"/>
  <c r="K67" i="219"/>
  <c r="M47" i="18"/>
  <c r="N11" i="18"/>
  <c r="L68" i="219"/>
  <c r="N15" i="419"/>
  <c r="M52" i="419"/>
  <c r="L62" i="371"/>
  <c r="L80" i="371" s="1"/>
  <c r="M102" i="18"/>
  <c r="M105" i="18"/>
  <c r="M104" i="18"/>
  <c r="M103" i="18"/>
  <c r="N4" i="18"/>
  <c r="N45" i="18" s="1"/>
  <c r="I90" i="371"/>
  <c r="I91" i="371" s="1"/>
  <c r="I93" i="371" s="1"/>
  <c r="I99" i="371"/>
  <c r="M49" i="371"/>
  <c r="N13" i="371"/>
  <c r="J61" i="63"/>
  <c r="O14" i="371"/>
  <c r="O50" i="371" s="1"/>
  <c r="O71" i="371" s="1"/>
  <c r="N50" i="371"/>
  <c r="N71" i="371" s="1"/>
  <c r="L82" i="419"/>
  <c r="L92" i="419"/>
  <c r="M66" i="18"/>
  <c r="M58" i="18"/>
  <c r="N20" i="63"/>
  <c r="M59" i="63"/>
  <c r="M75" i="63"/>
  <c r="M47" i="219"/>
  <c r="M68" i="219" s="1"/>
  <c r="N11" i="219"/>
  <c r="M59" i="419"/>
  <c r="N103" i="219"/>
  <c r="L103" i="219"/>
  <c r="L46" i="219" s="1"/>
  <c r="L67" i="219" s="1"/>
  <c r="O103" i="219"/>
  <c r="M103" i="219"/>
  <c r="M46" i="63"/>
  <c r="A35" i="499"/>
  <c r="A36" i="499" s="1"/>
  <c r="A37" i="499" s="1"/>
  <c r="A38" i="499" s="1"/>
  <c r="A39" i="499" s="1"/>
  <c r="A40" i="499" s="1"/>
  <c r="P5" i="764"/>
  <c r="O70" i="764"/>
  <c r="M50" i="63"/>
  <c r="M71" i="63" s="1"/>
  <c r="N14" i="63"/>
  <c r="K83" i="18"/>
  <c r="K84" i="18" s="1"/>
  <c r="K85" i="18" s="1"/>
  <c r="K86" i="18" s="1"/>
  <c r="K87" i="18" s="1"/>
  <c r="J79" i="18"/>
  <c r="J81" i="18" s="1"/>
  <c r="J83" i="219"/>
  <c r="J84" i="219" s="1"/>
  <c r="J85" i="219" s="1"/>
  <c r="J86" i="219" s="1"/>
  <c r="J87" i="219" s="1"/>
  <c r="O98" i="546"/>
  <c r="O96" i="546"/>
  <c r="O99" i="546"/>
  <c r="O97" i="546"/>
  <c r="O101" i="546"/>
  <c r="O111" i="546"/>
  <c r="O121" i="546"/>
  <c r="O90" i="546"/>
  <c r="O102" i="546"/>
  <c r="P125" i="546"/>
  <c r="R15" i="546"/>
  <c r="R172" i="546" s="1"/>
  <c r="R29" i="546"/>
  <c r="N107" i="546"/>
  <c r="Q92" i="546"/>
  <c r="O91" i="546"/>
  <c r="H86" i="219"/>
  <c r="H87" i="219" s="1"/>
  <c r="J86" i="18"/>
  <c r="J87" i="18" s="1"/>
  <c r="Q131" i="546"/>
  <c r="Q132" i="546"/>
  <c r="Q134" i="546"/>
  <c r="R4" i="546"/>
  <c r="Q133" i="546"/>
  <c r="R21" i="546"/>
  <c r="K80" i="18"/>
  <c r="M57" i="764"/>
  <c r="M67" i="764"/>
  <c r="L73" i="18"/>
  <c r="L101" i="18" s="1"/>
  <c r="L62" i="18"/>
  <c r="L80" i="18" s="1"/>
  <c r="L100" i="18"/>
  <c r="Q23" i="546"/>
  <c r="Q182" i="546" s="1"/>
  <c r="O14" i="219"/>
  <c r="O50" i="219" s="1"/>
  <c r="N50" i="219"/>
  <c r="N71" i="219" s="1"/>
  <c r="N18" i="18"/>
  <c r="M54" i="18"/>
  <c r="M75" i="18" s="1"/>
  <c r="N52" i="219"/>
  <c r="N73" i="219" s="1"/>
  <c r="O16" i="219"/>
  <c r="M72" i="63"/>
  <c r="O12" i="219"/>
  <c r="O48" i="219" s="1"/>
  <c r="N48" i="219"/>
  <c r="N69" i="219" s="1"/>
  <c r="H93" i="63"/>
  <c r="J65" i="219"/>
  <c r="L69" i="18"/>
  <c r="M82" i="219"/>
  <c r="M92" i="219"/>
  <c r="M55" i="219"/>
  <c r="N5" i="219"/>
  <c r="H81" i="18"/>
  <c r="I78" i="219"/>
  <c r="N16" i="18"/>
  <c r="M52" i="18"/>
  <c r="H79" i="219"/>
  <c r="H81" i="219" s="1"/>
  <c r="L76" i="219"/>
  <c r="L57" i="219"/>
  <c r="L77" i="219" s="1"/>
  <c r="L56" i="219"/>
  <c r="K77" i="219"/>
  <c r="K101" i="219" s="1"/>
  <c r="F98" i="219"/>
  <c r="F90" i="219"/>
  <c r="N14" i="18"/>
  <c r="M50" i="18"/>
  <c r="M71" i="18" s="1"/>
  <c r="J89" i="219"/>
  <c r="M76" i="18"/>
  <c r="M57" i="18"/>
  <c r="M77" i="18" s="1"/>
  <c r="M56" i="18"/>
  <c r="N12" i="18"/>
  <c r="M48" i="18"/>
  <c r="P73" i="63"/>
  <c r="N59" i="18"/>
  <c r="O20" i="18"/>
  <c r="O59" i="18" s="1"/>
  <c r="K101" i="18"/>
  <c r="M58" i="219"/>
  <c r="M66" i="219"/>
  <c r="N53" i="219"/>
  <c r="N74" i="219" s="1"/>
  <c r="N96" i="219"/>
  <c r="N94" i="219"/>
  <c r="N60" i="219"/>
  <c r="O9" i="219"/>
  <c r="G91" i="219"/>
  <c r="G93" i="219" s="1"/>
  <c r="O103" i="546"/>
  <c r="I61" i="764"/>
  <c r="I62" i="764" s="1"/>
  <c r="I79" i="18"/>
  <c r="I81" i="18" s="1"/>
  <c r="A64" i="577"/>
  <c r="A37" i="577"/>
  <c r="I84" i="219"/>
  <c r="I85" i="219" s="1"/>
  <c r="I86" i="219" s="1"/>
  <c r="I87" i="219" s="1"/>
  <c r="I97" i="219" s="1"/>
  <c r="N51" i="63"/>
  <c r="O15" i="63"/>
  <c r="O51" i="63" s="1"/>
  <c r="K61" i="219"/>
  <c r="K100" i="219"/>
  <c r="K62" i="219"/>
  <c r="K80" i="219" s="1"/>
  <c r="O17" i="18"/>
  <c r="N53" i="18"/>
  <c r="N51" i="18"/>
  <c r="N72" i="18" s="1"/>
  <c r="O15" i="18"/>
  <c r="O51" i="18" s="1"/>
  <c r="O72" i="18" s="1"/>
  <c r="L71" i="18"/>
  <c r="K89" i="18"/>
  <c r="N54" i="219"/>
  <c r="O18" i="219"/>
  <c r="R19" i="546"/>
  <c r="O5" i="18"/>
  <c r="O55" i="18" s="1"/>
  <c r="N55" i="18"/>
  <c r="A31" i="717"/>
  <c r="O13" i="18"/>
  <c r="O49" i="18" s="1"/>
  <c r="O70" i="18" s="1"/>
  <c r="N49" i="18"/>
  <c r="N70" i="18" s="1"/>
  <c r="N39" i="764"/>
  <c r="N71" i="764"/>
  <c r="O8" i="764"/>
  <c r="N34" i="764"/>
  <c r="N36" i="764"/>
  <c r="N50" i="764" s="1"/>
  <c r="P40" i="499"/>
  <c r="R40" i="499"/>
  <c r="F40" i="499"/>
  <c r="J40" i="499"/>
  <c r="M40" i="499"/>
  <c r="L40" i="499"/>
  <c r="K40" i="499"/>
  <c r="S40" i="499"/>
  <c r="E40" i="499"/>
  <c r="G40" i="499"/>
  <c r="N40" i="499"/>
  <c r="I40" i="499"/>
  <c r="Q40" i="499"/>
  <c r="C10" i="236"/>
  <c r="H40" i="499"/>
  <c r="O40" i="499"/>
  <c r="K105" i="546" l="1"/>
  <c r="K218" i="546" s="1"/>
  <c r="K106" i="546"/>
  <c r="Q175" i="546"/>
  <c r="L48" i="173"/>
  <c r="J65" i="764"/>
  <c r="J66" i="764" s="1"/>
  <c r="J68" i="764" s="1"/>
  <c r="M48" i="173"/>
  <c r="L47" i="764"/>
  <c r="K58" i="764"/>
  <c r="K59" i="764" s="1"/>
  <c r="K60" i="764" s="1"/>
  <c r="K61" i="764" s="1"/>
  <c r="K62" i="764" s="1"/>
  <c r="M52" i="764"/>
  <c r="M76" i="764" s="1"/>
  <c r="K63" i="764"/>
  <c r="K53" i="764"/>
  <c r="K56" i="764" s="1"/>
  <c r="M75" i="764"/>
  <c r="L58" i="764"/>
  <c r="L59" i="764" s="1"/>
  <c r="P55" i="764"/>
  <c r="L76" i="764"/>
  <c r="J72" i="764"/>
  <c r="P51" i="764"/>
  <c r="P49" i="764"/>
  <c r="Q49" i="764" s="1"/>
  <c r="L56" i="764"/>
  <c r="L65" i="764" s="1"/>
  <c r="M40" i="764"/>
  <c r="M58" i="764" s="1"/>
  <c r="N37" i="764"/>
  <c r="N48" i="764"/>
  <c r="O69" i="764"/>
  <c r="O54" i="764"/>
  <c r="L75" i="764"/>
  <c r="L61" i="173"/>
  <c r="K74" i="173"/>
  <c r="L49" i="173"/>
  <c r="L50" i="173"/>
  <c r="M49" i="173"/>
  <c r="M50" i="173"/>
  <c r="L73" i="173"/>
  <c r="L51" i="173"/>
  <c r="K54" i="173"/>
  <c r="K63" i="173" s="1"/>
  <c r="K64" i="173" s="1"/>
  <c r="K66" i="173" s="1"/>
  <c r="M73" i="173"/>
  <c r="M51" i="173"/>
  <c r="N38" i="173"/>
  <c r="N36" i="173"/>
  <c r="N50" i="173" s="1"/>
  <c r="O34" i="173"/>
  <c r="O67" i="173"/>
  <c r="O65" i="173" s="1"/>
  <c r="L148" i="546"/>
  <c r="Q169" i="546"/>
  <c r="P211" i="546"/>
  <c r="P88" i="546" a="1"/>
  <c r="P88" i="546" s="1"/>
  <c r="P129" i="546" s="1"/>
  <c r="Q180" i="546"/>
  <c r="Q216" i="546" a="1"/>
  <c r="Q216" i="546" s="1"/>
  <c r="Q179" i="546"/>
  <c r="Q217" i="546"/>
  <c r="Q167" i="546"/>
  <c r="Q176" i="546"/>
  <c r="Q177" i="546"/>
  <c r="Q168" i="546"/>
  <c r="Q178" i="546"/>
  <c r="Q139" i="546"/>
  <c r="Q174" i="546"/>
  <c r="P185" i="546"/>
  <c r="P215" i="546"/>
  <c r="AE21" i="546"/>
  <c r="AE20" i="546"/>
  <c r="AE19" i="546"/>
  <c r="AE17" i="546"/>
  <c r="N144" i="546"/>
  <c r="N219" i="546"/>
  <c r="O145" i="546"/>
  <c r="N147" i="546"/>
  <c r="M144" i="546"/>
  <c r="O221" i="546"/>
  <c r="O140" i="546"/>
  <c r="O141" i="546" s="1"/>
  <c r="N146" i="546"/>
  <c r="M146" i="546"/>
  <c r="M113" i="546"/>
  <c r="M114" i="546" s="1"/>
  <c r="O70" i="546"/>
  <c r="O89" i="546" s="1"/>
  <c r="M147" i="546"/>
  <c r="P202" i="546"/>
  <c r="P142" i="546"/>
  <c r="P143" i="546" s="1"/>
  <c r="N112" i="546"/>
  <c r="N225" i="546" s="1"/>
  <c r="I114" i="546"/>
  <c r="I115" i="546" s="1"/>
  <c r="I116" i="546" s="1"/>
  <c r="I126" i="546" s="1"/>
  <c r="A41" i="499"/>
  <c r="A42" i="499" s="1"/>
  <c r="A43" i="499" s="1"/>
  <c r="A44" i="499" s="1"/>
  <c r="A45" i="499" s="1"/>
  <c r="A46" i="499" s="1"/>
  <c r="A47" i="499" s="1"/>
  <c r="A48" i="499" s="1"/>
  <c r="A49" i="499" s="1"/>
  <c r="A50" i="499" s="1"/>
  <c r="A51" i="499" s="1"/>
  <c r="A52" i="499" s="1"/>
  <c r="A53" i="499" s="1"/>
  <c r="A54" i="499" s="1"/>
  <c r="A55" i="499" s="1"/>
  <c r="A56" i="499" s="1"/>
  <c r="A57" i="499" s="1"/>
  <c r="A58" i="499" s="1"/>
  <c r="A59" i="499" s="1"/>
  <c r="A60" i="499" s="1"/>
  <c r="A61" i="499" s="1"/>
  <c r="A62" i="499" s="1"/>
  <c r="A63" i="499" s="1"/>
  <c r="A64" i="499" s="1"/>
  <c r="A65" i="499" s="1"/>
  <c r="A66" i="499" s="1"/>
  <c r="A67" i="499" s="1"/>
  <c r="A68" i="499" s="1"/>
  <c r="A69" i="499" s="1"/>
  <c r="A70" i="499" s="1"/>
  <c r="A71" i="499" s="1"/>
  <c r="A72" i="499" s="1"/>
  <c r="A73" i="499" s="1"/>
  <c r="A76" i="499" s="1"/>
  <c r="A77" i="499" s="1"/>
  <c r="A78" i="499" s="1"/>
  <c r="A79" i="499" s="1"/>
  <c r="A80" i="499" s="1"/>
  <c r="A81" i="499" s="1"/>
  <c r="A82" i="499" s="1"/>
  <c r="A83" i="499" s="1"/>
  <c r="A84" i="499" s="1"/>
  <c r="A85" i="499" s="1"/>
  <c r="A86" i="499" s="1"/>
  <c r="N89" i="546"/>
  <c r="N163" i="546"/>
  <c r="N109" i="546"/>
  <c r="N130" i="546" s="1" a="1"/>
  <c r="N130" i="546" s="1"/>
  <c r="N164" i="546" s="1"/>
  <c r="M163" i="546"/>
  <c r="M109" i="546"/>
  <c r="M130" i="546" s="1" a="1"/>
  <c r="M130" i="546" s="1"/>
  <c r="M164" i="546" s="1"/>
  <c r="M89" i="546"/>
  <c r="Q67" i="546"/>
  <c r="Q214" i="546" s="1"/>
  <c r="R166" i="546"/>
  <c r="R169" i="546" s="1"/>
  <c r="N117" i="546"/>
  <c r="M117" i="546"/>
  <c r="Q53" i="546"/>
  <c r="AE4" i="546"/>
  <c r="AE53" i="546" s="1"/>
  <c r="AE204" i="546"/>
  <c r="AB169" i="546"/>
  <c r="Q123" i="546"/>
  <c r="AC68" i="546"/>
  <c r="AC184" i="546" s="1"/>
  <c r="AC165" i="546"/>
  <c r="AC166" i="546"/>
  <c r="AC132" i="546"/>
  <c r="AB55" i="546"/>
  <c r="AB203" i="546" s="1"/>
  <c r="AC134" i="546"/>
  <c r="AC131" i="546"/>
  <c r="AD12" i="546"/>
  <c r="AD131" i="546" s="1"/>
  <c r="P71" i="546"/>
  <c r="L56" i="173"/>
  <c r="L57" i="173" s="1"/>
  <c r="L58" i="173" s="1"/>
  <c r="L59" i="173" s="1"/>
  <c r="L60" i="173" s="1"/>
  <c r="AE15" i="546"/>
  <c r="R58" i="546"/>
  <c r="R206" i="546" s="1"/>
  <c r="Q55" i="546"/>
  <c r="Q203" i="546" s="1"/>
  <c r="R22" i="546"/>
  <c r="AE22" i="546" s="1"/>
  <c r="AD22" i="546"/>
  <c r="AA203" i="546"/>
  <c r="AA91" i="546"/>
  <c r="R16" i="546"/>
  <c r="R173" i="546" s="1"/>
  <c r="AD16" i="546"/>
  <c r="Q59" i="546"/>
  <c r="Q207" i="546" s="1"/>
  <c r="AD23" i="546"/>
  <c r="AD182" i="546" s="1"/>
  <c r="Q68" i="546"/>
  <c r="Q184" i="546" s="1"/>
  <c r="Q57" i="546"/>
  <c r="Q205" i="546" s="1"/>
  <c r="AD14" i="546"/>
  <c r="R14" i="546"/>
  <c r="R171" i="546" s="1"/>
  <c r="AE29" i="546"/>
  <c r="AE228" i="546" s="1"/>
  <c r="Q65" i="546"/>
  <c r="Q62" i="546"/>
  <c r="Q210" i="546" s="1"/>
  <c r="Q63" i="546"/>
  <c r="Q66" i="546"/>
  <c r="Q213" i="546" s="1"/>
  <c r="Q69" i="546"/>
  <c r="Q54" i="546"/>
  <c r="Q60" i="546"/>
  <c r="Q208" i="546" s="1"/>
  <c r="Q64" i="546"/>
  <c r="Q61" i="546"/>
  <c r="Q209" i="546" s="1"/>
  <c r="R51" i="546"/>
  <c r="AE51" i="546" s="1"/>
  <c r="AD51" i="546"/>
  <c r="R50" i="546"/>
  <c r="AE50" i="546" s="1"/>
  <c r="AD50" i="546"/>
  <c r="R49" i="546"/>
  <c r="AE49" i="546" s="1"/>
  <c r="AD49" i="546"/>
  <c r="AD18" i="546"/>
  <c r="R18" i="546"/>
  <c r="B61" i="546"/>
  <c r="D174" i="546"/>
  <c r="L61" i="371"/>
  <c r="L89" i="371" s="1"/>
  <c r="L61" i="18"/>
  <c r="L65" i="18" s="1"/>
  <c r="L78" i="18" s="1"/>
  <c r="L79" i="18" s="1"/>
  <c r="L81" i="18" s="1"/>
  <c r="N72" i="371"/>
  <c r="P72" i="371" s="1"/>
  <c r="P51" i="371"/>
  <c r="L63" i="764"/>
  <c r="K70" i="173"/>
  <c r="O54" i="219"/>
  <c r="P72" i="18"/>
  <c r="K97" i="18"/>
  <c r="P68" i="63"/>
  <c r="J99" i="371"/>
  <c r="J97" i="371"/>
  <c r="K72" i="764"/>
  <c r="O69" i="173"/>
  <c r="M56" i="173"/>
  <c r="M57" i="173" s="1"/>
  <c r="M58" i="173" s="1"/>
  <c r="M59" i="173" s="1"/>
  <c r="M60" i="173" s="1"/>
  <c r="J89" i="63"/>
  <c r="K97" i="371"/>
  <c r="P94" i="546"/>
  <c r="O18" i="371"/>
  <c r="O54" i="371" s="1"/>
  <c r="O75" i="371" s="1"/>
  <c r="N54" i="371"/>
  <c r="N75" i="371" s="1"/>
  <c r="O17" i="371"/>
  <c r="O53" i="371" s="1"/>
  <c r="O74" i="371" s="1"/>
  <c r="N53" i="371"/>
  <c r="N74" i="371" s="1"/>
  <c r="N44" i="219"/>
  <c r="N66" i="219" s="1"/>
  <c r="M24" i="17"/>
  <c r="N48" i="63"/>
  <c r="N69" i="63" s="1"/>
  <c r="O12" i="63"/>
  <c r="O48" i="63" s="1"/>
  <c r="N49" i="63"/>
  <c r="N70" i="63" s="1"/>
  <c r="O13" i="63"/>
  <c r="O49" i="63" s="1"/>
  <c r="O70" i="63" s="1"/>
  <c r="N8" i="419"/>
  <c r="M96" i="419"/>
  <c r="P71" i="371"/>
  <c r="M46" i="219"/>
  <c r="M67" i="219" s="1"/>
  <c r="M75" i="371"/>
  <c r="M74" i="371"/>
  <c r="M49" i="219"/>
  <c r="N13" i="219"/>
  <c r="Q94" i="546"/>
  <c r="P95" i="546"/>
  <c r="N55" i="173"/>
  <c r="P10" i="173"/>
  <c r="O68" i="173"/>
  <c r="O37" i="173"/>
  <c r="K62" i="63"/>
  <c r="K80" i="63" s="1"/>
  <c r="I97" i="63"/>
  <c r="K90" i="371"/>
  <c r="K91" i="371" s="1"/>
  <c r="K93" i="371" s="1"/>
  <c r="K99" i="371"/>
  <c r="P93" i="546"/>
  <c r="R10" i="546"/>
  <c r="P100" i="546"/>
  <c r="M70" i="371"/>
  <c r="M92" i="419"/>
  <c r="M82" i="419"/>
  <c r="O3" i="419"/>
  <c r="N51" i="419"/>
  <c r="N72" i="419" s="1"/>
  <c r="N47" i="419"/>
  <c r="N68" i="419" s="1"/>
  <c r="N49" i="419"/>
  <c r="N70" i="419" s="1"/>
  <c r="N55" i="419"/>
  <c r="N76" i="419" s="1"/>
  <c r="N94" i="419"/>
  <c r="N53" i="419"/>
  <c r="N74" i="419" s="1"/>
  <c r="N60" i="419"/>
  <c r="N48" i="419"/>
  <c r="N69" i="419" s="1"/>
  <c r="N50" i="419"/>
  <c r="N71" i="419" s="1"/>
  <c r="N48" i="371"/>
  <c r="N69" i="371" s="1"/>
  <c r="O12" i="371"/>
  <c r="O48" i="371" s="1"/>
  <c r="O69" i="371" s="1"/>
  <c r="N59" i="219"/>
  <c r="O20" i="219"/>
  <c r="O59" i="219" s="1"/>
  <c r="L101" i="371"/>
  <c r="O96" i="18"/>
  <c r="P96" i="18" s="1"/>
  <c r="O60" i="18"/>
  <c r="P60" i="18" s="1"/>
  <c r="O94" i="18"/>
  <c r="M74" i="63"/>
  <c r="O103" i="63"/>
  <c r="O102" i="63"/>
  <c r="O104" i="63"/>
  <c r="O105" i="63"/>
  <c r="O44" i="63"/>
  <c r="O45" i="63"/>
  <c r="P45" i="63" s="1"/>
  <c r="M77" i="371"/>
  <c r="N59" i="419"/>
  <c r="J83" i="63"/>
  <c r="J84" i="63" s="1"/>
  <c r="J85" i="63" s="1"/>
  <c r="J86" i="63" s="1"/>
  <c r="J87" i="63" s="1"/>
  <c r="O53" i="18"/>
  <c r="O74" i="18" s="1"/>
  <c r="N50" i="63"/>
  <c r="N71" i="63" s="1"/>
  <c r="O14" i="63"/>
  <c r="O50" i="63" s="1"/>
  <c r="P47" i="63"/>
  <c r="N47" i="219"/>
  <c r="O11" i="219"/>
  <c r="O47" i="219" s="1"/>
  <c r="O68" i="219" s="1"/>
  <c r="N59" i="63"/>
  <c r="O20" i="63"/>
  <c r="N75" i="63"/>
  <c r="K100" i="63"/>
  <c r="N44" i="18"/>
  <c r="N92" i="18"/>
  <c r="N82" i="18"/>
  <c r="J80" i="63"/>
  <c r="N53" i="63"/>
  <c r="N74" i="63" s="1"/>
  <c r="O17" i="63"/>
  <c r="O53" i="63" s="1"/>
  <c r="O74" i="63" s="1"/>
  <c r="I90" i="63"/>
  <c r="I91" i="63" s="1"/>
  <c r="I93" i="63" s="1"/>
  <c r="I99" i="63"/>
  <c r="N104" i="219"/>
  <c r="N102" i="219"/>
  <c r="N105" i="219"/>
  <c r="O4" i="219"/>
  <c r="M100" i="371"/>
  <c r="O16" i="371"/>
  <c r="O52" i="371" s="1"/>
  <c r="N52" i="371"/>
  <c r="N73" i="371" s="1"/>
  <c r="P50" i="371"/>
  <c r="M67" i="63"/>
  <c r="M73" i="419"/>
  <c r="O11" i="18"/>
  <c r="O47" i="18" s="1"/>
  <c r="O68" i="18" s="1"/>
  <c r="N47" i="18"/>
  <c r="N68" i="18" s="1"/>
  <c r="N54" i="419"/>
  <c r="L56" i="63"/>
  <c r="L76" i="63"/>
  <c r="L57" i="63"/>
  <c r="L77" i="63" s="1"/>
  <c r="N66" i="63"/>
  <c r="N58" i="63"/>
  <c r="M46" i="371"/>
  <c r="M67" i="371" s="1"/>
  <c r="P70" i="18"/>
  <c r="Q55" i="764"/>
  <c r="Q51" i="764"/>
  <c r="O13" i="371"/>
  <c r="O49" i="371" s="1"/>
  <c r="O70" i="371" s="1"/>
  <c r="N49" i="371"/>
  <c r="N70" i="371" s="1"/>
  <c r="N102" i="18"/>
  <c r="N105" i="18"/>
  <c r="N103" i="18"/>
  <c r="O4" i="18"/>
  <c r="O44" i="18" s="1"/>
  <c r="N104" i="18"/>
  <c r="M46" i="18"/>
  <c r="M67" i="18" s="1"/>
  <c r="O15" i="419"/>
  <c r="N52" i="419"/>
  <c r="N73" i="419" s="1"/>
  <c r="M68" i="18"/>
  <c r="M76" i="419"/>
  <c r="M69" i="371"/>
  <c r="K61" i="63"/>
  <c r="K101" i="63"/>
  <c r="M55" i="63"/>
  <c r="N5" i="63"/>
  <c r="N46" i="63"/>
  <c r="N67" i="63" s="1"/>
  <c r="M58" i="371"/>
  <c r="M66" i="371"/>
  <c r="M62" i="371"/>
  <c r="N105" i="371"/>
  <c r="N102" i="371"/>
  <c r="N103" i="371"/>
  <c r="N104" i="371"/>
  <c r="O4" i="371"/>
  <c r="N57" i="371"/>
  <c r="N77" i="371" s="1"/>
  <c r="N56" i="371"/>
  <c r="N44" i="371"/>
  <c r="N45" i="371"/>
  <c r="J65" i="63"/>
  <c r="J78" i="63" s="1"/>
  <c r="J79" i="63" s="1"/>
  <c r="P96" i="546"/>
  <c r="L62" i="219"/>
  <c r="L80" i="219" s="1"/>
  <c r="K83" i="219"/>
  <c r="K84" i="219" s="1"/>
  <c r="K85" i="219" s="1"/>
  <c r="K86" i="219" s="1"/>
  <c r="K87" i="219" s="1"/>
  <c r="K81" i="18"/>
  <c r="K90" i="18" s="1"/>
  <c r="L61" i="219"/>
  <c r="J99" i="18"/>
  <c r="J90" i="18"/>
  <c r="J91" i="18" s="1"/>
  <c r="K89" i="219"/>
  <c r="K65" i="219"/>
  <c r="K78" i="219" s="1"/>
  <c r="K79" i="219" s="1"/>
  <c r="K81" i="219" s="1"/>
  <c r="P98" i="546"/>
  <c r="P101" i="546"/>
  <c r="Q125" i="546"/>
  <c r="P97" i="546"/>
  <c r="P99" i="546"/>
  <c r="P90" i="546"/>
  <c r="P111" i="546"/>
  <c r="P121" i="546"/>
  <c r="P102" i="546"/>
  <c r="AF56" i="546"/>
  <c r="R92" i="546"/>
  <c r="O107" i="546"/>
  <c r="I99" i="18"/>
  <c r="I90" i="18"/>
  <c r="A32" i="717"/>
  <c r="N50" i="18"/>
  <c r="N71" i="18" s="1"/>
  <c r="O14" i="18"/>
  <c r="O50" i="18" s="1"/>
  <c r="P103" i="546"/>
  <c r="R132" i="546"/>
  <c r="R131" i="546"/>
  <c r="R133" i="546"/>
  <c r="R134" i="546"/>
  <c r="N76" i="18"/>
  <c r="N57" i="18"/>
  <c r="N77" i="18" s="1"/>
  <c r="N56" i="18"/>
  <c r="P51" i="18"/>
  <c r="P49" i="18"/>
  <c r="N92" i="219"/>
  <c r="N82" i="219"/>
  <c r="P59" i="18"/>
  <c r="M69" i="18"/>
  <c r="M61" i="18"/>
  <c r="L101" i="219"/>
  <c r="I79" i="219"/>
  <c r="I81" i="219" s="1"/>
  <c r="H98" i="18"/>
  <c r="H90" i="18"/>
  <c r="O5" i="219"/>
  <c r="O55" i="219" s="1"/>
  <c r="O76" i="219" s="1"/>
  <c r="N55" i="219"/>
  <c r="O18" i="18"/>
  <c r="O54" i="18" s="1"/>
  <c r="N54" i="18"/>
  <c r="N75" i="18" s="1"/>
  <c r="R23" i="546"/>
  <c r="R182" i="546" s="1"/>
  <c r="J97" i="18"/>
  <c r="N74" i="18"/>
  <c r="P74" i="18" s="1"/>
  <c r="P53" i="18"/>
  <c r="O34" i="764"/>
  <c r="O36" i="764"/>
  <c r="O50" i="764" s="1"/>
  <c r="O39" i="764"/>
  <c r="O71" i="764"/>
  <c r="P8" i="764"/>
  <c r="O76" i="18"/>
  <c r="P55" i="18"/>
  <c r="O57" i="18"/>
  <c r="O56" i="18"/>
  <c r="O72" i="63"/>
  <c r="P51" i="63"/>
  <c r="I72" i="764"/>
  <c r="N48" i="18"/>
  <c r="O12" i="18"/>
  <c r="O48" i="18" s="1"/>
  <c r="M73" i="18"/>
  <c r="M100" i="18"/>
  <c r="M62" i="18"/>
  <c r="M76" i="219"/>
  <c r="M56" i="219"/>
  <c r="M57" i="219"/>
  <c r="M77" i="219" s="1"/>
  <c r="J97" i="219"/>
  <c r="J78" i="219"/>
  <c r="O71" i="219"/>
  <c r="P71" i="219" s="1"/>
  <c r="P50" i="219"/>
  <c r="H98" i="219"/>
  <c r="H90" i="219"/>
  <c r="A38" i="577"/>
  <c r="A65" i="577"/>
  <c r="N57" i="764"/>
  <c r="N67" i="764"/>
  <c r="N75" i="219"/>
  <c r="P54" i="219"/>
  <c r="N72" i="63"/>
  <c r="O53" i="219"/>
  <c r="O96" i="219"/>
  <c r="P96" i="219" s="1"/>
  <c r="O94" i="219"/>
  <c r="O60" i="219"/>
  <c r="P60" i="219" s="1"/>
  <c r="O45" i="219"/>
  <c r="P45" i="219" s="1"/>
  <c r="O44" i="219"/>
  <c r="P91" i="546"/>
  <c r="F91" i="219"/>
  <c r="O16" i="18"/>
  <c r="O52" i="18" s="1"/>
  <c r="N52" i="18"/>
  <c r="O69" i="219"/>
  <c r="P69" i="219" s="1"/>
  <c r="P48" i="219"/>
  <c r="O52" i="219"/>
  <c r="L100" i="219"/>
  <c r="L116" i="546"/>
  <c r="H97" i="219"/>
  <c r="B10" i="236"/>
  <c r="L105" i="546" l="1"/>
  <c r="L218" i="546" s="1"/>
  <c r="L106" i="546"/>
  <c r="R177" i="546"/>
  <c r="R181" i="546"/>
  <c r="M148" i="546"/>
  <c r="N148" i="546"/>
  <c r="N106" i="546" s="1"/>
  <c r="L83" i="18"/>
  <c r="L84" i="18" s="1"/>
  <c r="L85" i="18" s="1"/>
  <c r="L86" i="18" s="1"/>
  <c r="L87" i="18" s="1"/>
  <c r="L89" i="18"/>
  <c r="N48" i="173"/>
  <c r="M53" i="764"/>
  <c r="M47" i="764"/>
  <c r="N52" i="764"/>
  <c r="N76" i="764" s="1"/>
  <c r="M59" i="764"/>
  <c r="M60" i="764" s="1"/>
  <c r="M61" i="764" s="1"/>
  <c r="M62" i="764" s="1"/>
  <c r="M72" i="764" s="1"/>
  <c r="L54" i="173"/>
  <c r="L63" i="173" s="1"/>
  <c r="L64" i="173" s="1"/>
  <c r="L66" i="173" s="1"/>
  <c r="N75" i="764"/>
  <c r="K74" i="764"/>
  <c r="K65" i="764"/>
  <c r="K66" i="764" s="1"/>
  <c r="K68" i="764" s="1"/>
  <c r="M56" i="764"/>
  <c r="M65" i="764" s="1"/>
  <c r="N40" i="764"/>
  <c r="N47" i="764" s="1"/>
  <c r="O37" i="764"/>
  <c r="O48" i="764"/>
  <c r="M63" i="764"/>
  <c r="P54" i="764"/>
  <c r="L70" i="173"/>
  <c r="K72" i="173"/>
  <c r="M74" i="173"/>
  <c r="L74" i="173"/>
  <c r="M54" i="173"/>
  <c r="M72" i="173" s="1"/>
  <c r="N49" i="173"/>
  <c r="N74" i="173" s="1"/>
  <c r="N73" i="173"/>
  <c r="N51" i="173"/>
  <c r="O38" i="173"/>
  <c r="O36" i="173"/>
  <c r="O50" i="173" s="1"/>
  <c r="P70" i="764"/>
  <c r="Q70" i="764" s="1"/>
  <c r="P69" i="764"/>
  <c r="P68" i="173"/>
  <c r="Q68" i="173" s="1"/>
  <c r="P67" i="173"/>
  <c r="Q67" i="173" s="1"/>
  <c r="AC215" i="546"/>
  <c r="Q211" i="546"/>
  <c r="Q88" i="546" a="1"/>
  <c r="Q88" i="546" s="1"/>
  <c r="Q70" i="546" s="1"/>
  <c r="R139" i="546"/>
  <c r="R174" i="546"/>
  <c r="R217" i="546"/>
  <c r="R176" i="546"/>
  <c r="R167" i="546"/>
  <c r="R179" i="546"/>
  <c r="R180" i="546"/>
  <c r="R216" i="546" a="1"/>
  <c r="R216" i="546" s="1"/>
  <c r="R168" i="546"/>
  <c r="R178" i="546"/>
  <c r="Q215" i="546"/>
  <c r="Q185" i="546"/>
  <c r="Q100" i="546"/>
  <c r="Q212" i="546"/>
  <c r="AE18" i="546"/>
  <c r="R175" i="546"/>
  <c r="N113" i="546"/>
  <c r="N114" i="546" s="1"/>
  <c r="N115" i="546" s="1"/>
  <c r="N116" i="546" s="1"/>
  <c r="P70" i="546"/>
  <c r="P221" i="546"/>
  <c r="P140" i="546"/>
  <c r="Q202" i="546"/>
  <c r="Q142" i="546"/>
  <c r="Q143" i="546" s="1"/>
  <c r="O146" i="546"/>
  <c r="O147" i="546"/>
  <c r="O219" i="546"/>
  <c r="O112" i="546"/>
  <c r="O144" i="546"/>
  <c r="P145" i="546"/>
  <c r="M196" i="546"/>
  <c r="M197" i="546"/>
  <c r="M198" i="546"/>
  <c r="N196" i="546"/>
  <c r="N197" i="546"/>
  <c r="N198" i="546"/>
  <c r="O163" i="546"/>
  <c r="O109" i="546"/>
  <c r="O130" i="546" s="1" a="1"/>
  <c r="O130" i="546" s="1"/>
  <c r="O164" i="546" s="1"/>
  <c r="R67" i="546"/>
  <c r="R214" i="546" s="1"/>
  <c r="O117" i="546"/>
  <c r="AC103" i="546"/>
  <c r="AC185" i="546"/>
  <c r="R53" i="546"/>
  <c r="L83" i="371"/>
  <c r="L84" i="371" s="1"/>
  <c r="L85" i="371" s="1"/>
  <c r="L86" i="371" s="1"/>
  <c r="L87" i="371" s="1"/>
  <c r="L65" i="371"/>
  <c r="L78" i="371" s="1"/>
  <c r="L79" i="371" s="1"/>
  <c r="L81" i="371" s="1"/>
  <c r="L90" i="371" s="1"/>
  <c r="L91" i="371" s="1"/>
  <c r="L93" i="371" s="1"/>
  <c r="R123" i="546"/>
  <c r="AF123" i="546" s="1"/>
  <c r="AD68" i="546"/>
  <c r="AD215" i="546" s="1"/>
  <c r="AC169" i="546"/>
  <c r="AC55" i="546"/>
  <c r="AC203" i="546" s="1"/>
  <c r="AD133" i="546"/>
  <c r="AB91" i="546"/>
  <c r="AD165" i="546"/>
  <c r="AD132" i="546"/>
  <c r="AD134" i="546"/>
  <c r="AD166" i="546"/>
  <c r="AE12" i="546"/>
  <c r="Q71" i="546"/>
  <c r="AE16" i="546"/>
  <c r="R59" i="546"/>
  <c r="R207" i="546" s="1"/>
  <c r="AE23" i="546"/>
  <c r="AE68" i="546" s="1"/>
  <c r="R68" i="546"/>
  <c r="R184" i="546" s="1"/>
  <c r="R55" i="546"/>
  <c r="R203" i="546" s="1"/>
  <c r="R57" i="546"/>
  <c r="R205" i="546" s="1"/>
  <c r="AE14" i="546"/>
  <c r="R61" i="546"/>
  <c r="R209" i="546" s="1"/>
  <c r="R63" i="546"/>
  <c r="R66" i="546"/>
  <c r="R213" i="546" s="1"/>
  <c r="R69" i="546"/>
  <c r="AF69" i="546" s="1"/>
  <c r="R65" i="546"/>
  <c r="AF65" i="546" s="1"/>
  <c r="R62" i="546"/>
  <c r="R54" i="546"/>
  <c r="AF54" i="546" s="1"/>
  <c r="R60" i="546"/>
  <c r="R64" i="546"/>
  <c r="R212" i="546" s="1"/>
  <c r="L60" i="764"/>
  <c r="L61" i="764" s="1"/>
  <c r="L62" i="764" s="1"/>
  <c r="L72" i="764" s="1"/>
  <c r="B62" i="546"/>
  <c r="D175" i="546"/>
  <c r="P74" i="371"/>
  <c r="P54" i="371"/>
  <c r="P53" i="371"/>
  <c r="N61" i="173"/>
  <c r="P70" i="63"/>
  <c r="P47" i="18"/>
  <c r="O75" i="219"/>
  <c r="P75" i="219" s="1"/>
  <c r="N56" i="173"/>
  <c r="N57" i="173" s="1"/>
  <c r="N58" i="173" s="1"/>
  <c r="N59" i="173" s="1"/>
  <c r="N60" i="173" s="1"/>
  <c r="AF58" i="546"/>
  <c r="M70" i="173"/>
  <c r="P34" i="173"/>
  <c r="P69" i="173"/>
  <c r="Q69" i="173" s="1"/>
  <c r="O55" i="173"/>
  <c r="P37" i="173"/>
  <c r="Q37" i="173" s="1"/>
  <c r="N58" i="219"/>
  <c r="K97" i="219"/>
  <c r="K89" i="63"/>
  <c r="K99" i="18"/>
  <c r="N105" i="546"/>
  <c r="N218" i="546" s="1"/>
  <c r="M70" i="219"/>
  <c r="M101" i="371"/>
  <c r="P49" i="371"/>
  <c r="P49" i="63"/>
  <c r="O69" i="63"/>
  <c r="P69" i="63" s="1"/>
  <c r="P48" i="63"/>
  <c r="L97" i="18"/>
  <c r="J81" i="63"/>
  <c r="J99" i="63" s="1"/>
  <c r="N96" i="419"/>
  <c r="O8" i="419"/>
  <c r="P75" i="371"/>
  <c r="N49" i="219"/>
  <c r="N70" i="219" s="1"/>
  <c r="O13" i="219"/>
  <c r="O49" i="219" s="1"/>
  <c r="O70" i="219" s="1"/>
  <c r="Q95" i="546"/>
  <c r="L74" i="764"/>
  <c r="O52" i="173"/>
  <c r="M80" i="371"/>
  <c r="L65" i="219"/>
  <c r="L78" i="219" s="1"/>
  <c r="L61" i="63"/>
  <c r="L89" i="219"/>
  <c r="L83" i="219"/>
  <c r="L84" i="219" s="1"/>
  <c r="L85" i="219" s="1"/>
  <c r="L86" i="219" s="1"/>
  <c r="L87" i="219" s="1"/>
  <c r="P81" i="546"/>
  <c r="P83" i="546"/>
  <c r="P82" i="546"/>
  <c r="Q93" i="546"/>
  <c r="Q98" i="546"/>
  <c r="N58" i="371"/>
  <c r="N66" i="371"/>
  <c r="N101" i="371" s="1"/>
  <c r="N62" i="371"/>
  <c r="N80" i="371" s="1"/>
  <c r="O104" i="219"/>
  <c r="O105" i="219"/>
  <c r="O102" i="219"/>
  <c r="P44" i="18"/>
  <c r="O66" i="18"/>
  <c r="O58" i="18"/>
  <c r="O47" i="419"/>
  <c r="O51" i="419"/>
  <c r="O49" i="419"/>
  <c r="O94" i="419"/>
  <c r="P94" i="419" s="1"/>
  <c r="O48" i="419"/>
  <c r="O50" i="419"/>
  <c r="P76" i="18"/>
  <c r="N100" i="371"/>
  <c r="M61" i="371"/>
  <c r="N55" i="63"/>
  <c r="O5" i="63"/>
  <c r="O55" i="63" s="1"/>
  <c r="N46" i="18"/>
  <c r="L101" i="63"/>
  <c r="N75" i="419"/>
  <c r="P68" i="18"/>
  <c r="N58" i="18"/>
  <c r="N66" i="18"/>
  <c r="K65" i="63"/>
  <c r="P50" i="63"/>
  <c r="O71" i="63"/>
  <c r="P71" i="63" s="1"/>
  <c r="O46" i="63"/>
  <c r="P46" i="63" s="1"/>
  <c r="P53" i="63"/>
  <c r="O92" i="18"/>
  <c r="P92" i="18" s="1"/>
  <c r="O82" i="18"/>
  <c r="P82" i="18" s="1"/>
  <c r="P94" i="18"/>
  <c r="O59" i="419"/>
  <c r="P59" i="419" s="1"/>
  <c r="N46" i="371"/>
  <c r="N67" i="371" s="1"/>
  <c r="M56" i="63"/>
  <c r="M76" i="63"/>
  <c r="M57" i="63"/>
  <c r="M77" i="63" s="1"/>
  <c r="P48" i="371"/>
  <c r="O103" i="18"/>
  <c r="O104" i="18"/>
  <c r="O105" i="18"/>
  <c r="O102" i="18"/>
  <c r="P70" i="371"/>
  <c r="L62" i="63"/>
  <c r="O73" i="371"/>
  <c r="P73" i="371" s="1"/>
  <c r="P52" i="371"/>
  <c r="N46" i="219"/>
  <c r="N68" i="219"/>
  <c r="P68" i="219" s="1"/>
  <c r="P47" i="219"/>
  <c r="J97" i="63"/>
  <c r="O66" i="63"/>
  <c r="O58" i="63"/>
  <c r="P58" i="63" s="1"/>
  <c r="P44" i="63"/>
  <c r="P59" i="219"/>
  <c r="D4" i="419"/>
  <c r="O103" i="371"/>
  <c r="O105" i="371"/>
  <c r="O104" i="371"/>
  <c r="O102" i="371"/>
  <c r="O56" i="371"/>
  <c r="P56" i="371" s="1"/>
  <c r="O57" i="371"/>
  <c r="O77" i="371" s="1"/>
  <c r="P77" i="371" s="1"/>
  <c r="O44" i="371"/>
  <c r="O45" i="371"/>
  <c r="P45" i="371" s="1"/>
  <c r="P69" i="371"/>
  <c r="L100" i="63"/>
  <c r="P74" i="63"/>
  <c r="K83" i="63"/>
  <c r="K84" i="63" s="1"/>
  <c r="K85" i="63" s="1"/>
  <c r="K86" i="63" s="1"/>
  <c r="K87" i="63" s="1"/>
  <c r="O59" i="63"/>
  <c r="P59" i="63" s="1"/>
  <c r="O75" i="63"/>
  <c r="P75" i="63" s="1"/>
  <c r="O45" i="18"/>
  <c r="P45" i="18" s="1"/>
  <c r="N92" i="419"/>
  <c r="N82" i="419"/>
  <c r="P56" i="18"/>
  <c r="J93" i="18"/>
  <c r="M101" i="219"/>
  <c r="O56" i="219"/>
  <c r="Q96" i="546"/>
  <c r="Q99" i="546"/>
  <c r="Q101" i="546"/>
  <c r="Q111" i="546"/>
  <c r="Q121" i="546"/>
  <c r="Q97" i="546"/>
  <c r="Q102" i="546"/>
  <c r="Q90" i="546"/>
  <c r="R125" i="546"/>
  <c r="Q91" i="546"/>
  <c r="AF92" i="546"/>
  <c r="P107" i="546"/>
  <c r="I99" i="219"/>
  <c r="I90" i="219"/>
  <c r="K99" i="219"/>
  <c r="K90" i="219"/>
  <c r="M101" i="18"/>
  <c r="P72" i="63"/>
  <c r="L66" i="764"/>
  <c r="H91" i="18"/>
  <c r="H93" i="18" s="1"/>
  <c r="M100" i="219"/>
  <c r="O92" i="219"/>
  <c r="P92" i="219" s="1"/>
  <c r="O82" i="219"/>
  <c r="P94" i="219"/>
  <c r="K91" i="18"/>
  <c r="K93" i="18" s="1"/>
  <c r="F93" i="219"/>
  <c r="P71" i="764"/>
  <c r="Q71" i="764" s="1"/>
  <c r="P34" i="764"/>
  <c r="P39" i="764"/>
  <c r="Q39" i="764" s="1"/>
  <c r="P36" i="764"/>
  <c r="P50" i="764" s="1"/>
  <c r="I91" i="18"/>
  <c r="I93" i="18" s="1"/>
  <c r="M61" i="219"/>
  <c r="M62" i="219"/>
  <c r="M80" i="219" s="1"/>
  <c r="N73" i="18"/>
  <c r="N62" i="18"/>
  <c r="N80" i="18" s="1"/>
  <c r="N100" i="18"/>
  <c r="L126" i="546"/>
  <c r="O73" i="18"/>
  <c r="P52" i="18"/>
  <c r="A39" i="577"/>
  <c r="M80" i="18"/>
  <c r="O69" i="18"/>
  <c r="P48" i="18"/>
  <c r="O67" i="764"/>
  <c r="O57" i="764"/>
  <c r="Q103" i="546"/>
  <c r="O75" i="18"/>
  <c r="P75" i="18" s="1"/>
  <c r="P54" i="18"/>
  <c r="L99" i="18"/>
  <c r="L90" i="18"/>
  <c r="O58" i="219"/>
  <c r="O66" i="219"/>
  <c r="P44" i="219"/>
  <c r="O74" i="219"/>
  <c r="P74" i="219" s="1"/>
  <c r="P53" i="219"/>
  <c r="O73" i="219"/>
  <c r="P73" i="219" s="1"/>
  <c r="P52" i="219"/>
  <c r="M115" i="546"/>
  <c r="O57" i="219"/>
  <c r="A66" i="577"/>
  <c r="H91" i="219"/>
  <c r="H93" i="219" s="1"/>
  <c r="J79" i="219"/>
  <c r="J81" i="219" s="1"/>
  <c r="N69" i="18"/>
  <c r="O77" i="18"/>
  <c r="P77" i="18" s="1"/>
  <c r="P57" i="18"/>
  <c r="N76" i="219"/>
  <c r="N56" i="219"/>
  <c r="N57" i="219"/>
  <c r="N77" i="219" s="1"/>
  <c r="O71" i="18"/>
  <c r="P71" i="18" s="1"/>
  <c r="P50" i="18"/>
  <c r="M105" i="546" l="1"/>
  <c r="M218" i="546" s="1"/>
  <c r="M106" i="546"/>
  <c r="Q129" i="546"/>
  <c r="O148" i="546"/>
  <c r="O106" i="546" s="1"/>
  <c r="L97" i="371"/>
  <c r="L99" i="371"/>
  <c r="L72" i="173"/>
  <c r="O48" i="173"/>
  <c r="O52" i="764"/>
  <c r="N63" i="764"/>
  <c r="N53" i="764"/>
  <c r="N56" i="764" s="1"/>
  <c r="N65" i="764" s="1"/>
  <c r="N58" i="764"/>
  <c r="N59" i="764" s="1"/>
  <c r="N60" i="764" s="1"/>
  <c r="N61" i="764" s="1"/>
  <c r="N62" i="764" s="1"/>
  <c r="N72" i="764" s="1"/>
  <c r="O76" i="764"/>
  <c r="M74" i="764"/>
  <c r="O75" i="764"/>
  <c r="P48" i="764"/>
  <c r="P37" i="764"/>
  <c r="O40" i="764"/>
  <c r="O47" i="764" s="1"/>
  <c r="N70" i="173"/>
  <c r="M63" i="173"/>
  <c r="M64" i="173" s="1"/>
  <c r="M66" i="173" s="1"/>
  <c r="O62" i="173"/>
  <c r="O49" i="173"/>
  <c r="O74" i="173" s="1"/>
  <c r="O73" i="173"/>
  <c r="N54" i="173"/>
  <c r="N72" i="173" s="1"/>
  <c r="O51" i="173"/>
  <c r="P38" i="173"/>
  <c r="P36" i="173"/>
  <c r="P49" i="173" s="1"/>
  <c r="R211" i="546"/>
  <c r="R88" i="546" a="1"/>
  <c r="R88" i="546" s="1"/>
  <c r="R129" i="546" s="1"/>
  <c r="R215" i="546"/>
  <c r="R185" i="546"/>
  <c r="R98" i="546"/>
  <c r="AF98" i="546" s="1"/>
  <c r="R210" i="546"/>
  <c r="AF60" i="546"/>
  <c r="R208" i="546"/>
  <c r="P147" i="546"/>
  <c r="P219" i="546"/>
  <c r="Q219" i="546"/>
  <c r="Q145" i="546"/>
  <c r="R202" i="546"/>
  <c r="R142" i="546"/>
  <c r="R143" i="546" s="1"/>
  <c r="Q221" i="546"/>
  <c r="Q140" i="546"/>
  <c r="Q141" i="546" s="1"/>
  <c r="O225" i="546"/>
  <c r="O113" i="546"/>
  <c r="O114" i="546" s="1"/>
  <c r="O115" i="546" s="1"/>
  <c r="O116" i="546" s="1"/>
  <c r="P141" i="546"/>
  <c r="P144" i="546" s="1"/>
  <c r="P146" i="546"/>
  <c r="O198" i="546"/>
  <c r="O197" i="546"/>
  <c r="O196" i="546"/>
  <c r="P117" i="546"/>
  <c r="P109" i="546"/>
  <c r="P130" i="546" s="1" a="1"/>
  <c r="P130" i="546" s="1"/>
  <c r="P164" i="546" s="1"/>
  <c r="AD185" i="546"/>
  <c r="AD103" i="546"/>
  <c r="AD184" i="546"/>
  <c r="AE182" i="546"/>
  <c r="P163" i="546"/>
  <c r="AD169" i="546"/>
  <c r="R96" i="546"/>
  <c r="AF96" i="546" s="1"/>
  <c r="AC91" i="546"/>
  <c r="AD55" i="546"/>
  <c r="AD203" i="546" s="1"/>
  <c r="AE165" i="546"/>
  <c r="AE166" i="546"/>
  <c r="AE133" i="546"/>
  <c r="AE131" i="546"/>
  <c r="AE134" i="546"/>
  <c r="AE132" i="546"/>
  <c r="R71" i="546"/>
  <c r="P58" i="219"/>
  <c r="AE185" i="546"/>
  <c r="AE215" i="546"/>
  <c r="AE184" i="546"/>
  <c r="AE103" i="546"/>
  <c r="R94" i="546"/>
  <c r="AF94" i="546" s="1"/>
  <c r="B63" i="546"/>
  <c r="D176" i="546"/>
  <c r="N61" i="18"/>
  <c r="J90" i="63"/>
  <c r="J91" i="63" s="1"/>
  <c r="J93" i="63" s="1"/>
  <c r="O56" i="173"/>
  <c r="O57" i="173" s="1"/>
  <c r="AF62" i="546"/>
  <c r="P55" i="173"/>
  <c r="Q55" i="173" s="1"/>
  <c r="P65" i="173"/>
  <c r="Q65" i="173" s="1"/>
  <c r="R100" i="546"/>
  <c r="AF100" i="546" s="1"/>
  <c r="Q34" i="173"/>
  <c r="L65" i="63"/>
  <c r="L78" i="63" s="1"/>
  <c r="L79" i="63" s="1"/>
  <c r="AF64" i="546"/>
  <c r="AF61" i="546"/>
  <c r="AF66" i="546"/>
  <c r="O96" i="419"/>
  <c r="P96" i="419" s="1"/>
  <c r="O54" i="419"/>
  <c r="O62" i="18"/>
  <c r="O80" i="18" s="1"/>
  <c r="P80" i="18" s="1"/>
  <c r="O53" i="419"/>
  <c r="P70" i="219"/>
  <c r="P49" i="219"/>
  <c r="P66" i="18"/>
  <c r="O60" i="419"/>
  <c r="P60" i="419" s="1"/>
  <c r="L97" i="219"/>
  <c r="O52" i="419"/>
  <c r="O73" i="419" s="1"/>
  <c r="P73" i="419" s="1"/>
  <c r="O55" i="419"/>
  <c r="O46" i="219"/>
  <c r="O67" i="219" s="1"/>
  <c r="O105" i="546"/>
  <c r="O218" i="546" s="1"/>
  <c r="AF59" i="546"/>
  <c r="R95" i="546"/>
  <c r="L68" i="764"/>
  <c r="P52" i="173"/>
  <c r="Q52" i="173" s="1"/>
  <c r="Q39" i="173"/>
  <c r="P55" i="63"/>
  <c r="N101" i="18"/>
  <c r="L83" i="63"/>
  <c r="L84" i="63" s="1"/>
  <c r="L85" i="63" s="1"/>
  <c r="L86" i="63" s="1"/>
  <c r="L87" i="63" s="1"/>
  <c r="P57" i="371"/>
  <c r="M61" i="63"/>
  <c r="O100" i="18"/>
  <c r="Q81" i="546"/>
  <c r="Q83" i="546"/>
  <c r="Q82" i="546"/>
  <c r="R93" i="546"/>
  <c r="AF57" i="546"/>
  <c r="O66" i="371"/>
  <c r="O58" i="371"/>
  <c r="P58" i="371" s="1"/>
  <c r="O62" i="371"/>
  <c r="O100" i="371"/>
  <c r="P44" i="371"/>
  <c r="O69" i="419"/>
  <c r="P69" i="419" s="1"/>
  <c r="P48" i="419"/>
  <c r="O72" i="419"/>
  <c r="P72" i="419" s="1"/>
  <c r="P51" i="419"/>
  <c r="K78" i="63"/>
  <c r="K97" i="63"/>
  <c r="O71" i="419"/>
  <c r="P71" i="419" s="1"/>
  <c r="P50" i="419"/>
  <c r="O68" i="419"/>
  <c r="P68" i="419" s="1"/>
  <c r="P47" i="419"/>
  <c r="L89" i="63"/>
  <c r="N101" i="219"/>
  <c r="N67" i="219"/>
  <c r="P67" i="219" s="1"/>
  <c r="P46" i="219"/>
  <c r="O46" i="18"/>
  <c r="M101" i="63"/>
  <c r="O67" i="63"/>
  <c r="P67" i="63" s="1"/>
  <c r="O76" i="63"/>
  <c r="O57" i="63"/>
  <c r="O56" i="63"/>
  <c r="O74" i="419"/>
  <c r="P74" i="419" s="1"/>
  <c r="P53" i="419"/>
  <c r="O82" i="419"/>
  <c r="P82" i="419" s="1"/>
  <c r="O92" i="419"/>
  <c r="P92" i="419" s="1"/>
  <c r="P58" i="18"/>
  <c r="O46" i="371"/>
  <c r="D105" i="419"/>
  <c r="D44" i="419"/>
  <c r="D56" i="419"/>
  <c r="D104" i="419"/>
  <c r="E4" i="419"/>
  <c r="D103" i="419"/>
  <c r="D102" i="419"/>
  <c r="D46" i="419" s="1"/>
  <c r="D45" i="419"/>
  <c r="P66" i="63"/>
  <c r="L80" i="63"/>
  <c r="M100" i="63"/>
  <c r="M62" i="63"/>
  <c r="M80" i="63" s="1"/>
  <c r="N67" i="18"/>
  <c r="N76" i="63"/>
  <c r="N57" i="63"/>
  <c r="N77" i="63" s="1"/>
  <c r="N56" i="63"/>
  <c r="O70" i="419"/>
  <c r="P70" i="419" s="1"/>
  <c r="P49" i="419"/>
  <c r="N61" i="371"/>
  <c r="O101" i="18"/>
  <c r="O62" i="219"/>
  <c r="O80" i="219" s="1"/>
  <c r="N100" i="219"/>
  <c r="AF125" i="546"/>
  <c r="Q107" i="546"/>
  <c r="R91" i="546"/>
  <c r="AF63" i="546"/>
  <c r="R99" i="546"/>
  <c r="R121" i="546"/>
  <c r="AF121" i="546" s="1"/>
  <c r="R111" i="546"/>
  <c r="AF111" i="546" s="1"/>
  <c r="R102" i="546"/>
  <c r="AF102" i="546" s="1"/>
  <c r="R101" i="546"/>
  <c r="R97" i="546"/>
  <c r="AF53" i="546"/>
  <c r="R90" i="546"/>
  <c r="AF104" i="546"/>
  <c r="AF67" i="546"/>
  <c r="AF55" i="546"/>
  <c r="J90" i="219"/>
  <c r="J99" i="219"/>
  <c r="Q41" i="764"/>
  <c r="P82" i="219"/>
  <c r="N126" i="546"/>
  <c r="M116" i="546"/>
  <c r="P66" i="219"/>
  <c r="M66" i="764"/>
  <c r="M68" i="764" s="1"/>
  <c r="AG70" i="546"/>
  <c r="P76" i="219"/>
  <c r="N61" i="219"/>
  <c r="N62" i="219"/>
  <c r="N80" i="219" s="1"/>
  <c r="O77" i="219"/>
  <c r="P77" i="219" s="1"/>
  <c r="P57" i="219"/>
  <c r="O100" i="219"/>
  <c r="O61" i="219"/>
  <c r="L91" i="18"/>
  <c r="L93" i="18" s="1"/>
  <c r="A40" i="577"/>
  <c r="R103" i="546"/>
  <c r="AF68" i="546"/>
  <c r="P73" i="18"/>
  <c r="K91" i="219"/>
  <c r="K93" i="219" s="1"/>
  <c r="I91" i="219"/>
  <c r="I93" i="219" s="1"/>
  <c r="A67" i="577"/>
  <c r="P56" i="219"/>
  <c r="L79" i="219"/>
  <c r="L81" i="219" s="1"/>
  <c r="P69" i="18"/>
  <c r="Q50" i="764"/>
  <c r="Q36" i="764"/>
  <c r="Q34" i="764"/>
  <c r="P57" i="764"/>
  <c r="P67" i="764"/>
  <c r="Q67" i="764" s="1"/>
  <c r="Q69" i="764"/>
  <c r="O54" i="173" l="1"/>
  <c r="O72" i="173" s="1"/>
  <c r="P48" i="173"/>
  <c r="P52" i="764"/>
  <c r="O53" i="764"/>
  <c r="O58" i="764"/>
  <c r="O59" i="764" s="1"/>
  <c r="O60" i="764" s="1"/>
  <c r="O61" i="764" s="1"/>
  <c r="O62" i="764" s="1"/>
  <c r="O72" i="764" s="1"/>
  <c r="P40" i="764"/>
  <c r="Q40" i="764" s="1"/>
  <c r="O64" i="764"/>
  <c r="P76" i="764"/>
  <c r="P75" i="764"/>
  <c r="Q36" i="173"/>
  <c r="P50" i="173"/>
  <c r="Q50" i="173" s="1"/>
  <c r="P62" i="173"/>
  <c r="Q62" i="173" s="1"/>
  <c r="N63" i="173"/>
  <c r="N64" i="173" s="1"/>
  <c r="N66" i="173" s="1"/>
  <c r="P51" i="173"/>
  <c r="P73" i="173"/>
  <c r="P148" i="546"/>
  <c r="Q147" i="546"/>
  <c r="Q146" i="546"/>
  <c r="R70" i="546"/>
  <c r="Q144" i="546"/>
  <c r="R145" i="546"/>
  <c r="R140" i="546"/>
  <c r="R141" i="546" s="1"/>
  <c r="R221" i="546"/>
  <c r="Q112" i="546"/>
  <c r="Q225" i="546" s="1"/>
  <c r="Q118" i="546"/>
  <c r="P197" i="546"/>
  <c r="P196" i="546"/>
  <c r="P198" i="546"/>
  <c r="Q89" i="546"/>
  <c r="Q163" i="546"/>
  <c r="Q109" i="546"/>
  <c r="Q130" i="546" s="1" a="1"/>
  <c r="Q130" i="546" s="1"/>
  <c r="Q164" i="546" s="1"/>
  <c r="AE169" i="546"/>
  <c r="AD91" i="546"/>
  <c r="AE55" i="546"/>
  <c r="B64" i="546"/>
  <c r="D177" i="546"/>
  <c r="N74" i="764"/>
  <c r="L97" i="63"/>
  <c r="P56" i="173"/>
  <c r="Q49" i="173"/>
  <c r="O61" i="63"/>
  <c r="O75" i="419"/>
  <c r="P75" i="419" s="1"/>
  <c r="P54" i="419"/>
  <c r="P62" i="18"/>
  <c r="P52" i="419"/>
  <c r="N61" i="63"/>
  <c r="O76" i="419"/>
  <c r="P76" i="419" s="1"/>
  <c r="P55" i="419"/>
  <c r="AF95" i="546"/>
  <c r="Q54" i="764"/>
  <c r="O63" i="173"/>
  <c r="O64" i="173" s="1"/>
  <c r="O58" i="173"/>
  <c r="M83" i="63"/>
  <c r="M84" i="63" s="1"/>
  <c r="M85" i="63" s="1"/>
  <c r="M86" i="63" s="1"/>
  <c r="M87" i="63" s="1"/>
  <c r="M89" i="63"/>
  <c r="O61" i="371"/>
  <c r="P61" i="371" s="1"/>
  <c r="AF93" i="546"/>
  <c r="AF73" i="546"/>
  <c r="N101" i="63"/>
  <c r="P76" i="63"/>
  <c r="D67" i="419"/>
  <c r="O67" i="18"/>
  <c r="P67" i="18" s="1"/>
  <c r="O61" i="18"/>
  <c r="P61" i="18" s="1"/>
  <c r="P46" i="18"/>
  <c r="D66" i="419"/>
  <c r="D100" i="419"/>
  <c r="D58" i="419"/>
  <c r="D61" i="419" s="1"/>
  <c r="D62" i="419"/>
  <c r="P56" i="63"/>
  <c r="O100" i="63"/>
  <c r="O62" i="63"/>
  <c r="O80" i="63" s="1"/>
  <c r="N100" i="63"/>
  <c r="N62" i="63"/>
  <c r="N80" i="63" s="1"/>
  <c r="E104" i="419"/>
  <c r="E44" i="419"/>
  <c r="E102" i="419"/>
  <c r="E103" i="419"/>
  <c r="E56" i="419"/>
  <c r="F4" i="419"/>
  <c r="E105" i="419"/>
  <c r="E45" i="419"/>
  <c r="O77" i="63"/>
  <c r="O101" i="63" s="1"/>
  <c r="P57" i="63"/>
  <c r="K79" i="63"/>
  <c r="K81" i="63" s="1"/>
  <c r="O101" i="371"/>
  <c r="P66" i="371"/>
  <c r="M65" i="63"/>
  <c r="O67" i="371"/>
  <c r="P67" i="371" s="1"/>
  <c r="P46" i="371"/>
  <c r="O80" i="371"/>
  <c r="P80" i="371" s="1"/>
  <c r="P62" i="371"/>
  <c r="L81" i="63"/>
  <c r="AF91" i="546"/>
  <c r="AF101" i="546"/>
  <c r="AF90" i="546"/>
  <c r="AF97" i="546"/>
  <c r="AF99" i="546"/>
  <c r="R107" i="546"/>
  <c r="AF72" i="546"/>
  <c r="Q48" i="764"/>
  <c r="M126" i="546"/>
  <c r="N66" i="764"/>
  <c r="N68" i="764" s="1"/>
  <c r="AF71" i="546"/>
  <c r="O101" i="219"/>
  <c r="J91" i="219"/>
  <c r="J93" i="219" s="1"/>
  <c r="P62" i="219"/>
  <c r="L99" i="219"/>
  <c r="L90" i="219"/>
  <c r="A68" i="577"/>
  <c r="P80" i="219"/>
  <c r="O126" i="546"/>
  <c r="P61" i="219"/>
  <c r="Q57" i="764"/>
  <c r="AF103" i="546"/>
  <c r="A41" i="577"/>
  <c r="P105" i="546" l="1"/>
  <c r="P218" i="546" s="1"/>
  <c r="P106" i="546"/>
  <c r="Q148" i="546"/>
  <c r="O56" i="764"/>
  <c r="P53" i="764"/>
  <c r="Q53" i="764" s="1"/>
  <c r="P58" i="764"/>
  <c r="P59" i="764" s="1"/>
  <c r="Q59" i="764" s="1"/>
  <c r="P64" i="764"/>
  <c r="Q64" i="764" s="1"/>
  <c r="P47" i="764"/>
  <c r="Q47" i="764"/>
  <c r="P74" i="173"/>
  <c r="Q113" i="546"/>
  <c r="Q114" i="546" s="1"/>
  <c r="Q115" i="546" s="1"/>
  <c r="Q116" i="546" s="1"/>
  <c r="R147" i="546"/>
  <c r="R144" i="546"/>
  <c r="R146" i="546"/>
  <c r="R219" i="546"/>
  <c r="Q197" i="546"/>
  <c r="Q196" i="546"/>
  <c r="Q198" i="546"/>
  <c r="R163" i="546"/>
  <c r="R109" i="546"/>
  <c r="R130" i="546" s="1" a="1"/>
  <c r="R130" i="546" s="1"/>
  <c r="R164" i="546" s="1"/>
  <c r="AE91" i="546"/>
  <c r="AE203" i="546"/>
  <c r="B65" i="546"/>
  <c r="D178" i="546"/>
  <c r="P54" i="173"/>
  <c r="P72" i="173" s="1"/>
  <c r="Q72" i="173" s="1"/>
  <c r="P61" i="63"/>
  <c r="P57" i="173"/>
  <c r="O66" i="173"/>
  <c r="O59" i="173"/>
  <c r="O89" i="63"/>
  <c r="P77" i="63"/>
  <c r="P80" i="63"/>
  <c r="D83" i="419"/>
  <c r="D84" i="419" s="1"/>
  <c r="D85" i="419" s="1"/>
  <c r="D86" i="419" s="1"/>
  <c r="D87" i="419" s="1"/>
  <c r="P62" i="63"/>
  <c r="O83" i="63"/>
  <c r="O84" i="63" s="1"/>
  <c r="M78" i="63"/>
  <c r="M97" i="63"/>
  <c r="K99" i="63"/>
  <c r="K90" i="63"/>
  <c r="K91" i="63" s="1"/>
  <c r="K93" i="63" s="1"/>
  <c r="E46" i="419"/>
  <c r="D88" i="419"/>
  <c r="D101" i="419"/>
  <c r="L90" i="63"/>
  <c r="L91" i="63" s="1"/>
  <c r="L93" i="63" s="1"/>
  <c r="L99" i="63"/>
  <c r="G4" i="419"/>
  <c r="F102" i="419"/>
  <c r="F105" i="419"/>
  <c r="F56" i="419"/>
  <c r="F104" i="419"/>
  <c r="F103" i="419"/>
  <c r="F44" i="419"/>
  <c r="F45" i="419"/>
  <c r="E58" i="419"/>
  <c r="E66" i="419"/>
  <c r="E101" i="419" s="1"/>
  <c r="E62" i="419"/>
  <c r="E80" i="419" s="1"/>
  <c r="E100" i="419"/>
  <c r="N83" i="63"/>
  <c r="O65" i="63"/>
  <c r="O78" i="63" s="1"/>
  <c r="O79" i="63" s="1"/>
  <c r="D80" i="419"/>
  <c r="N65" i="63"/>
  <c r="D65" i="419"/>
  <c r="N89" i="63"/>
  <c r="AF107" i="546"/>
  <c r="A69" i="577"/>
  <c r="L91" i="219"/>
  <c r="L93" i="219" s="1"/>
  <c r="A42" i="577"/>
  <c r="Q105" i="546" l="1"/>
  <c r="Q218" i="546" s="1"/>
  <c r="Q106" i="546"/>
  <c r="Q58" i="764"/>
  <c r="O74" i="764"/>
  <c r="O65" i="764"/>
  <c r="O66" i="764" s="1"/>
  <c r="O68" i="764" s="1"/>
  <c r="P56" i="764"/>
  <c r="P74" i="764" s="1"/>
  <c r="R148" i="546"/>
  <c r="R198" i="546"/>
  <c r="R197" i="546"/>
  <c r="R196" i="546"/>
  <c r="R81" i="546"/>
  <c r="B66" i="546"/>
  <c r="D179" i="546"/>
  <c r="P58" i="173"/>
  <c r="P59" i="173" s="1"/>
  <c r="P60" i="173" s="1"/>
  <c r="P70" i="173" s="1"/>
  <c r="P63" i="173"/>
  <c r="P64" i="173" s="1"/>
  <c r="E61" i="419"/>
  <c r="E65" i="419" s="1"/>
  <c r="E78" i="419" s="1"/>
  <c r="O60" i="173"/>
  <c r="O85" i="63"/>
  <c r="O86" i="63" s="1"/>
  <c r="O87" i="63" s="1"/>
  <c r="O97" i="63" s="1"/>
  <c r="O81" i="63"/>
  <c r="O90" i="63" s="1"/>
  <c r="F100" i="419"/>
  <c r="F66" i="419"/>
  <c r="F62" i="419"/>
  <c r="F80" i="419" s="1"/>
  <c r="F58" i="419"/>
  <c r="F46" i="419"/>
  <c r="F67" i="419" s="1"/>
  <c r="M79" i="63"/>
  <c r="M81" i="63" s="1"/>
  <c r="D78" i="419"/>
  <c r="D97" i="419"/>
  <c r="N84" i="63"/>
  <c r="P83" i="63"/>
  <c r="G104" i="419"/>
  <c r="H4" i="419"/>
  <c r="G56" i="419"/>
  <c r="G105" i="419"/>
  <c r="G103" i="419"/>
  <c r="G102" i="419"/>
  <c r="G44" i="419"/>
  <c r="G45" i="419"/>
  <c r="N78" i="63"/>
  <c r="P78" i="63" s="1"/>
  <c r="E67" i="419"/>
  <c r="P65" i="63"/>
  <c r="P60" i="764"/>
  <c r="Q60" i="764" s="1"/>
  <c r="D218" i="546"/>
  <c r="A43" i="577"/>
  <c r="Q126" i="546"/>
  <c r="Q74" i="764" l="1"/>
  <c r="R105" i="546"/>
  <c r="R218" i="546" s="1"/>
  <c r="R106" i="546"/>
  <c r="Q56" i="764"/>
  <c r="P65" i="764"/>
  <c r="P66" i="764" s="1"/>
  <c r="Q66" i="764" s="1"/>
  <c r="R89" i="546"/>
  <c r="R112" i="546"/>
  <c r="R225" i="546" s="1"/>
  <c r="R118" i="546"/>
  <c r="S118" i="546" s="1"/>
  <c r="B67" i="546"/>
  <c r="D180" i="546"/>
  <c r="P66" i="173"/>
  <c r="P89" i="63"/>
  <c r="C88" i="18" s="1"/>
  <c r="P88" i="18" s="1"/>
  <c r="M37" i="18" s="1"/>
  <c r="E88" i="419"/>
  <c r="E83" i="419"/>
  <c r="E84" i="419" s="1"/>
  <c r="E85" i="419" s="1"/>
  <c r="E86" i="419" s="1"/>
  <c r="E87" i="419" s="1"/>
  <c r="E97" i="419" s="1"/>
  <c r="F61" i="419"/>
  <c r="F83" i="419" s="1"/>
  <c r="F84" i="419" s="1"/>
  <c r="F85" i="419" s="1"/>
  <c r="F86" i="419" s="1"/>
  <c r="F87" i="419" s="1"/>
  <c r="O99" i="63"/>
  <c r="P61" i="764"/>
  <c r="P62" i="764" s="1"/>
  <c r="P72" i="764" s="1"/>
  <c r="Q72" i="764" s="1"/>
  <c r="O70" i="173"/>
  <c r="E79" i="419"/>
  <c r="E81" i="419" s="1"/>
  <c r="E90" i="419" s="1"/>
  <c r="E91" i="419" s="1"/>
  <c r="E93" i="419" s="1"/>
  <c r="D79" i="419"/>
  <c r="D81" i="419" s="1"/>
  <c r="G66" i="419"/>
  <c r="G58" i="419"/>
  <c r="G100" i="419"/>
  <c r="G62" i="419"/>
  <c r="G80" i="419" s="1"/>
  <c r="N85" i="63"/>
  <c r="P84" i="63"/>
  <c r="M90" i="63"/>
  <c r="M91" i="63" s="1"/>
  <c r="M93" i="63" s="1"/>
  <c r="M99" i="63"/>
  <c r="F101" i="419"/>
  <c r="N79" i="63"/>
  <c r="N81" i="63" s="1"/>
  <c r="G46" i="419"/>
  <c r="G67" i="419" s="1"/>
  <c r="H104" i="419"/>
  <c r="H102" i="419"/>
  <c r="H56" i="419"/>
  <c r="H105" i="419"/>
  <c r="H103" i="419"/>
  <c r="I4" i="419"/>
  <c r="H44" i="419"/>
  <c r="H45" i="419"/>
  <c r="Q65" i="764"/>
  <c r="D219" i="546"/>
  <c r="B107" i="546"/>
  <c r="B108" i="546" s="1"/>
  <c r="O91" i="63"/>
  <c r="A44" i="577"/>
  <c r="P68" i="764" l="1"/>
  <c r="Q68" i="764" s="1"/>
  <c r="B68" i="546"/>
  <c r="D181" i="546"/>
  <c r="M63" i="18"/>
  <c r="N37" i="18"/>
  <c r="F88" i="419"/>
  <c r="F65" i="419"/>
  <c r="F78" i="419" s="1"/>
  <c r="F79" i="419" s="1"/>
  <c r="F81" i="419" s="1"/>
  <c r="E98" i="419"/>
  <c r="Q62" i="764"/>
  <c r="H46" i="419"/>
  <c r="H67" i="419" s="1"/>
  <c r="N99" i="63"/>
  <c r="P99" i="63" s="1"/>
  <c r="C98" i="18" s="1"/>
  <c r="P98" i="18" s="1"/>
  <c r="N90" i="63"/>
  <c r="N91" i="63" s="1"/>
  <c r="N93" i="63" s="1"/>
  <c r="P81" i="63"/>
  <c r="I56" i="419"/>
  <c r="I103" i="419"/>
  <c r="I102" i="419"/>
  <c r="I105" i="419"/>
  <c r="I104" i="419"/>
  <c r="J4" i="419"/>
  <c r="I44" i="419"/>
  <c r="I45" i="419"/>
  <c r="D90" i="419"/>
  <c r="D91" i="419" s="1"/>
  <c r="D93" i="419" s="1"/>
  <c r="D98" i="419"/>
  <c r="N86" i="63"/>
  <c r="N87" i="63" s="1"/>
  <c r="P85" i="63"/>
  <c r="G61" i="419"/>
  <c r="G101" i="419"/>
  <c r="P79" i="63"/>
  <c r="H58" i="419"/>
  <c r="H66" i="419"/>
  <c r="H100" i="419"/>
  <c r="H62" i="419"/>
  <c r="D220" i="546"/>
  <c r="A45" i="577"/>
  <c r="O93" i="63"/>
  <c r="B69" i="546" l="1"/>
  <c r="D182" i="546"/>
  <c r="F97" i="419"/>
  <c r="O37" i="18"/>
  <c r="O63" i="18" s="1"/>
  <c r="N63" i="18"/>
  <c r="M89" i="18"/>
  <c r="M83" i="18"/>
  <c r="M84" i="18" s="1"/>
  <c r="M85" i="18" s="1"/>
  <c r="M86" i="18" s="1"/>
  <c r="M87" i="18" s="1"/>
  <c r="M65" i="18"/>
  <c r="P90" i="63"/>
  <c r="I46" i="419"/>
  <c r="I67" i="419" s="1"/>
  <c r="P93" i="63"/>
  <c r="H61" i="419"/>
  <c r="H65" i="419" s="1"/>
  <c r="H78" i="419" s="1"/>
  <c r="H79" i="419" s="1"/>
  <c r="P91" i="63"/>
  <c r="G88" i="419"/>
  <c r="G65" i="419"/>
  <c r="G83" i="419"/>
  <c r="G84" i="419" s="1"/>
  <c r="G85" i="419" s="1"/>
  <c r="G86" i="419" s="1"/>
  <c r="G87" i="419" s="1"/>
  <c r="H80" i="419"/>
  <c r="I66" i="419"/>
  <c r="I100" i="419"/>
  <c r="I58" i="419"/>
  <c r="I62" i="419"/>
  <c r="I80" i="419" s="1"/>
  <c r="H101" i="419"/>
  <c r="P87" i="63"/>
  <c r="N97" i="63"/>
  <c r="P97" i="63" s="1"/>
  <c r="F98" i="419"/>
  <c r="F90" i="419"/>
  <c r="F91" i="419" s="1"/>
  <c r="F93" i="419" s="1"/>
  <c r="K4" i="419"/>
  <c r="J56" i="419"/>
  <c r="J104" i="419"/>
  <c r="J105" i="419"/>
  <c r="J102" i="419"/>
  <c r="J103" i="419"/>
  <c r="J45" i="419"/>
  <c r="J44" i="419"/>
  <c r="D222" i="546"/>
  <c r="B111" i="546"/>
  <c r="D183" i="546" l="1"/>
  <c r="B70" i="546"/>
  <c r="I61" i="419"/>
  <c r="I89" i="419" s="1"/>
  <c r="N89" i="18"/>
  <c r="N83" i="18"/>
  <c r="N65" i="18"/>
  <c r="N78" i="18" s="1"/>
  <c r="N79" i="18" s="1"/>
  <c r="P63" i="18"/>
  <c r="M78" i="18"/>
  <c r="M79" i="18" s="1"/>
  <c r="M81" i="18" s="1"/>
  <c r="M97" i="18"/>
  <c r="O89" i="18"/>
  <c r="O65" i="18"/>
  <c r="O78" i="18" s="1"/>
  <c r="O83" i="18"/>
  <c r="H88" i="419"/>
  <c r="H83" i="419"/>
  <c r="H84" i="419" s="1"/>
  <c r="H85" i="419" s="1"/>
  <c r="H86" i="419" s="1"/>
  <c r="H87" i="419" s="1"/>
  <c r="H97" i="419" s="1"/>
  <c r="I101" i="419"/>
  <c r="G78" i="419"/>
  <c r="G79" i="419" s="1"/>
  <c r="G81" i="419" s="1"/>
  <c r="G97" i="419"/>
  <c r="J46" i="419"/>
  <c r="K102" i="419"/>
  <c r="K104" i="419"/>
  <c r="K56" i="419"/>
  <c r="L4" i="419"/>
  <c r="K105" i="419"/>
  <c r="K103" i="419"/>
  <c r="K44" i="419"/>
  <c r="K45" i="419"/>
  <c r="J58" i="419"/>
  <c r="J66" i="419"/>
  <c r="J100" i="419"/>
  <c r="J62" i="419"/>
  <c r="J80" i="419" s="1"/>
  <c r="H81" i="419"/>
  <c r="B112" i="546"/>
  <c r="D223" i="546"/>
  <c r="I65" i="419" l="1"/>
  <c r="I83" i="419"/>
  <c r="I84" i="419" s="1"/>
  <c r="I85" i="419" s="1"/>
  <c r="I86" i="419" s="1"/>
  <c r="I87" i="419" s="1"/>
  <c r="I97" i="419" s="1"/>
  <c r="B71" i="546"/>
  <c r="D184" i="546"/>
  <c r="P78" i="18"/>
  <c r="P89" i="18"/>
  <c r="C88" i="219" s="1"/>
  <c r="P88" i="219" s="1"/>
  <c r="M37" i="219" s="1"/>
  <c r="M63" i="219" s="1"/>
  <c r="M89" i="219" s="1"/>
  <c r="P65" i="18"/>
  <c r="N84" i="18"/>
  <c r="P83" i="18"/>
  <c r="O84" i="18"/>
  <c r="O85" i="18" s="1"/>
  <c r="O86" i="18" s="1"/>
  <c r="O87" i="18" s="1"/>
  <c r="O97" i="18" s="1"/>
  <c r="M99" i="18"/>
  <c r="M90" i="18"/>
  <c r="M91" i="18" s="1"/>
  <c r="M93" i="18" s="1"/>
  <c r="O79" i="18"/>
  <c r="P79" i="18" s="1"/>
  <c r="I78" i="419"/>
  <c r="I79" i="419" s="1"/>
  <c r="N81" i="18"/>
  <c r="N99" i="18" s="1"/>
  <c r="H90" i="419"/>
  <c r="H91" i="419" s="1"/>
  <c r="H93" i="419" s="1"/>
  <c r="H98" i="419"/>
  <c r="G90" i="419"/>
  <c r="G91" i="419" s="1"/>
  <c r="G93" i="419" s="1"/>
  <c r="G98" i="419"/>
  <c r="J61" i="419"/>
  <c r="J65" i="419" s="1"/>
  <c r="K46" i="419"/>
  <c r="K67" i="419" s="1"/>
  <c r="L103" i="419"/>
  <c r="M4" i="419"/>
  <c r="L105" i="419"/>
  <c r="L104" i="419"/>
  <c r="L56" i="419"/>
  <c r="L102" i="419"/>
  <c r="L45" i="419"/>
  <c r="L44" i="419"/>
  <c r="J67" i="419"/>
  <c r="J101" i="419"/>
  <c r="K66" i="419"/>
  <c r="K58" i="419"/>
  <c r="K61" i="419" s="1"/>
  <c r="K100" i="419"/>
  <c r="K62" i="419"/>
  <c r="K80" i="419" s="1"/>
  <c r="B113" i="546"/>
  <c r="B114" i="546" s="1"/>
  <c r="D224" i="546"/>
  <c r="B72" i="546" l="1"/>
  <c r="D185" i="546"/>
  <c r="N37" i="219"/>
  <c r="N63" i="219" s="1"/>
  <c r="N83" i="219" s="1"/>
  <c r="N84" i="219" s="1"/>
  <c r="N85" i="18"/>
  <c r="P84" i="18"/>
  <c r="O81" i="18"/>
  <c r="P81" i="18" s="1"/>
  <c r="M83" i="219"/>
  <c r="M84" i="219" s="1"/>
  <c r="M85" i="219" s="1"/>
  <c r="M86" i="219" s="1"/>
  <c r="M87" i="219" s="1"/>
  <c r="M65" i="219"/>
  <c r="N90" i="18"/>
  <c r="N91" i="18" s="1"/>
  <c r="I81" i="419"/>
  <c r="I90" i="419" s="1"/>
  <c r="I91" i="419" s="1"/>
  <c r="I93" i="419" s="1"/>
  <c r="K83" i="419"/>
  <c r="K84" i="419" s="1"/>
  <c r="K85" i="419" s="1"/>
  <c r="K86" i="419" s="1"/>
  <c r="K87" i="419" s="1"/>
  <c r="J78" i="419"/>
  <c r="J79" i="419" s="1"/>
  <c r="J81" i="419" s="1"/>
  <c r="L100" i="419"/>
  <c r="L58" i="419"/>
  <c r="L66" i="419"/>
  <c r="L62" i="419"/>
  <c r="L80" i="419" s="1"/>
  <c r="K89" i="419"/>
  <c r="J83" i="419"/>
  <c r="J84" i="419" s="1"/>
  <c r="J85" i="419" s="1"/>
  <c r="J86" i="419" s="1"/>
  <c r="J87" i="419" s="1"/>
  <c r="J97" i="419" s="1"/>
  <c r="K65" i="419"/>
  <c r="K101" i="419"/>
  <c r="J89" i="419"/>
  <c r="L46" i="419"/>
  <c r="L67" i="419" s="1"/>
  <c r="N4" i="419"/>
  <c r="M56" i="419"/>
  <c r="M102" i="419"/>
  <c r="M105" i="419"/>
  <c r="M103" i="419"/>
  <c r="M104" i="419"/>
  <c r="M44" i="419"/>
  <c r="M45" i="419"/>
  <c r="D226" i="546"/>
  <c r="B115" i="546"/>
  <c r="O37" i="219" l="1"/>
  <c r="O63" i="219" s="1"/>
  <c r="O89" i="219" s="1"/>
  <c r="B73" i="546"/>
  <c r="D186" i="546"/>
  <c r="N89" i="219"/>
  <c r="N65" i="219"/>
  <c r="N78" i="219" s="1"/>
  <c r="N79" i="219" s="1"/>
  <c r="I99" i="419"/>
  <c r="M78" i="219"/>
  <c r="M79" i="219" s="1"/>
  <c r="M81" i="219" s="1"/>
  <c r="M97" i="219"/>
  <c r="N86" i="18"/>
  <c r="N87" i="18" s="1"/>
  <c r="P85" i="18"/>
  <c r="O90" i="18"/>
  <c r="O99" i="18"/>
  <c r="P99" i="18" s="1"/>
  <c r="C98" i="219" s="1"/>
  <c r="P98" i="219" s="1"/>
  <c r="N85" i="219"/>
  <c r="L61" i="419"/>
  <c r="L65" i="419" s="1"/>
  <c r="L78" i="419" s="1"/>
  <c r="L79" i="419" s="1"/>
  <c r="L81" i="419" s="1"/>
  <c r="J99" i="419"/>
  <c r="J90" i="419"/>
  <c r="N93" i="18"/>
  <c r="N104" i="419"/>
  <c r="N105" i="419"/>
  <c r="N56" i="419"/>
  <c r="N102" i="419"/>
  <c r="N103" i="419"/>
  <c r="O4" i="419"/>
  <c r="N45" i="419"/>
  <c r="N44" i="419"/>
  <c r="K97" i="419"/>
  <c r="K78" i="419"/>
  <c r="K79" i="419" s="1"/>
  <c r="K81" i="419" s="1"/>
  <c r="L101" i="419"/>
  <c r="M58" i="419"/>
  <c r="M66" i="419"/>
  <c r="M101" i="419" s="1"/>
  <c r="M100" i="419"/>
  <c r="M62" i="419"/>
  <c r="M46" i="419"/>
  <c r="M67" i="419" s="1"/>
  <c r="D227" i="546"/>
  <c r="B116" i="546"/>
  <c r="D187" i="546" l="1"/>
  <c r="B74" i="546"/>
  <c r="P89" i="219"/>
  <c r="C88" i="371" s="1"/>
  <c r="P88" i="371" s="1"/>
  <c r="M37" i="371" s="1"/>
  <c r="N37" i="371" s="1"/>
  <c r="N63" i="371" s="1"/>
  <c r="N65" i="371" s="1"/>
  <c r="N78" i="371" s="1"/>
  <c r="N79" i="371" s="1"/>
  <c r="N81" i="371" s="1"/>
  <c r="O83" i="219"/>
  <c r="O65" i="219"/>
  <c r="P63" i="219"/>
  <c r="M90" i="219"/>
  <c r="M91" i="219" s="1"/>
  <c r="M93" i="219" s="1"/>
  <c r="M99" i="219"/>
  <c r="P87" i="18"/>
  <c r="N97" i="18"/>
  <c r="P97" i="18" s="1"/>
  <c r="O91" i="18"/>
  <c r="P91" i="18" s="1"/>
  <c r="P90" i="18"/>
  <c r="L83" i="419"/>
  <c r="L84" i="419" s="1"/>
  <c r="L85" i="419" s="1"/>
  <c r="L86" i="419" s="1"/>
  <c r="L87" i="419" s="1"/>
  <c r="L97" i="419" s="1"/>
  <c r="L89" i="419"/>
  <c r="N81" i="219"/>
  <c r="N86" i="219"/>
  <c r="N87" i="219" s="1"/>
  <c r="N66" i="419"/>
  <c r="N101" i="419" s="1"/>
  <c r="N58" i="419"/>
  <c r="N100" i="419"/>
  <c r="N62" i="419"/>
  <c r="N80" i="419" s="1"/>
  <c r="N46" i="419"/>
  <c r="N67" i="419" s="1"/>
  <c r="K90" i="419"/>
  <c r="K91" i="419" s="1"/>
  <c r="K93" i="419" s="1"/>
  <c r="K99" i="419"/>
  <c r="O105" i="419"/>
  <c r="O103" i="419"/>
  <c r="O102" i="419"/>
  <c r="O56" i="419"/>
  <c r="P56" i="419" s="1"/>
  <c r="O104" i="419"/>
  <c r="O45" i="419"/>
  <c r="P45" i="419" s="1"/>
  <c r="O44" i="419"/>
  <c r="J91" i="419"/>
  <c r="J93" i="419" s="1"/>
  <c r="M80" i="419"/>
  <c r="M61" i="419"/>
  <c r="L99" i="419"/>
  <c r="L90" i="419"/>
  <c r="L91" i="419" s="1"/>
  <c r="L93" i="419" s="1"/>
  <c r="D228" i="546"/>
  <c r="B117" i="546"/>
  <c r="B75" i="546" l="1"/>
  <c r="D188" i="546"/>
  <c r="O93" i="18"/>
  <c r="P93" i="18" s="1"/>
  <c r="N83" i="371"/>
  <c r="N84" i="371" s="1"/>
  <c r="M63" i="371"/>
  <c r="M83" i="371" s="1"/>
  <c r="M84" i="371" s="1"/>
  <c r="M85" i="371" s="1"/>
  <c r="M86" i="371" s="1"/>
  <c r="M87" i="371" s="1"/>
  <c r="N89" i="371"/>
  <c r="O37" i="371"/>
  <c r="O63" i="371" s="1"/>
  <c r="O83" i="371" s="1"/>
  <c r="O84" i="371" s="1"/>
  <c r="O85" i="371" s="1"/>
  <c r="O86" i="371" s="1"/>
  <c r="O87" i="371" s="1"/>
  <c r="O78" i="219"/>
  <c r="P65" i="219"/>
  <c r="O84" i="219"/>
  <c r="P83" i="219"/>
  <c r="N90" i="219"/>
  <c r="N99" i="219"/>
  <c r="N97" i="219"/>
  <c r="O58" i="419"/>
  <c r="P58" i="419" s="1"/>
  <c r="O66" i="419"/>
  <c r="O100" i="419"/>
  <c r="O62" i="419"/>
  <c r="P44" i="419"/>
  <c r="O46" i="419"/>
  <c r="N61" i="419"/>
  <c r="B118" i="546"/>
  <c r="D229" i="546"/>
  <c r="N90" i="371"/>
  <c r="N99" i="371"/>
  <c r="M89" i="371" l="1"/>
  <c r="M65" i="371"/>
  <c r="M78" i="371" s="1"/>
  <c r="D189" i="546"/>
  <c r="B76" i="546"/>
  <c r="P63" i="371"/>
  <c r="O65" i="371"/>
  <c r="O78" i="371" s="1"/>
  <c r="O89" i="371"/>
  <c r="P83" i="371"/>
  <c r="O85" i="219"/>
  <c r="P84" i="219"/>
  <c r="O79" i="219"/>
  <c r="P79" i="219" s="1"/>
  <c r="P78" i="219"/>
  <c r="N85" i="371"/>
  <c r="P84" i="371"/>
  <c r="N91" i="219"/>
  <c r="O67" i="419"/>
  <c r="P67" i="419" s="1"/>
  <c r="P46" i="419"/>
  <c r="O61" i="419"/>
  <c r="P61" i="419" s="1"/>
  <c r="O101" i="419"/>
  <c r="P66" i="419"/>
  <c r="O80" i="419"/>
  <c r="P80" i="419" s="1"/>
  <c r="P62" i="419"/>
  <c r="D230" i="546"/>
  <c r="B119" i="546"/>
  <c r="N91" i="371"/>
  <c r="N93" i="371" s="1"/>
  <c r="M97" i="371" l="1"/>
  <c r="P89" i="371"/>
  <c r="C88" i="419" s="1"/>
  <c r="P88" i="419" s="1"/>
  <c r="M37" i="419" s="1"/>
  <c r="M63" i="419" s="1"/>
  <c r="M65" i="419" s="1"/>
  <c r="M78" i="419" s="1"/>
  <c r="M79" i="419" s="1"/>
  <c r="M81" i="419" s="1"/>
  <c r="M99" i="419" s="1"/>
  <c r="B77" i="546"/>
  <c r="B78" i="546" s="1"/>
  <c r="B79" i="546" s="1"/>
  <c r="D190" i="546"/>
  <c r="O97" i="371"/>
  <c r="O79" i="371"/>
  <c r="O81" i="371" s="1"/>
  <c r="P65" i="371"/>
  <c r="O81" i="219"/>
  <c r="P81" i="219" s="1"/>
  <c r="M79" i="371"/>
  <c r="P78" i="371"/>
  <c r="O86" i="219"/>
  <c r="O87" i="219" s="1"/>
  <c r="P85" i="219"/>
  <c r="N93" i="219"/>
  <c r="N86" i="371"/>
  <c r="N87" i="371" s="1"/>
  <c r="P85" i="371"/>
  <c r="B120" i="546"/>
  <c r="D231" i="546"/>
  <c r="N37" i="419" l="1"/>
  <c r="N63" i="419" s="1"/>
  <c r="N83" i="419" s="1"/>
  <c r="N84" i="419" s="1"/>
  <c r="N85" i="419" s="1"/>
  <c r="N86" i="419" s="1"/>
  <c r="N87" i="419" s="1"/>
  <c r="B80" i="546"/>
  <c r="D191" i="546"/>
  <c r="M83" i="419"/>
  <c r="M84" i="419" s="1"/>
  <c r="M85" i="419" s="1"/>
  <c r="M86" i="419" s="1"/>
  <c r="M87" i="419" s="1"/>
  <c r="M97" i="419" s="1"/>
  <c r="M89" i="419"/>
  <c r="O37" i="419"/>
  <c r="O63" i="419" s="1"/>
  <c r="O89" i="419" s="1"/>
  <c r="O90" i="219"/>
  <c r="P90" i="219" s="1"/>
  <c r="O99" i="219"/>
  <c r="P99" i="219" s="1"/>
  <c r="C98" i="371" s="1"/>
  <c r="P98" i="371" s="1"/>
  <c r="O99" i="371"/>
  <c r="O90" i="371"/>
  <c r="O91" i="371" s="1"/>
  <c r="M81" i="371"/>
  <c r="P79" i="371"/>
  <c r="P87" i="219"/>
  <c r="O97" i="219"/>
  <c r="P97" i="219" s="1"/>
  <c r="M90" i="419"/>
  <c r="M91" i="419" s="1"/>
  <c r="M93" i="419" s="1"/>
  <c r="N97" i="371"/>
  <c r="P97" i="371" s="1"/>
  <c r="P87" i="371"/>
  <c r="D232" i="546"/>
  <c r="B121" i="546"/>
  <c r="C73" i="497"/>
  <c r="C44" i="717"/>
  <c r="N89" i="419" l="1"/>
  <c r="N65" i="419"/>
  <c r="N78" i="419" s="1"/>
  <c r="N79" i="419" s="1"/>
  <c r="N81" i="419" s="1"/>
  <c r="N99" i="419" s="1"/>
  <c r="B81" i="546"/>
  <c r="D195" i="546" s="1"/>
  <c r="D194" i="546"/>
  <c r="O83" i="419"/>
  <c r="P83" i="419" s="1"/>
  <c r="O91" i="219"/>
  <c r="P91" i="219" s="1"/>
  <c r="P89" i="419"/>
  <c r="O65" i="419"/>
  <c r="O78" i="419" s="1"/>
  <c r="P78" i="419" s="1"/>
  <c r="P63" i="419"/>
  <c r="O93" i="371"/>
  <c r="M99" i="371"/>
  <c r="P99" i="371" s="1"/>
  <c r="C98" i="419" s="1"/>
  <c r="P98" i="419" s="1"/>
  <c r="M90" i="371"/>
  <c r="P81" i="371"/>
  <c r="D233" i="546"/>
  <c r="B122" i="546"/>
  <c r="N97" i="419" l="1"/>
  <c r="N90" i="419"/>
  <c r="N91" i="419" s="1"/>
  <c r="N93" i="419" s="1"/>
  <c r="B82" i="546"/>
  <c r="D196" i="546"/>
  <c r="P65" i="419"/>
  <c r="O84" i="419"/>
  <c r="P84" i="419" s="1"/>
  <c r="O79" i="419"/>
  <c r="P79" i="419" s="1"/>
  <c r="O93" i="219"/>
  <c r="P93" i="219" s="1"/>
  <c r="M91" i="371"/>
  <c r="P90" i="371"/>
  <c r="D234" i="546"/>
  <c r="B123" i="546"/>
  <c r="O85" i="419" l="1"/>
  <c r="P85" i="419" s="1"/>
  <c r="D197" i="546"/>
  <c r="B83" i="546"/>
  <c r="O81" i="419"/>
  <c r="O99" i="419" s="1"/>
  <c r="P99" i="419" s="1"/>
  <c r="M93" i="371"/>
  <c r="P93" i="371" s="1"/>
  <c r="P91" i="371"/>
  <c r="B124" i="546"/>
  <c r="D235" i="546"/>
  <c r="O86" i="419" l="1"/>
  <c r="O87" i="419" s="1"/>
  <c r="P87" i="419" s="1"/>
  <c r="D198" i="546"/>
  <c r="B84" i="546"/>
  <c r="B85" i="546" s="1"/>
  <c r="B86" i="546" s="1"/>
  <c r="B87" i="546" s="1"/>
  <c r="P81" i="419"/>
  <c r="O90" i="419"/>
  <c r="O91" i="419" s="1"/>
  <c r="P91" i="419" s="1"/>
  <c r="D236" i="546"/>
  <c r="B125" i="546"/>
  <c r="P90" i="419" l="1"/>
  <c r="O97" i="419"/>
  <c r="P97" i="419" s="1"/>
  <c r="O93" i="419"/>
  <c r="P93" i="419" s="1"/>
  <c r="B89" i="546"/>
  <c r="D199" i="546"/>
  <c r="B126" i="546"/>
  <c r="D237" i="546"/>
  <c r="B90" i="546" l="1"/>
  <c r="D201" i="546"/>
  <c r="D238" i="546"/>
  <c r="B127" i="546"/>
  <c r="B128" i="546" s="1"/>
  <c r="B129" i="546" s="1"/>
  <c r="B130" i="546" s="1"/>
  <c r="B131" i="546" s="1"/>
  <c r="B132" i="546" s="1"/>
  <c r="B133" i="546" s="1"/>
  <c r="B134" i="546" s="1"/>
  <c r="B91" i="546" l="1"/>
  <c r="D202" i="546"/>
  <c r="AF118" i="546"/>
  <c r="R113" i="546"/>
  <c r="B92" i="546" l="1"/>
  <c r="D203" i="546"/>
  <c r="R114" i="546"/>
  <c r="D204" i="546" l="1"/>
  <c r="B93" i="546"/>
  <c r="R115" i="546"/>
  <c r="B94" i="546" l="1"/>
  <c r="D205" i="546"/>
  <c r="R116" i="546"/>
  <c r="B95" i="546" l="1"/>
  <c r="D206" i="546"/>
  <c r="R126" i="546"/>
  <c r="B96" i="546" l="1"/>
  <c r="D207" i="546"/>
  <c r="C12" i="717"/>
  <c r="D208" i="546" l="1"/>
  <c r="B97" i="546"/>
  <c r="D209" i="546" l="1"/>
  <c r="B98" i="546"/>
  <c r="G199" i="546"/>
  <c r="F46" i="577"/>
  <c r="I39" i="577"/>
  <c r="D14" i="497"/>
  <c r="M11" i="577"/>
  <c r="S75" i="499"/>
  <c r="G4" i="497"/>
  <c r="H75" i="499"/>
  <c r="K10" i="577"/>
  <c r="H7" i="577"/>
  <c r="G52" i="577"/>
  <c r="J62" i="577"/>
  <c r="H50" i="497"/>
  <c r="J25" i="497"/>
  <c r="F69" i="577"/>
  <c r="D19" i="499"/>
  <c r="M12" i="499"/>
  <c r="R15" i="499"/>
  <c r="O47" i="497"/>
  <c r="K75" i="499"/>
  <c r="F22" i="577"/>
  <c r="D4" i="499"/>
  <c r="J7" i="499"/>
  <c r="J51" i="497"/>
  <c r="N61" i="499"/>
  <c r="H55" i="717"/>
  <c r="F73" i="497"/>
  <c r="Q71" i="499"/>
  <c r="C11" i="895"/>
  <c r="P63" i="499"/>
  <c r="N50" i="577"/>
  <c r="D7" i="717"/>
  <c r="N52" i="497"/>
  <c r="O59" i="577"/>
  <c r="K73" i="499"/>
  <c r="H9" i="577"/>
  <c r="R54" i="499"/>
  <c r="P19" i="499"/>
  <c r="K23" i="497"/>
  <c r="J12" i="499"/>
  <c r="I63" i="499"/>
  <c r="K60" i="577"/>
  <c r="F57" i="499"/>
  <c r="N14" i="497"/>
  <c r="O46" i="499"/>
  <c r="I11" i="497"/>
  <c r="D33" i="497"/>
  <c r="N84" i="577"/>
  <c r="D25" i="497"/>
  <c r="H51" i="497"/>
  <c r="Q10" i="499"/>
  <c r="I10" i="499"/>
  <c r="O26" i="499"/>
  <c r="G40" i="497"/>
  <c r="C13" i="895"/>
  <c r="F61" i="497"/>
  <c r="D15" i="499"/>
  <c r="M11" i="499"/>
  <c r="N7" i="577"/>
  <c r="C17" i="236"/>
  <c r="F37" i="499"/>
  <c r="H83" i="717"/>
  <c r="E5" i="499"/>
  <c r="H15" i="717"/>
  <c r="N9" i="499"/>
  <c r="N38" i="577"/>
  <c r="P44" i="499"/>
  <c r="H12" i="499"/>
  <c r="Q35" i="499"/>
  <c r="G41" i="499"/>
  <c r="I49" i="499"/>
  <c r="H37" i="497"/>
  <c r="K17" i="499"/>
  <c r="D27" i="497"/>
  <c r="J58" i="499"/>
  <c r="S27" i="499"/>
  <c r="I3" i="497"/>
  <c r="O43" i="577"/>
  <c r="D6" i="577"/>
  <c r="P59" i="499"/>
  <c r="E50" i="499"/>
  <c r="I65" i="499"/>
  <c r="I16" i="497"/>
  <c r="Q56" i="499"/>
  <c r="I32" i="497"/>
  <c r="E50" i="497"/>
  <c r="K63" i="497"/>
  <c r="M72" i="577"/>
  <c r="F71" i="577"/>
  <c r="H30" i="497"/>
  <c r="E13" i="717"/>
  <c r="R29" i="499"/>
  <c r="L18" i="499"/>
  <c r="F52" i="577"/>
  <c r="R59" i="499"/>
  <c r="H33" i="499"/>
  <c r="P70" i="499"/>
  <c r="J11" i="499"/>
  <c r="K63" i="499"/>
  <c r="E21" i="497"/>
  <c r="G58" i="497"/>
  <c r="F28" i="497"/>
  <c r="C15" i="236"/>
  <c r="L8" i="499"/>
  <c r="R37" i="499"/>
  <c r="F39" i="497"/>
  <c r="J68" i="499"/>
  <c r="O25" i="497"/>
  <c r="H25" i="717"/>
  <c r="D63" i="577"/>
  <c r="O56" i="499"/>
  <c r="E44" i="577"/>
  <c r="P87" i="499"/>
  <c r="R7" i="499"/>
  <c r="N33" i="577"/>
  <c r="E36" i="499"/>
  <c r="L11" i="499"/>
  <c r="N3" i="497"/>
  <c r="H66" i="499"/>
  <c r="F9" i="577"/>
  <c r="H80" i="577"/>
  <c r="H45" i="717"/>
  <c r="L74" i="499"/>
  <c r="H61" i="577"/>
  <c r="E56" i="497"/>
  <c r="P48" i="499"/>
  <c r="O80" i="499"/>
  <c r="R26" i="499"/>
  <c r="Q42" i="499"/>
  <c r="S26" i="499"/>
  <c r="Q87" i="499"/>
  <c r="F75" i="577"/>
  <c r="F22" i="499"/>
  <c r="M71" i="499"/>
  <c r="F51" i="499"/>
  <c r="D28" i="499"/>
  <c r="J43" i="499"/>
  <c r="K73" i="497"/>
  <c r="Q16" i="499"/>
  <c r="N9" i="577"/>
  <c r="R56" i="499"/>
  <c r="F37" i="577"/>
  <c r="L84" i="499"/>
  <c r="O41" i="577"/>
  <c r="N81" i="499"/>
  <c r="F44" i="577"/>
  <c r="O9" i="577"/>
  <c r="J65" i="577"/>
  <c r="N60" i="577"/>
  <c r="O12" i="497"/>
  <c r="D12" i="499"/>
  <c r="M27" i="499"/>
  <c r="H17" i="497"/>
  <c r="H76" i="717"/>
  <c r="D11" i="497"/>
  <c r="K75" i="577"/>
  <c r="M30" i="499"/>
  <c r="I62" i="499"/>
  <c r="F25" i="497"/>
  <c r="C32" i="895"/>
  <c r="M10" i="577"/>
  <c r="K18" i="499"/>
  <c r="M68" i="499"/>
  <c r="J10" i="577"/>
  <c r="D83" i="577"/>
  <c r="F81" i="577"/>
  <c r="I33" i="497"/>
  <c r="H16" i="717"/>
  <c r="O60" i="577"/>
  <c r="Q82" i="499"/>
  <c r="N48" i="577"/>
  <c r="P6" i="499"/>
  <c r="L10" i="497"/>
  <c r="I56" i="499"/>
  <c r="M16" i="497"/>
  <c r="H22" i="499"/>
  <c r="P67" i="499"/>
  <c r="H3" i="497"/>
  <c r="K77" i="499"/>
  <c r="G76" i="499"/>
  <c r="J22" i="497"/>
  <c r="N50" i="497"/>
  <c r="S68" i="499"/>
  <c r="F80" i="577"/>
  <c r="Q23" i="499"/>
  <c r="L7" i="499"/>
  <c r="D9" i="497"/>
  <c r="F7" i="497"/>
  <c r="H57" i="577"/>
  <c r="H50" i="577"/>
  <c r="F18" i="499"/>
  <c r="O63" i="499"/>
  <c r="N19" i="499"/>
  <c r="F28" i="499"/>
  <c r="L41" i="497"/>
  <c r="F18" i="497"/>
  <c r="I52" i="577"/>
  <c r="H49" i="717"/>
  <c r="I40" i="497"/>
  <c r="J6" i="499"/>
  <c r="F46" i="497"/>
  <c r="D5" i="497"/>
  <c r="F25" i="499"/>
  <c r="F53" i="497"/>
  <c r="E64" i="577"/>
  <c r="L72" i="497"/>
  <c r="L49" i="499"/>
  <c r="L12" i="577"/>
  <c r="Q67" i="499"/>
  <c r="I32" i="499"/>
  <c r="G81" i="499"/>
  <c r="E60" i="499"/>
  <c r="Q25" i="499"/>
  <c r="E82" i="577"/>
  <c r="N34" i="577"/>
  <c r="I11" i="499"/>
  <c r="F83" i="577"/>
  <c r="J72" i="499"/>
  <c r="E71" i="577"/>
  <c r="P51" i="499"/>
  <c r="M74" i="499"/>
  <c r="I79" i="577"/>
  <c r="L73" i="497"/>
  <c r="P73" i="499"/>
  <c r="D24" i="497"/>
  <c r="E35" i="717"/>
  <c r="O20" i="499"/>
  <c r="J72" i="497"/>
  <c r="G55" i="577"/>
  <c r="H24" i="499"/>
  <c r="O27" i="499"/>
  <c r="H8" i="497"/>
  <c r="H12" i="497"/>
  <c r="M28" i="497"/>
  <c r="M64" i="497"/>
  <c r="G68" i="499"/>
  <c r="J60" i="499"/>
  <c r="H19" i="717"/>
  <c r="F59" i="497"/>
  <c r="N13" i="577"/>
  <c r="K81" i="499"/>
  <c r="H75" i="577"/>
  <c r="K16" i="499"/>
  <c r="E60" i="717"/>
  <c r="H45" i="497"/>
  <c r="G46" i="497"/>
  <c r="L85" i="577"/>
  <c r="E44" i="497"/>
  <c r="L30" i="499"/>
  <c r="Q72" i="499"/>
  <c r="K85" i="497"/>
  <c r="N85" i="497"/>
  <c r="F47" i="499"/>
  <c r="H27" i="497"/>
  <c r="F80" i="499"/>
  <c r="D7" i="499"/>
  <c r="I13" i="497"/>
  <c r="S52" i="499"/>
  <c r="K31" i="499"/>
  <c r="Q76" i="499"/>
  <c r="G34" i="577"/>
  <c r="J69" i="499"/>
  <c r="C21" i="895"/>
  <c r="J37" i="499"/>
  <c r="O6" i="577"/>
  <c r="N62" i="577"/>
  <c r="J71" i="499"/>
  <c r="F82" i="499"/>
  <c r="J12" i="497"/>
  <c r="F43" i="497"/>
  <c r="E20" i="497"/>
  <c r="L45" i="499"/>
  <c r="J41" i="497"/>
  <c r="E11" i="497"/>
  <c r="N26" i="497"/>
  <c r="G44" i="577"/>
  <c r="E5" i="497"/>
  <c r="O52" i="499"/>
  <c r="F60" i="499"/>
  <c r="E34" i="717"/>
  <c r="O42" i="497"/>
  <c r="Q22" i="577"/>
  <c r="M9" i="497"/>
  <c r="H75" i="717"/>
  <c r="E15" i="499"/>
  <c r="M66" i="577"/>
  <c r="R12" i="499"/>
  <c r="D15" i="497"/>
  <c r="L5" i="497"/>
  <c r="J3" i="497"/>
  <c r="M77" i="499"/>
  <c r="H62" i="499"/>
  <c r="P47" i="499"/>
  <c r="M83" i="499"/>
  <c r="H42" i="497"/>
  <c r="G41" i="577"/>
  <c r="K85" i="577"/>
  <c r="E48" i="577"/>
  <c r="N7" i="497"/>
  <c r="F30" i="497"/>
  <c r="C29" i="895"/>
  <c r="J63" i="497"/>
  <c r="O44" i="499"/>
  <c r="O48" i="499"/>
  <c r="O14" i="499"/>
  <c r="H86" i="499"/>
  <c r="P81" i="499"/>
  <c r="H20" i="497"/>
  <c r="G71" i="577"/>
  <c r="G8" i="499"/>
  <c r="M28" i="499"/>
  <c r="H44" i="717"/>
  <c r="P57" i="499"/>
  <c r="M32" i="497"/>
  <c r="N80" i="499"/>
  <c r="N55" i="499"/>
  <c r="K69" i="577"/>
  <c r="M33" i="499"/>
  <c r="F11" i="499"/>
  <c r="M37" i="499"/>
  <c r="O25" i="499"/>
  <c r="E18" i="717"/>
  <c r="J50" i="497"/>
  <c r="I47" i="497"/>
  <c r="I64" i="497"/>
  <c r="M20" i="497"/>
  <c r="L75" i="499"/>
  <c r="G50" i="577"/>
  <c r="J80" i="577"/>
  <c r="L57" i="497"/>
  <c r="R18" i="499"/>
  <c r="F24" i="497"/>
  <c r="P52" i="499"/>
  <c r="O10" i="577"/>
  <c r="I7" i="577"/>
  <c r="S83" i="499"/>
  <c r="I28" i="499"/>
  <c r="Q75" i="499"/>
  <c r="F36" i="577"/>
  <c r="S64" i="499"/>
  <c r="D84" i="497"/>
  <c r="N12" i="577"/>
  <c r="G20" i="497"/>
  <c r="D21" i="499"/>
  <c r="R11" i="499"/>
  <c r="J44" i="499"/>
  <c r="J31" i="497"/>
  <c r="H72" i="577"/>
  <c r="R78" i="499"/>
  <c r="F16" i="497"/>
  <c r="J32" i="499"/>
  <c r="L61" i="499"/>
  <c r="G42" i="497"/>
  <c r="K6" i="497"/>
  <c r="I27" i="499"/>
  <c r="G72" i="499"/>
  <c r="Q21" i="577"/>
  <c r="C12" i="895"/>
  <c r="G52" i="497"/>
  <c r="M18" i="499"/>
  <c r="H51" i="577"/>
  <c r="F15" i="497"/>
  <c r="I86" i="499"/>
  <c r="F55" i="499"/>
  <c r="J61" i="577"/>
  <c r="S43" i="499"/>
  <c r="F68" i="499"/>
  <c r="K9" i="499"/>
  <c r="L70" i="577"/>
  <c r="F39" i="499"/>
  <c r="Q45" i="499"/>
  <c r="G48" i="577"/>
  <c r="O78" i="499"/>
  <c r="K12" i="497"/>
  <c r="E72" i="499"/>
  <c r="O66" i="499"/>
  <c r="E12" i="497"/>
  <c r="O19" i="497"/>
  <c r="O23" i="499"/>
  <c r="E15" i="497"/>
  <c r="N54" i="499"/>
  <c r="E59" i="499"/>
  <c r="J52" i="499"/>
  <c r="J14" i="497"/>
  <c r="K54" i="577"/>
  <c r="F49" i="577"/>
  <c r="E9" i="577"/>
  <c r="J41" i="499"/>
  <c r="N5" i="497"/>
  <c r="G82" i="577"/>
  <c r="L62" i="577"/>
  <c r="N72" i="577"/>
  <c r="S17" i="499"/>
  <c r="Q59" i="499"/>
  <c r="L53" i="577"/>
  <c r="S39" i="499"/>
  <c r="R69" i="499"/>
  <c r="O28" i="499"/>
  <c r="E41" i="499"/>
  <c r="I47" i="577"/>
  <c r="F29" i="499"/>
  <c r="J75" i="499"/>
  <c r="H77" i="499"/>
  <c r="N46" i="499"/>
  <c r="F36" i="499"/>
  <c r="H46" i="717"/>
  <c r="N10" i="499"/>
  <c r="C20" i="895"/>
  <c r="H59" i="497"/>
  <c r="S19" i="499"/>
  <c r="M34" i="499"/>
  <c r="F54" i="577"/>
  <c r="E70" i="499"/>
  <c r="F63" i="577"/>
  <c r="R48" i="499"/>
  <c r="F6" i="577"/>
  <c r="L86" i="499"/>
  <c r="K84" i="577"/>
  <c r="P14" i="499"/>
  <c r="L82" i="577"/>
  <c r="J5" i="499"/>
  <c r="H53" i="717"/>
  <c r="I7" i="499"/>
  <c r="L76" i="499"/>
  <c r="E21" i="499"/>
  <c r="G10" i="577"/>
  <c r="I75" i="497"/>
  <c r="I62" i="577"/>
  <c r="K42" i="577"/>
  <c r="L64" i="577"/>
  <c r="M58" i="499"/>
  <c r="C42" i="895"/>
  <c r="O35" i="499"/>
  <c r="G77" i="499"/>
  <c r="J24" i="497"/>
  <c r="E19" i="497"/>
  <c r="F26" i="499"/>
  <c r="K22" i="499"/>
  <c r="H13" i="577"/>
  <c r="D38" i="499"/>
  <c r="M72" i="499"/>
  <c r="G36" i="497"/>
  <c r="O6" i="499"/>
  <c r="G18" i="497"/>
  <c r="N17" i="499"/>
  <c r="N18" i="497"/>
  <c r="F54" i="497"/>
  <c r="K4" i="499"/>
  <c r="N67" i="499"/>
  <c r="Q25" i="577"/>
  <c r="G24" i="499"/>
  <c r="I51" i="499"/>
  <c r="L57" i="577"/>
  <c r="S46" i="499"/>
  <c r="C24" i="236"/>
  <c r="E60" i="497"/>
  <c r="M36" i="497"/>
  <c r="M59" i="577"/>
  <c r="K25" i="499"/>
  <c r="G84" i="499"/>
  <c r="I56" i="577"/>
  <c r="H23" i="499"/>
  <c r="P74" i="499"/>
  <c r="E23" i="717"/>
  <c r="D7" i="497"/>
  <c r="E43" i="577"/>
  <c r="O51" i="499"/>
  <c r="H38" i="499"/>
  <c r="H29" i="499"/>
  <c r="I61" i="497"/>
  <c r="N52" i="499"/>
  <c r="L50" i="499"/>
  <c r="L84" i="577"/>
  <c r="E81" i="499"/>
  <c r="L71" i="497"/>
  <c r="G78" i="499"/>
  <c r="D5" i="499"/>
  <c r="L57" i="499"/>
  <c r="H53" i="497"/>
  <c r="O31" i="497"/>
  <c r="L56" i="499"/>
  <c r="L42" i="499"/>
  <c r="G11" i="497"/>
  <c r="E18" i="497"/>
  <c r="L54" i="577"/>
  <c r="K41" i="499"/>
  <c r="L47" i="499"/>
  <c r="N61" i="577"/>
  <c r="E8" i="577"/>
  <c r="N78" i="499"/>
  <c r="O44" i="497"/>
  <c r="F59" i="577"/>
  <c r="M29" i="497"/>
  <c r="L5" i="499"/>
  <c r="Q81" i="499"/>
  <c r="L33" i="577"/>
  <c r="N73" i="497"/>
  <c r="J39" i="577"/>
  <c r="H43" i="577"/>
  <c r="J17" i="499"/>
  <c r="O11" i="499"/>
  <c r="K66" i="577"/>
  <c r="F34" i="499"/>
  <c r="L65" i="499"/>
  <c r="Q24" i="577"/>
  <c r="I19" i="499"/>
  <c r="O18" i="497"/>
  <c r="J20" i="499"/>
  <c r="G69" i="499"/>
  <c r="P64" i="499"/>
  <c r="I48" i="577"/>
  <c r="J33" i="497"/>
  <c r="R85" i="499"/>
  <c r="I60" i="499"/>
  <c r="K7" i="577"/>
  <c r="D23" i="497"/>
  <c r="F46" i="499"/>
  <c r="L35" i="497"/>
  <c r="G37" i="499"/>
  <c r="N30" i="499"/>
  <c r="D27" i="499"/>
  <c r="G11" i="499"/>
  <c r="F53" i="499"/>
  <c r="G43" i="499"/>
  <c r="H18" i="717"/>
  <c r="K17" i="497"/>
  <c r="H15" i="499"/>
  <c r="L78" i="499"/>
  <c r="J84" i="577"/>
  <c r="E58" i="497"/>
  <c r="G26" i="497"/>
  <c r="J12" i="577"/>
  <c r="E8" i="497"/>
  <c r="O54" i="499"/>
  <c r="E17" i="717"/>
  <c r="F22" i="497"/>
  <c r="J42" i="577"/>
  <c r="K9" i="577"/>
  <c r="E79" i="577"/>
  <c r="J57" i="499"/>
  <c r="N48" i="497"/>
  <c r="K47" i="499"/>
  <c r="L12" i="499"/>
  <c r="P82" i="499"/>
  <c r="N20" i="497"/>
  <c r="F49" i="497"/>
  <c r="E7" i="577"/>
  <c r="M19" i="497"/>
  <c r="L83" i="499"/>
  <c r="H12" i="577"/>
  <c r="H41" i="499"/>
  <c r="L13" i="577"/>
  <c r="K14" i="499"/>
  <c r="N63" i="497"/>
  <c r="H19" i="497"/>
  <c r="H63" i="499"/>
  <c r="K63" i="577"/>
  <c r="I34" i="577"/>
  <c r="H36" i="499"/>
  <c r="H26" i="717"/>
  <c r="R50" i="499"/>
  <c r="K79" i="499"/>
  <c r="N24" i="499"/>
  <c r="Q20" i="577"/>
  <c r="E10" i="499"/>
  <c r="P26" i="499"/>
  <c r="D61" i="499"/>
  <c r="H49" i="499"/>
  <c r="J9" i="577"/>
  <c r="M20" i="499"/>
  <c r="J21" i="499"/>
  <c r="J4" i="499"/>
  <c r="H48" i="577"/>
  <c r="E36" i="497"/>
  <c r="E83" i="499"/>
  <c r="H78" i="499"/>
  <c r="K10" i="499"/>
  <c r="L77" i="499"/>
  <c r="Q22" i="499"/>
  <c r="O45" i="497"/>
  <c r="S73" i="499"/>
  <c r="N66" i="499"/>
  <c r="P28" i="499"/>
  <c r="G19" i="497"/>
  <c r="H85" i="497"/>
  <c r="N13" i="497"/>
  <c r="H61" i="717"/>
  <c r="Q84" i="499"/>
  <c r="N6" i="499"/>
  <c r="L54" i="497"/>
  <c r="H59" i="577"/>
  <c r="O36" i="577"/>
  <c r="H69" i="499"/>
  <c r="I9" i="499"/>
  <c r="G73" i="497"/>
  <c r="H50" i="717"/>
  <c r="S51" i="499"/>
  <c r="I54" i="499"/>
  <c r="F63" i="497"/>
  <c r="N73" i="499"/>
  <c r="I43" i="499"/>
  <c r="D13" i="577"/>
  <c r="G25" i="497"/>
  <c r="K21" i="499"/>
  <c r="K13" i="497"/>
  <c r="H87" i="717"/>
  <c r="J44" i="497"/>
  <c r="F5" i="499"/>
  <c r="E10" i="497"/>
  <c r="H57" i="717"/>
  <c r="P78" i="499"/>
  <c r="G79" i="577"/>
  <c r="D34" i="499"/>
  <c r="H46" i="499"/>
  <c r="I5" i="497"/>
  <c r="H73" i="717"/>
  <c r="O10" i="499"/>
  <c r="J62" i="499"/>
  <c r="L34" i="577"/>
  <c r="E55" i="577"/>
  <c r="L46" i="577"/>
  <c r="N13" i="499"/>
  <c r="L38" i="577"/>
  <c r="K59" i="577"/>
  <c r="E86" i="717"/>
  <c r="S8" i="499"/>
  <c r="Q12" i="499"/>
  <c r="I67" i="577"/>
  <c r="I42" i="499"/>
  <c r="G6" i="497"/>
  <c r="G58" i="577"/>
  <c r="D8" i="577"/>
  <c r="N70" i="499"/>
  <c r="G7" i="497"/>
  <c r="K27" i="497"/>
  <c r="N76" i="497"/>
  <c r="R81" i="499"/>
  <c r="E61" i="499"/>
  <c r="F32" i="499"/>
  <c r="N23" i="497"/>
  <c r="K53" i="497"/>
  <c r="J31" i="499"/>
  <c r="F40" i="577"/>
  <c r="L63" i="499"/>
  <c r="J51" i="499"/>
  <c r="P31" i="499"/>
  <c r="I5" i="499"/>
  <c r="Q53" i="499"/>
  <c r="Q32" i="499"/>
  <c r="K13" i="499"/>
  <c r="Q34" i="499"/>
  <c r="S36" i="499"/>
  <c r="H14" i="497"/>
  <c r="N6" i="577"/>
  <c r="K71" i="497"/>
  <c r="H79" i="499"/>
  <c r="O72" i="499"/>
  <c r="C18" i="895"/>
  <c r="E34" i="497"/>
  <c r="F51" i="577"/>
  <c r="S15" i="499"/>
  <c r="Q19" i="499"/>
  <c r="F67" i="577"/>
  <c r="K51" i="499"/>
  <c r="F40" i="497"/>
  <c r="M34" i="497"/>
  <c r="R44" i="499"/>
  <c r="O15" i="497"/>
  <c r="N56" i="497"/>
  <c r="O73" i="577"/>
  <c r="F81" i="499"/>
  <c r="E46" i="499"/>
  <c r="H7" i="497"/>
  <c r="G69" i="577"/>
  <c r="P80" i="499"/>
  <c r="D29" i="499"/>
  <c r="P12" i="499"/>
  <c r="E69" i="499"/>
  <c r="G61" i="499"/>
  <c r="K85" i="499"/>
  <c r="Q15" i="499"/>
  <c r="L28" i="497"/>
  <c r="M10" i="499"/>
  <c r="Q46" i="499"/>
  <c r="K39" i="577"/>
  <c r="L64" i="499"/>
  <c r="D41" i="577"/>
  <c r="M66" i="499"/>
  <c r="Q52" i="499"/>
  <c r="F84" i="577"/>
  <c r="F15" i="499"/>
  <c r="F56" i="499"/>
  <c r="R22" i="499"/>
  <c r="J48" i="577"/>
  <c r="K59" i="497"/>
  <c r="E22" i="499"/>
  <c r="L50" i="497"/>
  <c r="H39" i="499"/>
  <c r="L60" i="577"/>
  <c r="E25" i="497"/>
  <c r="N83" i="499"/>
  <c r="G43" i="577"/>
  <c r="K57" i="497"/>
  <c r="M64" i="499"/>
  <c r="H53" i="499"/>
  <c r="G6" i="577"/>
  <c r="I46" i="497"/>
  <c r="J36" i="499"/>
  <c r="N71" i="499"/>
  <c r="G47" i="499"/>
  <c r="L63" i="497"/>
  <c r="E57" i="717"/>
  <c r="O81" i="499"/>
  <c r="P34" i="499"/>
  <c r="H55" i="577"/>
  <c r="J30" i="497"/>
  <c r="E11" i="577"/>
  <c r="E12" i="499"/>
  <c r="I45" i="499"/>
  <c r="L11" i="497"/>
  <c r="H76" i="497"/>
  <c r="L61" i="577"/>
  <c r="K20" i="499"/>
  <c r="I23" i="499"/>
  <c r="E77" i="499"/>
  <c r="F85" i="499"/>
  <c r="J32" i="497"/>
  <c r="O64" i="499"/>
  <c r="P60" i="499"/>
  <c r="F72" i="497"/>
  <c r="F50" i="577"/>
  <c r="I15" i="499"/>
  <c r="J53" i="497"/>
  <c r="N80" i="577"/>
  <c r="K46" i="497"/>
  <c r="M61" i="499"/>
  <c r="F85" i="577"/>
  <c r="L71" i="499"/>
  <c r="G49" i="499"/>
  <c r="H34" i="499"/>
  <c r="O17" i="499"/>
  <c r="N53" i="497"/>
  <c r="P24" i="499"/>
  <c r="F70" i="499"/>
  <c r="R21" i="499"/>
  <c r="P33" i="499"/>
  <c r="C37" i="895"/>
  <c r="K44" i="499"/>
  <c r="J17" i="497"/>
  <c r="E26" i="497"/>
  <c r="N54" i="497"/>
  <c r="P35" i="499"/>
  <c r="K50" i="499"/>
  <c r="M37" i="497"/>
  <c r="H37" i="499"/>
  <c r="F74" i="577"/>
  <c r="H63" i="497"/>
  <c r="I55" i="499"/>
  <c r="O39" i="497"/>
  <c r="E53" i="497"/>
  <c r="K26" i="499"/>
  <c r="M24" i="497"/>
  <c r="F7" i="499"/>
  <c r="G17" i="497"/>
  <c r="I42" i="577"/>
  <c r="I9" i="497"/>
  <c r="F43" i="499"/>
  <c r="O73" i="497"/>
  <c r="N65" i="577"/>
  <c r="L60" i="499"/>
  <c r="D59" i="577"/>
  <c r="J53" i="577"/>
  <c r="O47" i="499"/>
  <c r="N35" i="499"/>
  <c r="H82" i="499"/>
  <c r="L22" i="497"/>
  <c r="I20" i="499"/>
  <c r="G37" i="497"/>
  <c r="P54" i="499"/>
  <c r="N46" i="497"/>
  <c r="D24" i="499"/>
  <c r="H42" i="577"/>
  <c r="I14" i="497"/>
  <c r="K59" i="499"/>
  <c r="M52" i="499"/>
  <c r="P49" i="499"/>
  <c r="C17" i="895"/>
  <c r="E24" i="499"/>
  <c r="C39" i="895"/>
  <c r="O5" i="499"/>
  <c r="P17" i="499"/>
  <c r="I4" i="497"/>
  <c r="N42" i="577"/>
  <c r="J72" i="577"/>
  <c r="H33" i="577"/>
  <c r="G8" i="497"/>
  <c r="O22" i="497"/>
  <c r="H72" i="717"/>
  <c r="F75" i="499"/>
  <c r="N56" i="577"/>
  <c r="G72" i="577"/>
  <c r="D5" i="717"/>
  <c r="J74" i="499"/>
  <c r="J28" i="499"/>
  <c r="O60" i="497"/>
  <c r="H47" i="497"/>
  <c r="E21" i="717"/>
  <c r="J71" i="577"/>
  <c r="R27" i="499"/>
  <c r="K67" i="577"/>
  <c r="M63" i="497"/>
  <c r="J8" i="499"/>
  <c r="E16" i="497"/>
  <c r="I33" i="499"/>
  <c r="H35" i="717"/>
  <c r="D31" i="497"/>
  <c r="E65" i="499"/>
  <c r="N34" i="499"/>
  <c r="G25" i="499"/>
  <c r="S82" i="499"/>
  <c r="J61" i="497"/>
  <c r="F58" i="577"/>
  <c r="L83" i="577"/>
  <c r="H60" i="577"/>
  <c r="O29" i="499"/>
  <c r="H7" i="499"/>
  <c r="G23" i="497"/>
  <c r="H9" i="497"/>
  <c r="M62" i="577"/>
  <c r="F76" i="497"/>
  <c r="Q39" i="499"/>
  <c r="P46" i="499"/>
  <c r="L49" i="497"/>
  <c r="R23" i="499"/>
  <c r="I17" i="497"/>
  <c r="I34" i="499"/>
  <c r="O59" i="499"/>
  <c r="F84" i="499"/>
  <c r="M46" i="499"/>
  <c r="R87" i="499"/>
  <c r="E36" i="717"/>
  <c r="L52" i="497"/>
  <c r="G46" i="499"/>
  <c r="O37" i="499"/>
  <c r="I33" i="577"/>
  <c r="N25" i="499"/>
  <c r="L6" i="497"/>
  <c r="S21" i="499"/>
  <c r="K69" i="499"/>
  <c r="H47" i="577"/>
  <c r="I62" i="497"/>
  <c r="O53" i="499"/>
  <c r="F19" i="577"/>
  <c r="K41" i="497"/>
  <c r="E31" i="499"/>
  <c r="L72" i="577"/>
  <c r="S13" i="499"/>
  <c r="O60" i="499"/>
  <c r="H30" i="499"/>
  <c r="F67" i="499"/>
  <c r="L87" i="499"/>
  <c r="Q85" i="499"/>
  <c r="R77" i="499"/>
  <c r="I40" i="577"/>
  <c r="D60" i="577"/>
  <c r="H82" i="577"/>
  <c r="O9" i="499"/>
  <c r="Q27" i="499"/>
  <c r="M8" i="497"/>
  <c r="I7" i="497"/>
  <c r="N37" i="577"/>
  <c r="K84" i="499"/>
  <c r="D14" i="499"/>
  <c r="I72" i="577"/>
  <c r="S76" i="499"/>
  <c r="G12" i="497"/>
  <c r="H13" i="497"/>
  <c r="I18" i="499"/>
  <c r="O86" i="499"/>
  <c r="M51" i="499"/>
  <c r="D6" i="497"/>
  <c r="H86" i="717"/>
  <c r="S22" i="499"/>
  <c r="E55" i="717"/>
  <c r="E9" i="497"/>
  <c r="D42" i="577"/>
  <c r="N33" i="497"/>
  <c r="M9" i="499"/>
  <c r="L15" i="499"/>
  <c r="O45" i="499"/>
  <c r="O75" i="499"/>
  <c r="I66" i="499"/>
  <c r="I39" i="497"/>
  <c r="H74" i="499"/>
  <c r="K65" i="577"/>
  <c r="E6" i="497"/>
  <c r="P45" i="499"/>
  <c r="E26" i="717"/>
  <c r="S30" i="499"/>
  <c r="J59" i="577"/>
  <c r="F8" i="577"/>
  <c r="F31" i="577" s="1"/>
  <c r="J57" i="577"/>
  <c r="I54" i="577"/>
  <c r="G6" i="499"/>
  <c r="D16" i="499"/>
  <c r="F7" i="577"/>
  <c r="L32" i="497"/>
  <c r="G56" i="499"/>
  <c r="G62" i="577"/>
  <c r="L39" i="497"/>
  <c r="G58" i="499"/>
  <c r="H63" i="717"/>
  <c r="O21" i="497"/>
  <c r="K33" i="497"/>
  <c r="O6" i="497"/>
  <c r="Q51" i="499"/>
  <c r="G79" i="499"/>
  <c r="L16" i="497"/>
  <c r="H33" i="497"/>
  <c r="G13" i="497"/>
  <c r="G7" i="499"/>
  <c r="G75" i="577"/>
  <c r="J15" i="497"/>
  <c r="M42" i="577"/>
  <c r="J64" i="499"/>
  <c r="F73" i="577"/>
  <c r="G36" i="577"/>
  <c r="E63" i="577"/>
  <c r="I6" i="577"/>
  <c r="I80" i="499"/>
  <c r="N53" i="499"/>
  <c r="I20" i="497"/>
  <c r="G28" i="497"/>
  <c r="G60" i="499"/>
  <c r="F59" i="499"/>
  <c r="R53" i="499"/>
  <c r="R58" i="499"/>
  <c r="D22" i="499"/>
  <c r="H29" i="717"/>
  <c r="S31" i="499"/>
  <c r="E66" i="499"/>
  <c r="M39" i="497"/>
  <c r="L65" i="577"/>
  <c r="J63" i="499"/>
  <c r="L13" i="499"/>
  <c r="G86" i="499"/>
  <c r="H56" i="497"/>
  <c r="H21" i="717"/>
  <c r="K62" i="497"/>
  <c r="H39" i="497"/>
  <c r="H64" i="717"/>
  <c r="E39" i="717"/>
  <c r="N60" i="497"/>
  <c r="K61" i="499"/>
  <c r="N44" i="577"/>
  <c r="E73" i="497"/>
  <c r="C16" i="236"/>
  <c r="J11" i="577"/>
  <c r="R64" i="499"/>
  <c r="O72" i="577"/>
  <c r="E45" i="499"/>
  <c r="K40" i="497"/>
  <c r="H51" i="499"/>
  <c r="I8" i="499"/>
  <c r="G71" i="497"/>
  <c r="J18" i="497"/>
  <c r="N15" i="499"/>
  <c r="D13" i="497"/>
  <c r="I30" i="497"/>
  <c r="M37" i="577"/>
  <c r="K51" i="577"/>
  <c r="H10" i="577"/>
  <c r="E64" i="499"/>
  <c r="O84" i="577"/>
  <c r="Q48" i="499"/>
  <c r="C4" i="236"/>
  <c r="I61" i="499"/>
  <c r="S49" i="499"/>
  <c r="G56" i="497"/>
  <c r="K53" i="577"/>
  <c r="N42" i="499"/>
  <c r="F64" i="577"/>
  <c r="P41" i="499"/>
  <c r="Q77" i="499"/>
  <c r="K20" i="497"/>
  <c r="G48" i="497"/>
  <c r="E78" i="499"/>
  <c r="H43" i="717"/>
  <c r="J69" i="577"/>
  <c r="S45" i="499"/>
  <c r="I81" i="499"/>
  <c r="R67" i="499"/>
  <c r="L6" i="577"/>
  <c r="K37" i="577"/>
  <c r="D38" i="497"/>
  <c r="G47" i="577"/>
  <c r="E52" i="497"/>
  <c r="K9" i="497"/>
  <c r="H58" i="497"/>
  <c r="N66" i="577"/>
  <c r="G59" i="577"/>
  <c r="H87" i="499"/>
  <c r="I19" i="497"/>
  <c r="F33" i="577"/>
  <c r="M47" i="499"/>
  <c r="H74" i="497"/>
  <c r="H15" i="497"/>
  <c r="L25" i="497"/>
  <c r="L67" i="577"/>
  <c r="H37" i="577"/>
  <c r="I61" i="577"/>
  <c r="I43" i="497"/>
  <c r="J51" i="577"/>
  <c r="G77" i="497"/>
  <c r="E36" i="577"/>
  <c r="I37" i="577"/>
  <c r="J21" i="497"/>
  <c r="E38" i="499"/>
  <c r="O15" i="499"/>
  <c r="O20" i="497"/>
  <c r="D39" i="577"/>
  <c r="L73" i="577"/>
  <c r="K36" i="497"/>
  <c r="D13" i="499"/>
  <c r="D20" i="497"/>
  <c r="N35" i="497"/>
  <c r="P27" i="499"/>
  <c r="J81" i="577"/>
  <c r="D43" i="577"/>
  <c r="J79" i="499"/>
  <c r="P15" i="499"/>
  <c r="G48" i="499"/>
  <c r="M60" i="577"/>
  <c r="I73" i="499"/>
  <c r="F32" i="497"/>
  <c r="H69" i="717"/>
  <c r="J27" i="497"/>
  <c r="O55" i="577"/>
  <c r="R72" i="499"/>
  <c r="J45" i="499"/>
  <c r="K80" i="499"/>
  <c r="M41" i="497"/>
  <c r="H40" i="577"/>
  <c r="Q31" i="499"/>
  <c r="G47" i="497"/>
  <c r="H52" i="497"/>
  <c r="E54" i="497"/>
  <c r="S87" i="499"/>
  <c r="G31" i="499"/>
  <c r="E32" i="497"/>
  <c r="P50" i="499"/>
  <c r="H26" i="497"/>
  <c r="I31" i="499"/>
  <c r="F74" i="497"/>
  <c r="F72" i="499"/>
  <c r="M23" i="499"/>
  <c r="I17" i="499"/>
  <c r="F64" i="499"/>
  <c r="S10" i="499"/>
  <c r="H54" i="497"/>
  <c r="L31" i="497"/>
  <c r="M50" i="499"/>
  <c r="P13" i="499"/>
  <c r="S61" i="499"/>
  <c r="I15" i="497"/>
  <c r="Q18" i="499"/>
  <c r="G30" i="499"/>
  <c r="L55" i="499"/>
  <c r="I21" i="497"/>
  <c r="L82" i="499"/>
  <c r="O13" i="499"/>
  <c r="K8" i="499"/>
  <c r="E51" i="497"/>
  <c r="J34" i="497"/>
  <c r="K33" i="577"/>
  <c r="H32" i="499"/>
  <c r="G74" i="497"/>
  <c r="J56" i="497"/>
  <c r="E4" i="497"/>
  <c r="S16" i="499"/>
  <c r="K31" i="497"/>
  <c r="K58" i="497"/>
  <c r="J25" i="499"/>
  <c r="L85" i="497"/>
  <c r="M13" i="577"/>
  <c r="L62" i="497"/>
  <c r="F63" i="499"/>
  <c r="K86" i="499"/>
  <c r="Q41" i="499"/>
  <c r="N17" i="497"/>
  <c r="D30" i="497"/>
  <c r="P65" i="499"/>
  <c r="F24" i="499"/>
  <c r="K7" i="499"/>
  <c r="M36" i="577"/>
  <c r="N43" i="577"/>
  <c r="S66" i="499"/>
  <c r="O5" i="497"/>
  <c r="I38" i="497"/>
  <c r="E14" i="499"/>
  <c r="G70" i="499"/>
  <c r="N75" i="499"/>
  <c r="K61" i="497"/>
  <c r="D85" i="499"/>
  <c r="M43" i="499"/>
  <c r="L30" i="497"/>
  <c r="L37" i="499"/>
  <c r="L64" i="497"/>
  <c r="F64" i="497"/>
  <c r="H22" i="717"/>
  <c r="D9" i="717"/>
  <c r="R70" i="499"/>
  <c r="R82" i="499"/>
  <c r="K62" i="577"/>
  <c r="R60" i="499"/>
  <c r="L48" i="499"/>
  <c r="G75" i="497"/>
  <c r="F26" i="497"/>
  <c r="I75" i="499"/>
  <c r="I68" i="577"/>
  <c r="K43" i="497"/>
  <c r="O69" i="499"/>
  <c r="K34" i="577"/>
  <c r="L17" i="499"/>
  <c r="G50" i="497"/>
  <c r="H52" i="577"/>
  <c r="I21" i="499"/>
  <c r="F49" i="499"/>
  <c r="D35" i="497"/>
  <c r="D74" i="499"/>
  <c r="H40" i="497"/>
  <c r="F38" i="577"/>
  <c r="H50" i="499"/>
  <c r="G10" i="499"/>
  <c r="R24" i="499"/>
  <c r="L53" i="497"/>
  <c r="P58" i="499"/>
  <c r="G55" i="499"/>
  <c r="H18" i="499"/>
  <c r="C12" i="236"/>
  <c r="H68" i="717"/>
  <c r="Q24" i="499"/>
  <c r="H71" i="577"/>
  <c r="S18" i="499"/>
  <c r="I22" i="497"/>
  <c r="G15" i="497"/>
  <c r="F10" i="497"/>
  <c r="Q50" i="499"/>
  <c r="O12" i="499"/>
  <c r="G45" i="499"/>
  <c r="R25" i="499"/>
  <c r="E17" i="499"/>
  <c r="R83" i="499"/>
  <c r="N60" i="499"/>
  <c r="L29" i="497"/>
  <c r="G70" i="577"/>
  <c r="O68" i="499"/>
  <c r="K7" i="497"/>
  <c r="N65" i="499"/>
  <c r="J73" i="497"/>
  <c r="E30" i="497"/>
  <c r="K40" i="577"/>
  <c r="M79" i="499"/>
  <c r="K27" i="499"/>
  <c r="H28" i="497"/>
  <c r="D12" i="497"/>
  <c r="F21" i="497"/>
  <c r="I87" i="499"/>
  <c r="H63" i="577"/>
  <c r="M60" i="499"/>
  <c r="Q29" i="499"/>
  <c r="M81" i="499"/>
  <c r="J56" i="499"/>
  <c r="P79" i="499"/>
  <c r="O7" i="499"/>
  <c r="L51" i="499"/>
  <c r="H43" i="499"/>
  <c r="G80" i="499"/>
  <c r="C16" i="895"/>
  <c r="E54" i="717"/>
  <c r="Q4" i="499"/>
  <c r="K34" i="499"/>
  <c r="L69" i="577"/>
  <c r="S20" i="499"/>
  <c r="I74" i="577"/>
  <c r="P38" i="499"/>
  <c r="G44" i="497"/>
  <c r="I47" i="499"/>
  <c r="Q78" i="499"/>
  <c r="M48" i="499"/>
  <c r="M16" i="499"/>
  <c r="F10" i="499"/>
  <c r="K77" i="497"/>
  <c r="M22" i="497"/>
  <c r="E14" i="717"/>
  <c r="Q13" i="499"/>
  <c r="O42" i="577"/>
  <c r="C25" i="895"/>
  <c r="F54" i="499"/>
  <c r="C6" i="236"/>
  <c r="N47" i="499"/>
  <c r="I36" i="497"/>
  <c r="G57" i="577"/>
  <c r="J29" i="497"/>
  <c r="J47" i="577"/>
  <c r="L47" i="497"/>
  <c r="L59" i="577"/>
  <c r="O74" i="577"/>
  <c r="K76" i="497"/>
  <c r="K3" i="497"/>
  <c r="O71" i="577"/>
  <c r="O43" i="499"/>
  <c r="E84" i="497"/>
  <c r="K28" i="499"/>
  <c r="K36" i="499"/>
  <c r="D36" i="497"/>
  <c r="O34" i="577"/>
  <c r="F26" i="577"/>
  <c r="M7" i="577"/>
  <c r="M33" i="497"/>
  <c r="G64" i="577"/>
  <c r="F70" i="577"/>
  <c r="J15" i="499"/>
  <c r="F47" i="577"/>
  <c r="K37" i="497"/>
  <c r="J27" i="499"/>
  <c r="I29" i="499"/>
  <c r="L59" i="497"/>
  <c r="J88" i="497"/>
  <c r="E28" i="499"/>
  <c r="N32" i="499"/>
  <c r="H84" i="499"/>
  <c r="I44" i="499"/>
  <c r="D66" i="577"/>
  <c r="R20" i="499"/>
  <c r="H6" i="497"/>
  <c r="C8" i="236"/>
  <c r="K19" i="499"/>
  <c r="G5" i="499"/>
  <c r="F79" i="499"/>
  <c r="K19" i="497"/>
  <c r="J10" i="497"/>
  <c r="I60" i="577"/>
  <c r="H11" i="497"/>
  <c r="H79" i="577"/>
  <c r="H45" i="499"/>
  <c r="L25" i="499"/>
  <c r="I26" i="497"/>
  <c r="N24" i="497"/>
  <c r="E16" i="717"/>
  <c r="L3" i="497"/>
  <c r="H67" i="577"/>
  <c r="L71" i="577"/>
  <c r="H25" i="499"/>
  <c r="M75" i="499"/>
  <c r="J50" i="499"/>
  <c r="H57" i="499"/>
  <c r="N74" i="499"/>
  <c r="D37" i="499"/>
  <c r="G21" i="497"/>
  <c r="D36" i="499"/>
  <c r="J29" i="499"/>
  <c r="N34" i="497"/>
  <c r="G29" i="497"/>
  <c r="G10" i="497"/>
  <c r="K39" i="499"/>
  <c r="L51" i="497"/>
  <c r="K52" i="497"/>
  <c r="J59" i="499"/>
  <c r="M69" i="499"/>
  <c r="R39" i="499"/>
  <c r="N74" i="497"/>
  <c r="F36" i="497"/>
  <c r="H5" i="499"/>
  <c r="F85" i="497"/>
  <c r="E85" i="499"/>
  <c r="F33" i="499"/>
  <c r="O34" i="499"/>
  <c r="G88" i="497"/>
  <c r="J19" i="499"/>
  <c r="H71" i="497"/>
  <c r="K37" i="499"/>
  <c r="R5" i="499"/>
  <c r="S78" i="499"/>
  <c r="G28" i="499"/>
  <c r="M26" i="497"/>
  <c r="K58" i="499"/>
  <c r="R46" i="499"/>
  <c r="N51" i="499"/>
  <c r="M7" i="497"/>
  <c r="K36" i="577"/>
  <c r="H78" i="717"/>
  <c r="J77" i="497"/>
  <c r="J10" i="499"/>
  <c r="C33" i="895"/>
  <c r="F29" i="497"/>
  <c r="G51" i="497"/>
  <c r="I44" i="497"/>
  <c r="M17" i="497"/>
  <c r="C34" i="895"/>
  <c r="R71" i="499"/>
  <c r="D18" i="497"/>
  <c r="H83" i="577"/>
  <c r="G36" i="499"/>
  <c r="Q86" i="499"/>
  <c r="D28" i="497"/>
  <c r="L34" i="497"/>
  <c r="D22" i="497"/>
  <c r="L80" i="499"/>
  <c r="H62" i="497"/>
  <c r="G13" i="499"/>
  <c r="M53" i="499"/>
  <c r="M21" i="497"/>
  <c r="Q73" i="499"/>
  <c r="E57" i="497"/>
  <c r="G65" i="499"/>
  <c r="F29" i="577"/>
  <c r="I6" i="499"/>
  <c r="L53" i="499"/>
  <c r="Q55" i="499"/>
  <c r="E42" i="499"/>
  <c r="N71" i="577"/>
  <c r="N88" i="497"/>
  <c r="H27" i="717"/>
  <c r="H83" i="499"/>
  <c r="H30" i="717"/>
  <c r="R79" i="499"/>
  <c r="I16" i="499"/>
  <c r="N49" i="499"/>
  <c r="J74" i="577"/>
  <c r="M34" i="577"/>
  <c r="E33" i="499"/>
  <c r="E30" i="499"/>
  <c r="I38" i="499"/>
  <c r="H46" i="577"/>
  <c r="D6" i="717"/>
  <c r="F88" i="497"/>
  <c r="E34" i="577"/>
  <c r="H73" i="577"/>
  <c r="E70" i="717"/>
  <c r="J68" i="577"/>
  <c r="J39" i="497"/>
  <c r="N4" i="499"/>
  <c r="H44" i="577"/>
  <c r="I13" i="499"/>
  <c r="S33" i="499"/>
  <c r="J16" i="499"/>
  <c r="Q60" i="499"/>
  <c r="N50" i="499"/>
  <c r="G82" i="499"/>
  <c r="O26" i="497"/>
  <c r="L13" i="497"/>
  <c r="D20" i="499"/>
  <c r="I85" i="499"/>
  <c r="E53" i="499"/>
  <c r="P43" i="499"/>
  <c r="F30" i="577"/>
  <c r="J13" i="499"/>
  <c r="J54" i="577"/>
  <c r="F44" i="497"/>
  <c r="E55" i="499"/>
  <c r="K61" i="577"/>
  <c r="G33" i="577"/>
  <c r="F12" i="499"/>
  <c r="I12" i="499"/>
  <c r="I63" i="577"/>
  <c r="I59" i="499"/>
  <c r="J55" i="499"/>
  <c r="C36" i="895"/>
  <c r="E82" i="499"/>
  <c r="O30" i="499"/>
  <c r="E59" i="577"/>
  <c r="J23" i="497"/>
  <c r="F82" i="577"/>
  <c r="N30" i="497"/>
  <c r="F62" i="499"/>
  <c r="K5" i="499"/>
  <c r="L38" i="499"/>
  <c r="N70" i="577"/>
  <c r="H75" i="497"/>
  <c r="L7" i="577"/>
  <c r="E6" i="499"/>
  <c r="K56" i="577"/>
  <c r="M63" i="499"/>
  <c r="M4" i="499"/>
  <c r="M6" i="497"/>
  <c r="H74" i="717"/>
  <c r="R45" i="499"/>
  <c r="J6" i="577"/>
  <c r="G49" i="497"/>
  <c r="K50" i="577"/>
  <c r="M32" i="499"/>
  <c r="E27" i="717"/>
  <c r="N82" i="499"/>
  <c r="L46" i="499"/>
  <c r="S63" i="499"/>
  <c r="P11" i="577"/>
  <c r="H31" i="717"/>
  <c r="K34" i="497"/>
  <c r="I46" i="499"/>
  <c r="K11" i="497"/>
  <c r="I31" i="497"/>
  <c r="J7" i="577"/>
  <c r="H10" i="499"/>
  <c r="E70" i="577"/>
  <c r="O16" i="497"/>
  <c r="S41" i="499"/>
  <c r="F5" i="497"/>
  <c r="K30" i="497"/>
  <c r="F13" i="577"/>
  <c r="H73" i="499"/>
  <c r="H11" i="577"/>
  <c r="J57" i="497"/>
  <c r="J81" i="499"/>
  <c r="E39" i="577"/>
  <c r="E87" i="499"/>
  <c r="K55" i="499"/>
  <c r="L41" i="577"/>
  <c r="R73" i="499"/>
  <c r="H38" i="577"/>
  <c r="K13" i="577"/>
  <c r="N81" i="577"/>
  <c r="I70" i="577"/>
  <c r="G67" i="499"/>
  <c r="M4" i="497"/>
  <c r="G59" i="499"/>
  <c r="N28" i="497"/>
  <c r="O53" i="497"/>
  <c r="N36" i="499"/>
  <c r="P23" i="499"/>
  <c r="O10" i="497"/>
  <c r="O71" i="499"/>
  <c r="L42" i="497"/>
  <c r="F4" i="497"/>
  <c r="I46" i="577"/>
  <c r="R63" i="499"/>
  <c r="H80" i="717"/>
  <c r="H39" i="577"/>
  <c r="O49" i="499"/>
  <c r="R28" i="499"/>
  <c r="F8" i="497"/>
  <c r="G85" i="497"/>
  <c r="H51" i="717"/>
  <c r="K24" i="499"/>
  <c r="I48" i="499"/>
  <c r="J4" i="497"/>
  <c r="O37" i="497"/>
  <c r="G59" i="497"/>
  <c r="F38" i="497"/>
  <c r="M39" i="499"/>
  <c r="I37" i="497"/>
  <c r="H69" i="577"/>
  <c r="R55" i="499"/>
  <c r="E52" i="577"/>
  <c r="K58" i="577"/>
  <c r="D61" i="497"/>
  <c r="K87" i="499"/>
  <c r="J36" i="497"/>
  <c r="N53" i="577"/>
  <c r="D11" i="577"/>
  <c r="G66" i="577"/>
  <c r="H8" i="577"/>
  <c r="E47" i="577"/>
  <c r="N25" i="497"/>
  <c r="D16" i="497"/>
  <c r="P66" i="499"/>
  <c r="I52" i="499"/>
  <c r="N14" i="499"/>
  <c r="G76" i="497"/>
  <c r="F52" i="499"/>
  <c r="E20" i="717"/>
  <c r="O36" i="497"/>
  <c r="R10" i="499"/>
  <c r="F62" i="577"/>
  <c r="J48" i="497"/>
  <c r="O17" i="497"/>
  <c r="K49" i="499"/>
  <c r="I71" i="499"/>
  <c r="E37" i="717"/>
  <c r="K8" i="497"/>
  <c r="M61" i="497"/>
  <c r="M61" i="577"/>
  <c r="G38" i="497"/>
  <c r="L56" i="577"/>
  <c r="E3" i="497"/>
  <c r="J65" i="499"/>
  <c r="Q74" i="499"/>
  <c r="N8" i="577"/>
  <c r="J8" i="497"/>
  <c r="M9" i="577"/>
  <c r="F3" i="497"/>
  <c r="E48" i="499"/>
  <c r="L40" i="497"/>
  <c r="D11" i="499"/>
  <c r="F23" i="499"/>
  <c r="P11" i="499"/>
  <c r="J84" i="499"/>
  <c r="E85" i="497"/>
  <c r="O62" i="499"/>
  <c r="G39" i="499"/>
  <c r="F71" i="497"/>
  <c r="R68" i="499"/>
  <c r="L8" i="497"/>
  <c r="G62" i="499"/>
  <c r="D4" i="497"/>
  <c r="J54" i="497"/>
  <c r="K15" i="499"/>
  <c r="C14" i="236"/>
  <c r="C6" i="895"/>
  <c r="D8" i="717"/>
  <c r="F12" i="497"/>
  <c r="H55" i="499"/>
  <c r="S9" i="499"/>
  <c r="H68" i="577"/>
  <c r="I72" i="499"/>
  <c r="E71" i="499"/>
  <c r="G15" i="499"/>
  <c r="S25" i="499"/>
  <c r="F21" i="499"/>
  <c r="E23" i="497"/>
  <c r="N77" i="499"/>
  <c r="I34" i="497"/>
  <c r="E66" i="577"/>
  <c r="Q57" i="499"/>
  <c r="N55" i="577"/>
  <c r="F61" i="577"/>
  <c r="C7" i="895"/>
  <c r="F11" i="497"/>
  <c r="G56" i="577"/>
  <c r="N31" i="499"/>
  <c r="Q49" i="499"/>
  <c r="M6" i="499"/>
  <c r="D44" i="577"/>
  <c r="F16" i="499"/>
  <c r="E32" i="499"/>
  <c r="G12" i="499"/>
  <c r="K75" i="497"/>
  <c r="E62" i="577"/>
  <c r="F77" i="497"/>
  <c r="D34" i="577"/>
  <c r="R35" i="499"/>
  <c r="K72" i="577"/>
  <c r="R86" i="499"/>
  <c r="Q66" i="499"/>
  <c r="P5" i="499"/>
  <c r="N21" i="499"/>
  <c r="H60" i="499"/>
  <c r="K42" i="499"/>
  <c r="S58" i="499"/>
  <c r="M31" i="499"/>
  <c r="D35" i="499"/>
  <c r="M60" i="497"/>
  <c r="N11" i="499"/>
  <c r="K74" i="577"/>
  <c r="H27" i="499"/>
  <c r="J58" i="577"/>
  <c r="R31" i="499"/>
  <c r="O13" i="497"/>
  <c r="P22" i="499"/>
  <c r="J54" i="499"/>
  <c r="H82" i="717"/>
  <c r="D86" i="499"/>
  <c r="J55" i="497"/>
  <c r="D65" i="577"/>
  <c r="N46" i="577"/>
  <c r="S81" i="499"/>
  <c r="I56" i="497"/>
  <c r="H81" i="717"/>
  <c r="M43" i="497"/>
  <c r="E45" i="497"/>
  <c r="O51" i="497"/>
  <c r="M10" i="497"/>
  <c r="P85" i="499"/>
  <c r="J30" i="499"/>
  <c r="I68" i="499"/>
  <c r="G74" i="577"/>
  <c r="J38" i="497"/>
  <c r="O66" i="577"/>
  <c r="J46" i="497"/>
  <c r="G67" i="577"/>
  <c r="L29" i="499"/>
  <c r="L10" i="499"/>
  <c r="E80" i="499"/>
  <c r="K66" i="499"/>
  <c r="K38" i="577"/>
  <c r="K70" i="499"/>
  <c r="J52" i="577"/>
  <c r="J71" i="497"/>
  <c r="S71" i="499"/>
  <c r="N31" i="497"/>
  <c r="N54" i="577"/>
  <c r="M65" i="499"/>
  <c r="M59" i="499"/>
  <c r="S34" i="499"/>
  <c r="L48" i="497"/>
  <c r="K6" i="499"/>
  <c r="K11" i="499"/>
  <c r="N83" i="577"/>
  <c r="I35" i="497"/>
  <c r="F65" i="577"/>
  <c r="I57" i="577"/>
  <c r="D60" i="497"/>
  <c r="O8" i="499"/>
  <c r="J73" i="499"/>
  <c r="L58" i="499"/>
  <c r="O38" i="577"/>
  <c r="L51" i="577"/>
  <c r="I67" i="499"/>
  <c r="D84" i="577"/>
  <c r="G22" i="499"/>
  <c r="J8" i="577"/>
  <c r="M39" i="577"/>
  <c r="O41" i="497"/>
  <c r="K50" i="497"/>
  <c r="Q28" i="499"/>
  <c r="H54" i="717"/>
  <c r="G63" i="499"/>
  <c r="N82" i="577"/>
  <c r="R41" i="499"/>
  <c r="J43" i="577"/>
  <c r="J11" i="497"/>
  <c r="R8" i="499"/>
  <c r="G14" i="497"/>
  <c r="I18" i="497"/>
  <c r="I12" i="577"/>
  <c r="F48" i="497"/>
  <c r="D63" i="499"/>
  <c r="G63" i="577"/>
  <c r="L44" i="497"/>
  <c r="I79" i="499"/>
  <c r="O62" i="497"/>
  <c r="D37" i="497"/>
  <c r="N33" i="499"/>
  <c r="P16" i="499"/>
  <c r="K55" i="577"/>
  <c r="M41" i="499"/>
  <c r="G57" i="499"/>
  <c r="K71" i="499"/>
  <c r="E49" i="497"/>
  <c r="H80" i="499"/>
  <c r="O33" i="499"/>
  <c r="I51" i="497"/>
  <c r="L16" i="499"/>
  <c r="G87" i="499"/>
  <c r="I25" i="499"/>
  <c r="L21" i="499"/>
  <c r="I71" i="577"/>
  <c r="G54" i="577"/>
  <c r="K33" i="499"/>
  <c r="N44" i="499"/>
  <c r="D7" i="577"/>
  <c r="D10" i="499"/>
  <c r="L58" i="497"/>
  <c r="I83" i="577"/>
  <c r="H71" i="499"/>
  <c r="M70" i="499"/>
  <c r="L4" i="497"/>
  <c r="O24" i="497"/>
  <c r="H81" i="499"/>
  <c r="O34" i="497"/>
  <c r="S32" i="499"/>
  <c r="M40" i="577"/>
  <c r="J42" i="497"/>
  <c r="F13" i="499"/>
  <c r="G53" i="499"/>
  <c r="L77" i="497"/>
  <c r="J86" i="499"/>
  <c r="D40" i="577"/>
  <c r="N58" i="577"/>
  <c r="E13" i="499"/>
  <c r="L73" i="499"/>
  <c r="L40" i="577"/>
  <c r="O82" i="577"/>
  <c r="E13" i="577"/>
  <c r="N77" i="497"/>
  <c r="O79" i="499"/>
  <c r="J36" i="577"/>
  <c r="O35" i="497"/>
  <c r="P21" i="499"/>
  <c r="N36" i="497"/>
  <c r="E86" i="499"/>
  <c r="G23" i="499"/>
  <c r="K72" i="499"/>
  <c r="J56" i="577"/>
  <c r="I6" i="497"/>
  <c r="S86" i="499"/>
  <c r="P30" i="499"/>
  <c r="F12" i="577"/>
  <c r="K29" i="497"/>
  <c r="K67" i="499"/>
  <c r="M15" i="499"/>
  <c r="O21" i="499"/>
  <c r="L55" i="497"/>
  <c r="P72" i="499"/>
  <c r="K64" i="499"/>
  <c r="G3" i="497"/>
  <c r="M3" i="497"/>
  <c r="K30" i="499"/>
  <c r="G53" i="497"/>
  <c r="G16" i="499"/>
  <c r="E74" i="577"/>
  <c r="G54" i="499"/>
  <c r="I28" i="497"/>
  <c r="D9" i="577"/>
  <c r="G35" i="499"/>
  <c r="D36" i="577"/>
  <c r="K83" i="499"/>
  <c r="J38" i="499"/>
  <c r="C14" i="895"/>
  <c r="J34" i="499"/>
  <c r="J80" i="499"/>
  <c r="D64" i="577"/>
  <c r="I27" i="497"/>
  <c r="Q63" i="499"/>
  <c r="E73" i="577"/>
  <c r="G74" i="499"/>
  <c r="Q36" i="499"/>
  <c r="E26" i="499"/>
  <c r="O83" i="577"/>
  <c r="N85" i="499"/>
  <c r="J53" i="499"/>
  <c r="M56" i="499"/>
  <c r="J82" i="499"/>
  <c r="J24" i="499"/>
  <c r="I83" i="499"/>
  <c r="C5" i="895"/>
  <c r="D10" i="577"/>
  <c r="K32" i="497"/>
  <c r="S47" i="499"/>
  <c r="R9" i="499"/>
  <c r="O14" i="497"/>
  <c r="K72" i="497"/>
  <c r="G26" i="499"/>
  <c r="M11" i="497"/>
  <c r="L85" i="499"/>
  <c r="R51" i="499"/>
  <c r="E8" i="499"/>
  <c r="G60" i="577"/>
  <c r="H52" i="717"/>
  <c r="F62" i="497"/>
  <c r="E42" i="577"/>
  <c r="O30" i="497"/>
  <c r="K6" i="577"/>
  <c r="I49" i="497"/>
  <c r="S5" i="499"/>
  <c r="K88" i="497"/>
  <c r="O7" i="577"/>
  <c r="F24" i="577"/>
  <c r="D8" i="497"/>
  <c r="Q47" i="499"/>
  <c r="N56" i="499"/>
  <c r="P7" i="499"/>
  <c r="S60" i="499"/>
  <c r="H4" i="499"/>
  <c r="K23" i="499"/>
  <c r="H70" i="577"/>
  <c r="H21" i="499"/>
  <c r="H12" i="717"/>
  <c r="I50" i="499"/>
  <c r="I71" i="497"/>
  <c r="E51" i="499"/>
  <c r="O29" i="497"/>
  <c r="M38" i="497"/>
  <c r="S85" i="499"/>
  <c r="I49" i="577"/>
  <c r="J77" i="499"/>
  <c r="K21" i="497"/>
  <c r="N39" i="577"/>
  <c r="E75" i="577"/>
  <c r="D23" i="499"/>
  <c r="Q8" i="499"/>
  <c r="F30" i="499"/>
  <c r="R34" i="499"/>
  <c r="R84" i="499"/>
  <c r="S77" i="499"/>
  <c r="K81" i="577"/>
  <c r="O32" i="497"/>
  <c r="P4" i="499"/>
  <c r="F79" i="577"/>
  <c r="Q21" i="499"/>
  <c r="K82" i="499"/>
  <c r="K48" i="577"/>
  <c r="P39" i="499"/>
  <c r="H48" i="717"/>
  <c r="S55" i="499"/>
  <c r="Q23" i="577"/>
  <c r="I58" i="497"/>
  <c r="S4" i="499"/>
  <c r="C5" i="236"/>
  <c r="I73" i="497"/>
  <c r="E67" i="499"/>
  <c r="N75" i="497"/>
  <c r="J85" i="497"/>
  <c r="N61" i="497"/>
  <c r="L59" i="499"/>
  <c r="K4" i="497"/>
  <c r="N51" i="497"/>
  <c r="H58" i="499"/>
  <c r="N42" i="497"/>
  <c r="O63" i="577"/>
  <c r="I82" i="499"/>
  <c r="C28" i="895"/>
  <c r="G4" i="499"/>
  <c r="G64" i="499"/>
  <c r="E30" i="717"/>
  <c r="N68" i="499"/>
  <c r="I84" i="577"/>
  <c r="N19" i="497"/>
  <c r="C23" i="895"/>
  <c r="L36" i="499"/>
  <c r="H47" i="717"/>
  <c r="G61" i="577"/>
  <c r="I36" i="499"/>
  <c r="L79" i="577"/>
  <c r="P20" i="499"/>
  <c r="E22" i="717"/>
  <c r="E53" i="577"/>
  <c r="H79" i="717"/>
  <c r="D8" i="499"/>
  <c r="R32" i="499"/>
  <c r="F73" i="499"/>
  <c r="M7" i="499"/>
  <c r="L19" i="497"/>
  <c r="E83" i="577"/>
  <c r="F53" i="577"/>
  <c r="M29" i="499"/>
  <c r="J14" i="499"/>
  <c r="S79" i="499"/>
  <c r="P61" i="499"/>
  <c r="E55" i="497"/>
  <c r="G11" i="577"/>
  <c r="F9" i="499"/>
  <c r="J85" i="577"/>
  <c r="D85" i="497"/>
  <c r="K56" i="499"/>
  <c r="I14" i="499"/>
  <c r="G8" i="577"/>
  <c r="O84" i="499"/>
  <c r="M42" i="499"/>
  <c r="D34" i="497"/>
  <c r="H57" i="497"/>
  <c r="F4" i="499"/>
  <c r="F58" i="497"/>
  <c r="H20" i="717"/>
  <c r="L47" i="577"/>
  <c r="O33" i="497"/>
  <c r="H84" i="577"/>
  <c r="N59" i="577"/>
  <c r="N45" i="499"/>
  <c r="H74" i="577"/>
  <c r="G18" i="499"/>
  <c r="H59" i="499"/>
  <c r="L20" i="499"/>
  <c r="N37" i="499"/>
  <c r="L43" i="499"/>
  <c r="G61" i="497"/>
  <c r="N47" i="577"/>
  <c r="M67" i="577"/>
  <c r="I30" i="499"/>
  <c r="E68" i="577"/>
  <c r="R62" i="499"/>
  <c r="H54" i="499"/>
  <c r="K12" i="499"/>
  <c r="P56" i="499"/>
  <c r="I76" i="499"/>
  <c r="J7" i="497"/>
  <c r="I69" i="499"/>
  <c r="H85" i="577"/>
  <c r="F20" i="497"/>
  <c r="Q14" i="499"/>
  <c r="F44" i="499"/>
  <c r="E14" i="497"/>
  <c r="L79" i="499"/>
  <c r="L48" i="577"/>
  <c r="I37" i="499"/>
  <c r="I69" i="577"/>
  <c r="H23" i="497"/>
  <c r="H38" i="717"/>
  <c r="F48" i="499"/>
  <c r="M13" i="499"/>
  <c r="M73" i="577"/>
  <c r="Q11" i="499"/>
  <c r="K74" i="497"/>
  <c r="S56" i="499"/>
  <c r="E15" i="717"/>
  <c r="N52" i="577"/>
  <c r="H66" i="717"/>
  <c r="O57" i="497"/>
  <c r="D21" i="497"/>
  <c r="I78" i="499"/>
  <c r="L68" i="499"/>
  <c r="E65" i="577"/>
  <c r="J44" i="577"/>
  <c r="E6" i="577"/>
  <c r="N26" i="499"/>
  <c r="R4" i="499"/>
  <c r="H44" i="499"/>
  <c r="G60" i="497"/>
  <c r="G50" i="499"/>
  <c r="F68" i="577"/>
  <c r="S29" i="499"/>
  <c r="O23" i="497"/>
  <c r="J49" i="577"/>
  <c r="N45" i="497"/>
  <c r="S72" i="499"/>
  <c r="F66" i="577"/>
  <c r="E18" i="499"/>
  <c r="L74" i="577"/>
  <c r="H66" i="577"/>
  <c r="J13" i="577"/>
  <c r="L75" i="497"/>
  <c r="F33" i="497"/>
  <c r="K43" i="499"/>
  <c r="E31" i="717"/>
  <c r="L15" i="497"/>
  <c r="L34" i="499"/>
  <c r="Q61" i="499"/>
  <c r="E75" i="717"/>
  <c r="R57" i="499"/>
  <c r="L24" i="497"/>
  <c r="N47" i="497"/>
  <c r="G72" i="497"/>
  <c r="N7" i="499"/>
  <c r="R38" i="499"/>
  <c r="G24" i="497"/>
  <c r="R14" i="499"/>
  <c r="O11" i="497"/>
  <c r="O22" i="499"/>
  <c r="H11" i="499"/>
  <c r="M25" i="497"/>
  <c r="H35" i="499"/>
  <c r="N72" i="499"/>
  <c r="G64" i="497"/>
  <c r="S65" i="499"/>
  <c r="J5" i="497"/>
  <c r="K47" i="577"/>
  <c r="C40" i="895"/>
  <c r="N28" i="499"/>
  <c r="P77" i="499"/>
  <c r="D73" i="497"/>
  <c r="L26" i="499"/>
  <c r="M25" i="499"/>
  <c r="S59" i="499"/>
  <c r="O76" i="497"/>
  <c r="K24" i="497"/>
  <c r="P69" i="499"/>
  <c r="C41" i="895"/>
  <c r="G73" i="577"/>
  <c r="G83" i="499"/>
  <c r="L12" i="497"/>
  <c r="F8" i="499"/>
  <c r="M44" i="577"/>
  <c r="O65" i="499"/>
  <c r="I88" i="497"/>
  <c r="H16" i="497"/>
  <c r="H14" i="717"/>
  <c r="I85" i="577"/>
  <c r="M8" i="499"/>
  <c r="M5" i="497"/>
  <c r="K18" i="497"/>
  <c r="Q9" i="499"/>
  <c r="L9" i="497"/>
  <c r="O54" i="497"/>
  <c r="G75" i="499"/>
  <c r="O73" i="499"/>
  <c r="O56" i="497"/>
  <c r="F69" i="499"/>
  <c r="N63" i="577"/>
  <c r="K64" i="497"/>
  <c r="I4" i="499"/>
  <c r="E32" i="717"/>
  <c r="F14" i="499"/>
  <c r="D25" i="499"/>
  <c r="H71" i="717"/>
  <c r="F56" i="497"/>
  <c r="H61" i="499"/>
  <c r="E59" i="497"/>
  <c r="N71" i="497"/>
  <c r="H68" i="499"/>
  <c r="H56" i="577"/>
  <c r="J9" i="499"/>
  <c r="O58" i="499"/>
  <c r="E20" i="499"/>
  <c r="N69" i="577"/>
  <c r="H9" i="499"/>
  <c r="M31" i="497"/>
  <c r="L23" i="497"/>
  <c r="J60" i="577"/>
  <c r="O50" i="497"/>
  <c r="M80" i="499"/>
  <c r="K64" i="577"/>
  <c r="G44" i="499"/>
  <c r="C8" i="895"/>
  <c r="H36" i="717"/>
  <c r="M8" i="577"/>
  <c r="N21" i="497"/>
  <c r="G31" i="497"/>
  <c r="H10" i="497"/>
  <c r="E23" i="499"/>
  <c r="F16" i="577"/>
  <c r="O43" i="497"/>
  <c r="I75" i="577"/>
  <c r="F42" i="497"/>
  <c r="O65" i="577"/>
  <c r="O48" i="577"/>
  <c r="H29" i="497"/>
  <c r="L49" i="577"/>
  <c r="L20" i="497"/>
  <c r="O61" i="497"/>
  <c r="H40" i="717"/>
  <c r="E37" i="499"/>
  <c r="C18" i="236"/>
  <c r="F25" i="577"/>
  <c r="D33" i="577"/>
  <c r="O49" i="577"/>
  <c r="I58" i="499"/>
  <c r="O82" i="499"/>
  <c r="M64" i="577"/>
  <c r="D4" i="717"/>
  <c r="E69" i="577"/>
  <c r="E35" i="497"/>
  <c r="H59" i="717"/>
  <c r="N49" i="577"/>
  <c r="F14" i="497"/>
  <c r="O59" i="497"/>
  <c r="G21" i="499"/>
  <c r="N11" i="577"/>
  <c r="F35" i="497"/>
  <c r="R17" i="499"/>
  <c r="O52" i="497"/>
  <c r="E46" i="577"/>
  <c r="I55" i="497"/>
  <c r="E44" i="499"/>
  <c r="K32" i="499"/>
  <c r="I13" i="577"/>
  <c r="E7" i="499"/>
  <c r="O58" i="497"/>
  <c r="H54" i="577"/>
  <c r="K47" i="497"/>
  <c r="K46" i="499"/>
  <c r="O70" i="499"/>
  <c r="I9" i="577"/>
  <c r="M14" i="499"/>
  <c r="K78" i="499"/>
  <c r="K48" i="499"/>
  <c r="K54" i="499"/>
  <c r="J33" i="577"/>
  <c r="K45" i="497"/>
  <c r="S6" i="499"/>
  <c r="O9" i="497"/>
  <c r="J46" i="577"/>
  <c r="I73" i="577"/>
  <c r="O67" i="577"/>
  <c r="Q79" i="499"/>
  <c r="J85" i="499"/>
  <c r="H36" i="497"/>
  <c r="F57" i="497"/>
  <c r="N18" i="499"/>
  <c r="O87" i="499"/>
  <c r="O46" i="577"/>
  <c r="O4" i="497"/>
  <c r="L11" i="577"/>
  <c r="N8" i="499"/>
  <c r="N48" i="499"/>
  <c r="K46" i="577"/>
  <c r="N62" i="499"/>
  <c r="O74" i="499"/>
  <c r="N41" i="499"/>
  <c r="O72" i="497"/>
  <c r="N16" i="499"/>
  <c r="E62" i="497"/>
  <c r="J55" i="577"/>
  <c r="M27" i="497"/>
  <c r="M41" i="577"/>
  <c r="O40" i="497"/>
  <c r="L88" i="497"/>
  <c r="J26" i="499"/>
  <c r="J45" i="497"/>
  <c r="J82" i="577"/>
  <c r="O74" i="497"/>
  <c r="G84" i="577"/>
  <c r="N84" i="499"/>
  <c r="O33" i="577"/>
  <c r="H55" i="497"/>
  <c r="J61" i="499"/>
  <c r="O69" i="577"/>
  <c r="O55" i="497"/>
  <c r="H24" i="497"/>
  <c r="L31" i="499"/>
  <c r="L62" i="499"/>
  <c r="N9" i="497"/>
  <c r="K28" i="497"/>
  <c r="N27" i="499"/>
  <c r="F50" i="499"/>
  <c r="R6" i="499"/>
  <c r="E12" i="577"/>
  <c r="G34" i="497"/>
  <c r="M85" i="499"/>
  <c r="L68" i="577"/>
  <c r="H34" i="577"/>
  <c r="N32" i="497"/>
  <c r="R80" i="499"/>
  <c r="H64" i="577"/>
  <c r="K51" i="497"/>
  <c r="E39" i="499"/>
  <c r="E19" i="499"/>
  <c r="C26" i="895"/>
  <c r="G9" i="499"/>
  <c r="H31" i="499"/>
  <c r="I22" i="499"/>
  <c r="F27" i="497"/>
  <c r="K48" i="497"/>
  <c r="P18" i="499"/>
  <c r="P71" i="499"/>
  <c r="F55" i="577"/>
  <c r="I64" i="577"/>
  <c r="I24" i="497"/>
  <c r="E13" i="497"/>
  <c r="N22" i="499"/>
  <c r="K35" i="499"/>
  <c r="N58" i="499"/>
  <c r="K11" i="577"/>
  <c r="D62" i="499"/>
  <c r="E37" i="577"/>
  <c r="H4" i="497"/>
  <c r="J73" i="577"/>
  <c r="L44" i="577"/>
  <c r="I52" i="497"/>
  <c r="S53" i="499"/>
  <c r="I84" i="499"/>
  <c r="G52" i="499"/>
  <c r="H37" i="717"/>
  <c r="O8" i="577"/>
  <c r="M6" i="577"/>
  <c r="K44" i="497"/>
  <c r="Q30" i="499"/>
  <c r="E43" i="499"/>
  <c r="H65" i="499"/>
  <c r="K8" i="577"/>
  <c r="O50" i="499"/>
  <c r="L28" i="499"/>
  <c r="L26" i="497"/>
  <c r="H46" i="497"/>
  <c r="G46" i="577"/>
  <c r="L44" i="499"/>
  <c r="H77" i="497"/>
  <c r="H32" i="717"/>
  <c r="Q64" i="499"/>
  <c r="O24" i="499"/>
  <c r="I51" i="577"/>
  <c r="I24" i="499"/>
  <c r="O75" i="497"/>
  <c r="J16" i="497"/>
  <c r="L37" i="497"/>
  <c r="M87" i="499"/>
  <c r="F41" i="497"/>
  <c r="K76" i="499"/>
  <c r="G14" i="499"/>
  <c r="I8" i="577"/>
  <c r="I53" i="499"/>
  <c r="Q62" i="499"/>
  <c r="O56" i="577"/>
  <c r="H16" i="499"/>
  <c r="E35" i="499"/>
  <c r="N64" i="497"/>
  <c r="K53" i="499"/>
  <c r="J74" i="497"/>
  <c r="J20" i="497"/>
  <c r="L22" i="499"/>
  <c r="O4" i="499"/>
  <c r="F48" i="577"/>
  <c r="N62" i="497"/>
  <c r="D73" i="577"/>
  <c r="H18" i="497"/>
  <c r="E10" i="577"/>
  <c r="O85" i="497"/>
  <c r="M43" i="577"/>
  <c r="G85" i="499"/>
  <c r="F42" i="577"/>
  <c r="E7" i="497"/>
  <c r="N51" i="577"/>
  <c r="S23" i="499"/>
  <c r="M19" i="499"/>
  <c r="N5" i="499"/>
  <c r="H44" i="497"/>
  <c r="O77" i="497"/>
  <c r="S69" i="499"/>
  <c r="O88" i="497"/>
  <c r="R61" i="499"/>
  <c r="F52" i="497"/>
  <c r="G42" i="499"/>
  <c r="S11" i="499"/>
  <c r="H38" i="497"/>
  <c r="K73" i="577"/>
  <c r="D67" i="577"/>
  <c r="L60" i="497"/>
  <c r="K57" i="499"/>
  <c r="P37" i="499"/>
  <c r="D10" i="717"/>
  <c r="H72" i="497"/>
  <c r="G53" i="577"/>
  <c r="I41" i="577"/>
  <c r="Q5" i="499"/>
  <c r="G81" i="577"/>
  <c r="S35" i="499"/>
  <c r="E27" i="499"/>
  <c r="J75" i="497"/>
  <c r="F47" i="497"/>
  <c r="D3" i="497"/>
  <c r="L8" i="577"/>
  <c r="E66" i="717"/>
  <c r="J39" i="499"/>
  <c r="I58" i="577"/>
  <c r="J48" i="499"/>
  <c r="L50" i="577"/>
  <c r="P83" i="499"/>
  <c r="P9" i="499"/>
  <c r="L72" i="499"/>
  <c r="F60" i="497"/>
  <c r="E28" i="717"/>
  <c r="F56" i="577"/>
  <c r="O40" i="577"/>
  <c r="K25" i="497"/>
  <c r="K35" i="497"/>
  <c r="I63" i="497"/>
  <c r="N12" i="499"/>
  <c r="J62" i="497"/>
  <c r="H14" i="499"/>
  <c r="H88" i="497"/>
  <c r="G20" i="499"/>
  <c r="H8" i="499"/>
  <c r="E59" i="717"/>
  <c r="R33" i="499"/>
  <c r="E25" i="717"/>
  <c r="F17" i="577"/>
  <c r="N4" i="497"/>
  <c r="M36" i="499"/>
  <c r="Q68" i="499"/>
  <c r="C4" i="895"/>
  <c r="L54" i="499"/>
  <c r="R75" i="499"/>
  <c r="J64" i="577"/>
  <c r="C19" i="895"/>
  <c r="L21" i="497"/>
  <c r="P36" i="499"/>
  <c r="L76" i="497"/>
  <c r="O8" i="497"/>
  <c r="S48" i="499"/>
  <c r="O48" i="497"/>
  <c r="H85" i="717"/>
  <c r="G68" i="577"/>
  <c r="J46" i="499"/>
  <c r="M38" i="577"/>
  <c r="I10" i="577"/>
  <c r="K45" i="499"/>
  <c r="I36" i="577"/>
  <c r="E52" i="717"/>
  <c r="C43" i="895"/>
  <c r="O76" i="499"/>
  <c r="L55" i="577"/>
  <c r="O71" i="497"/>
  <c r="G62" i="497"/>
  <c r="M62" i="497"/>
  <c r="P42" i="499"/>
  <c r="J47" i="497"/>
  <c r="E9" i="499"/>
  <c r="G71" i="499"/>
  <c r="H56" i="717"/>
  <c r="I81" i="577"/>
  <c r="D33" i="499"/>
  <c r="I11" i="577"/>
  <c r="N64" i="499"/>
  <c r="G63" i="497"/>
  <c r="K60" i="499"/>
  <c r="E52" i="499"/>
  <c r="K54" i="497"/>
  <c r="E62" i="499"/>
  <c r="E33" i="577"/>
  <c r="G42" i="577"/>
  <c r="I57" i="497"/>
  <c r="M67" i="499"/>
  <c r="R49" i="499"/>
  <c r="H17" i="717"/>
  <c r="O57" i="577"/>
  <c r="K49" i="577"/>
  <c r="E16" i="499"/>
  <c r="D61" i="577"/>
  <c r="N58" i="497"/>
  <c r="H28" i="717"/>
  <c r="K16" i="497"/>
  <c r="E88" i="717"/>
  <c r="J49" i="499"/>
  <c r="D9" i="499"/>
  <c r="I80" i="577"/>
  <c r="F19" i="497"/>
  <c r="N22" i="497"/>
  <c r="F42" i="499"/>
  <c r="S12" i="499"/>
  <c r="I57" i="499"/>
  <c r="J70" i="577"/>
  <c r="P8" i="499"/>
  <c r="H56" i="499"/>
  <c r="H24" i="717"/>
  <c r="H77" i="717"/>
  <c r="K80" i="577"/>
  <c r="D17" i="497"/>
  <c r="H5" i="497"/>
  <c r="D72" i="577"/>
  <c r="J26" i="497"/>
  <c r="G37" i="577"/>
  <c r="L69" i="499"/>
  <c r="L32" i="499"/>
  <c r="I29" i="497"/>
  <c r="N40" i="497"/>
  <c r="O47" i="577"/>
  <c r="M76" i="499"/>
  <c r="M35" i="499"/>
  <c r="E33" i="497"/>
  <c r="Q20" i="499"/>
  <c r="H20" i="499"/>
  <c r="F50" i="497"/>
  <c r="R65" i="499"/>
  <c r="J34" i="577"/>
  <c r="K68" i="499"/>
  <c r="G45" i="497"/>
  <c r="Q83" i="499"/>
  <c r="G9" i="577"/>
  <c r="K42" i="497"/>
  <c r="E4" i="499"/>
  <c r="M49" i="499"/>
  <c r="L52" i="499"/>
  <c r="E53" i="717"/>
  <c r="O64" i="577"/>
  <c r="I25" i="497"/>
  <c r="N73" i="577"/>
  <c r="I10" i="497"/>
  <c r="Q43" i="499"/>
  <c r="J40" i="577"/>
  <c r="M13" i="497"/>
  <c r="L6" i="499"/>
  <c r="I41" i="499"/>
  <c r="E84" i="577"/>
  <c r="H21" i="497"/>
  <c r="Q26" i="499"/>
  <c r="J83" i="577"/>
  <c r="L38" i="497"/>
  <c r="K22" i="497"/>
  <c r="L81" i="577"/>
  <c r="R43" i="499"/>
  <c r="N37" i="497"/>
  <c r="I54" i="497"/>
  <c r="M63" i="577"/>
  <c r="G40" i="577"/>
  <c r="C24" i="895"/>
  <c r="M35" i="497"/>
  <c r="K5" i="497"/>
  <c r="H6" i="499"/>
  <c r="E75" i="499"/>
  <c r="M62" i="499"/>
  <c r="L45" i="497"/>
  <c r="E41" i="577"/>
  <c r="O85" i="577"/>
  <c r="I55" i="577"/>
  <c r="O19" i="499"/>
  <c r="I41" i="497"/>
  <c r="Q54" i="499"/>
  <c r="K82" i="577"/>
  <c r="K60" i="497"/>
  <c r="J66" i="577"/>
  <c r="H52" i="499"/>
  <c r="H6" i="577"/>
  <c r="O55" i="499"/>
  <c r="E17" i="497"/>
  <c r="L33" i="497"/>
  <c r="D10" i="497"/>
  <c r="K38" i="499"/>
  <c r="N76" i="499"/>
  <c r="K70" i="577"/>
  <c r="O11" i="577"/>
  <c r="H65" i="577"/>
  <c r="E58" i="499"/>
  <c r="J35" i="499"/>
  <c r="F83" i="499"/>
  <c r="F41" i="499"/>
  <c r="L39" i="577"/>
  <c r="E61" i="577"/>
  <c r="C31" i="895"/>
  <c r="J47" i="499"/>
  <c r="O49" i="497"/>
  <c r="M14" i="497"/>
  <c r="M21" i="499"/>
  <c r="H32" i="497"/>
  <c r="H72" i="499"/>
  <c r="C44" i="895"/>
  <c r="L66" i="577"/>
  <c r="E56" i="499"/>
  <c r="L81" i="499"/>
  <c r="L27" i="497"/>
  <c r="G54" i="497"/>
  <c r="F38" i="499"/>
  <c r="F13" i="497"/>
  <c r="O67" i="499"/>
  <c r="N6" i="497"/>
  <c r="F32" i="577"/>
  <c r="J87" i="499"/>
  <c r="G43" i="497"/>
  <c r="J35" i="497"/>
  <c r="I8" i="497"/>
  <c r="G65" i="577"/>
  <c r="O3" i="497"/>
  <c r="K49" i="497"/>
  <c r="I42" i="497"/>
  <c r="N63" i="499"/>
  <c r="M55" i="499"/>
  <c r="O68" i="577"/>
  <c r="K65" i="499"/>
  <c r="K79" i="577"/>
  <c r="G30" i="497"/>
  <c r="H49" i="577"/>
  <c r="G80" i="577"/>
  <c r="N87" i="499"/>
  <c r="N12" i="497"/>
  <c r="E25" i="499"/>
  <c r="O83" i="499"/>
  <c r="M12" i="497"/>
  <c r="K41" i="577"/>
  <c r="L43" i="497"/>
  <c r="H13" i="717"/>
  <c r="D26" i="499"/>
  <c r="E43" i="717"/>
  <c r="E68" i="499"/>
  <c r="M45" i="499"/>
  <c r="H53" i="577"/>
  <c r="N39" i="499"/>
  <c r="H67" i="499"/>
  <c r="D62" i="577"/>
  <c r="S50" i="499"/>
  <c r="M82" i="499"/>
  <c r="H34" i="717"/>
  <c r="O32" i="499"/>
  <c r="P75" i="499"/>
  <c r="O70" i="577"/>
  <c r="M22" i="499"/>
  <c r="L33" i="499"/>
  <c r="R19" i="499"/>
  <c r="E74" i="499"/>
  <c r="I38" i="577"/>
  <c r="H25" i="497"/>
  <c r="H42" i="717"/>
  <c r="E67" i="577"/>
  <c r="E63" i="717"/>
  <c r="E79" i="499"/>
  <c r="E38" i="717"/>
  <c r="L80" i="577"/>
  <c r="E63" i="499"/>
  <c r="H48" i="497"/>
  <c r="L37" i="577"/>
  <c r="G38" i="577"/>
  <c r="F75" i="497"/>
  <c r="L10" i="577"/>
  <c r="N15" i="497"/>
  <c r="O62" i="577"/>
  <c r="N41" i="497"/>
  <c r="O54" i="577"/>
  <c r="F43" i="577"/>
  <c r="P32" i="499"/>
  <c r="N55" i="497"/>
  <c r="G27" i="497"/>
  <c r="C23" i="236"/>
  <c r="G73" i="499"/>
  <c r="L7" i="497"/>
  <c r="O13" i="577"/>
  <c r="O58" i="577"/>
  <c r="F76" i="499"/>
  <c r="G22" i="497"/>
  <c r="J19" i="497"/>
  <c r="H47" i="499"/>
  <c r="M78" i="499"/>
  <c r="L67" i="499"/>
  <c r="H41" i="577"/>
  <c r="F10" i="577"/>
  <c r="K14" i="497"/>
  <c r="E29" i="499"/>
  <c r="R36" i="499"/>
  <c r="O52" i="577"/>
  <c r="N38" i="497"/>
  <c r="H31" i="497"/>
  <c r="N43" i="497"/>
  <c r="F28" i="577"/>
  <c r="L61" i="497"/>
  <c r="E54" i="577"/>
  <c r="J41" i="577"/>
  <c r="N59" i="497"/>
  <c r="M26" i="499"/>
  <c r="N79" i="577"/>
  <c r="J67" i="577"/>
  <c r="G27" i="499"/>
  <c r="I66" i="577"/>
  <c r="E19" i="717"/>
  <c r="I26" i="499"/>
  <c r="C7" i="236"/>
  <c r="E40" i="577"/>
  <c r="F39" i="577"/>
  <c r="S28" i="499"/>
  <c r="G33" i="497"/>
  <c r="N16" i="497"/>
  <c r="D37" i="577"/>
  <c r="E61" i="497"/>
  <c r="S74" i="499"/>
  <c r="I77" i="499"/>
  <c r="N44" i="497"/>
  <c r="K52" i="577"/>
  <c r="H43" i="497"/>
  <c r="K55" i="497"/>
  <c r="S7" i="499"/>
  <c r="M38" i="499"/>
  <c r="E73" i="499"/>
  <c r="N69" i="499"/>
  <c r="D26" i="497"/>
  <c r="O61" i="499"/>
  <c r="E27" i="497"/>
  <c r="D31" i="499"/>
  <c r="H39" i="717"/>
  <c r="N27" i="497"/>
  <c r="O80" i="577"/>
  <c r="O77" i="499"/>
  <c r="E84" i="499"/>
  <c r="F51" i="497"/>
  <c r="E46" i="497"/>
  <c r="J76" i="499"/>
  <c r="J28" i="497"/>
  <c r="J59" i="497"/>
  <c r="H58" i="717"/>
  <c r="O28" i="497"/>
  <c r="R42" i="499"/>
  <c r="L52" i="577"/>
  <c r="Q33" i="499"/>
  <c r="I64" i="499"/>
  <c r="O38" i="499"/>
  <c r="J79" i="577"/>
  <c r="N68" i="577"/>
  <c r="L41" i="499"/>
  <c r="E54" i="499"/>
  <c r="I76" i="497"/>
  <c r="L56" i="497"/>
  <c r="R66" i="499"/>
  <c r="M18" i="497"/>
  <c r="H17" i="499"/>
  <c r="K39" i="497"/>
  <c r="G41" i="497"/>
  <c r="G66" i="499"/>
  <c r="G49" i="577"/>
  <c r="N23" i="499"/>
  <c r="G51" i="577"/>
  <c r="H26" i="499"/>
  <c r="L14" i="499"/>
  <c r="I45" i="497"/>
  <c r="I72" i="497"/>
  <c r="J83" i="499"/>
  <c r="C27" i="895"/>
  <c r="F34" i="577"/>
  <c r="Q65" i="499"/>
  <c r="J63" i="577"/>
  <c r="C22" i="895"/>
  <c r="J60" i="497"/>
  <c r="O53" i="577"/>
  <c r="O37" i="577"/>
  <c r="N79" i="499"/>
  <c r="J52" i="497"/>
  <c r="L74" i="497"/>
  <c r="R74" i="499"/>
  <c r="H58" i="577"/>
  <c r="K26" i="497"/>
  <c r="Q17" i="499"/>
  <c r="L4" i="499"/>
  <c r="N57" i="499"/>
  <c r="E49" i="499"/>
  <c r="M30" i="497"/>
  <c r="E31" i="497"/>
  <c r="N20" i="499"/>
  <c r="R13" i="499"/>
  <c r="S70" i="499"/>
  <c r="R16" i="499"/>
  <c r="J38" i="577"/>
  <c r="J22" i="499"/>
  <c r="N49" i="497"/>
  <c r="S44" i="499"/>
  <c r="N36" i="577"/>
  <c r="E24" i="497"/>
  <c r="G17" i="499"/>
  <c r="G35" i="497"/>
  <c r="I44" i="577"/>
  <c r="N59" i="499"/>
  <c r="H42" i="499"/>
  <c r="I59" i="497"/>
  <c r="N85" i="577"/>
  <c r="K10" i="497"/>
  <c r="N43" i="499"/>
  <c r="L42" i="577"/>
  <c r="J58" i="497"/>
  <c r="O12" i="577"/>
  <c r="J42" i="499"/>
  <c r="H64" i="499"/>
  <c r="K56" i="497"/>
  <c r="E28" i="497"/>
  <c r="E60" i="577"/>
  <c r="O75" i="577"/>
  <c r="I85" i="497"/>
  <c r="F58" i="499"/>
  <c r="D19" i="497"/>
  <c r="K43" i="577"/>
  <c r="E34" i="499"/>
  <c r="F60" i="577"/>
  <c r="O39" i="577"/>
  <c r="K57" i="577"/>
  <c r="F18" i="577"/>
  <c r="N57" i="577"/>
  <c r="F11" i="577"/>
  <c r="H81" i="577"/>
  <c r="H34" i="497"/>
  <c r="J66" i="499"/>
  <c r="Q38" i="499"/>
  <c r="H64" i="497"/>
  <c r="I77" i="497"/>
  <c r="E72" i="577"/>
  <c r="H23" i="717"/>
  <c r="J76" i="497"/>
  <c r="I74" i="497"/>
  <c r="F6" i="497"/>
  <c r="O39" i="499"/>
  <c r="M40" i="497"/>
  <c r="M86" i="499"/>
  <c r="F45" i="499"/>
  <c r="Q69" i="499"/>
  <c r="F57" i="577"/>
  <c r="E63" i="497"/>
  <c r="I65" i="577"/>
  <c r="M73" i="499"/>
  <c r="E24" i="717"/>
  <c r="F66" i="499"/>
  <c r="F17" i="499"/>
  <c r="H70" i="499"/>
  <c r="F65" i="499"/>
  <c r="H76" i="499"/>
  <c r="K68" i="577"/>
  <c r="D6" i="499"/>
  <c r="F71" i="499"/>
  <c r="F27" i="499"/>
  <c r="F41" i="577"/>
  <c r="E58" i="577"/>
  <c r="L70" i="499"/>
  <c r="I50" i="577"/>
  <c r="H41" i="497"/>
  <c r="K29" i="499"/>
  <c r="F31" i="497"/>
  <c r="I53" i="577"/>
  <c r="O85" i="499"/>
  <c r="O64" i="497"/>
  <c r="I82" i="577"/>
  <c r="L18" i="497"/>
  <c r="D32" i="499"/>
  <c r="S57" i="499"/>
  <c r="D32" i="497"/>
  <c r="E88" i="497"/>
  <c r="E22" i="497"/>
  <c r="O57" i="499"/>
  <c r="F23" i="577"/>
  <c r="P55" i="499"/>
  <c r="L23" i="499"/>
  <c r="I70" i="499"/>
  <c r="H70" i="717"/>
  <c r="H62" i="577"/>
  <c r="P53" i="499"/>
  <c r="L19" i="499"/>
  <c r="H60" i="717"/>
  <c r="Q70" i="499"/>
  <c r="J23" i="499"/>
  <c r="G32" i="499"/>
  <c r="G7" i="577"/>
  <c r="E38" i="497"/>
  <c r="K74" i="499"/>
  <c r="D17" i="499"/>
  <c r="N10" i="497"/>
  <c r="E77" i="577"/>
  <c r="M84" i="499"/>
  <c r="O51" i="577"/>
  <c r="G51" i="499"/>
  <c r="J50" i="577"/>
  <c r="L46" i="497"/>
  <c r="D39" i="499"/>
  <c r="H28" i="499"/>
  <c r="F31" i="499"/>
  <c r="O63" i="497"/>
  <c r="H22" i="497"/>
  <c r="P76" i="499"/>
  <c r="G39" i="497"/>
  <c r="O42" i="499"/>
  <c r="N64" i="577"/>
  <c r="H73" i="497"/>
  <c r="L43" i="577"/>
  <c r="J64" i="497"/>
  <c r="M57" i="499"/>
  <c r="N86" i="499"/>
  <c r="N8" i="497"/>
  <c r="H85" i="499"/>
  <c r="S38" i="499"/>
  <c r="G5" i="497"/>
  <c r="E37" i="497"/>
  <c r="I12" i="497"/>
  <c r="G12" i="577"/>
  <c r="F34" i="497"/>
  <c r="N40" i="577"/>
  <c r="G55" i="497"/>
  <c r="S80" i="499"/>
  <c r="G85" i="577"/>
  <c r="N11" i="497"/>
  <c r="M73" i="497"/>
  <c r="H61" i="497"/>
  <c r="D62" i="497"/>
  <c r="O18" i="499"/>
  <c r="M24" i="499"/>
  <c r="G83" i="577"/>
  <c r="F72" i="577"/>
  <c r="N74" i="577"/>
  <c r="H60" i="497"/>
  <c r="N29" i="499"/>
  <c r="O7" i="497"/>
  <c r="H19" i="499"/>
  <c r="O31" i="499"/>
  <c r="L63" i="577"/>
  <c r="O61" i="577"/>
  <c r="R30" i="499"/>
  <c r="R52" i="499"/>
  <c r="L75" i="577"/>
  <c r="S37" i="499"/>
  <c r="F77" i="499"/>
  <c r="L24" i="499"/>
  <c r="D12" i="577"/>
  <c r="O50" i="577"/>
  <c r="E69" i="497"/>
  <c r="K71" i="577"/>
  <c r="L35" i="499"/>
  <c r="O79" i="577"/>
  <c r="D18" i="499"/>
  <c r="I48" i="497"/>
  <c r="K12" i="577"/>
  <c r="S14" i="499"/>
  <c r="F86" i="499"/>
  <c r="G39" i="577"/>
  <c r="L36" i="497"/>
  <c r="S24" i="499"/>
  <c r="L9" i="499"/>
  <c r="S54" i="499"/>
  <c r="N10" i="577"/>
  <c r="J37" i="577"/>
  <c r="M33" i="577"/>
  <c r="S42" i="499"/>
  <c r="I43" i="577"/>
  <c r="Q44" i="499"/>
  <c r="F35" i="499"/>
  <c r="K83" i="577"/>
  <c r="F45" i="497"/>
  <c r="F55" i="497"/>
  <c r="M15" i="497"/>
  <c r="S62" i="499"/>
  <c r="O36" i="499"/>
  <c r="L17" i="497"/>
  <c r="Q58" i="499"/>
  <c r="H36" i="577"/>
  <c r="P86" i="499"/>
  <c r="L9" i="577"/>
  <c r="R76" i="499"/>
  <c r="F78" i="499"/>
  <c r="G33" i="499"/>
  <c r="N57" i="497"/>
  <c r="Q7" i="499"/>
  <c r="L27" i="499"/>
  <c r="J9" i="497"/>
  <c r="J37" i="497"/>
  <c r="G9" i="497"/>
  <c r="I74" i="499"/>
  <c r="G57" i="497"/>
  <c r="J6" i="497"/>
  <c r="J67" i="499"/>
  <c r="P29" i="499"/>
  <c r="J78" i="499"/>
  <c r="L36" i="577"/>
  <c r="O41" i="499"/>
  <c r="F74" i="499"/>
  <c r="M17" i="499"/>
  <c r="G13" i="577"/>
  <c r="J13" i="497"/>
  <c r="S67" i="499"/>
  <c r="G32" i="497"/>
  <c r="Q37" i="499"/>
  <c r="M54" i="499"/>
  <c r="L39" i="499"/>
  <c r="O16" i="499"/>
  <c r="Q6" i="499"/>
  <c r="H48" i="499"/>
  <c r="Q80" i="499"/>
  <c r="G16" i="497"/>
  <c r="P10" i="499"/>
  <c r="E76" i="499"/>
  <c r="J33" i="499"/>
  <c r="G29" i="499"/>
  <c r="I35" i="499"/>
  <c r="C15" i="895"/>
  <c r="P68" i="499"/>
  <c r="F9" i="497"/>
  <c r="N67" i="577"/>
  <c r="I60" i="497"/>
  <c r="F23" i="497"/>
  <c r="O38" i="497"/>
  <c r="I23" i="497"/>
  <c r="S84" i="499"/>
  <c r="E47" i="499"/>
  <c r="I39" i="499"/>
  <c r="I53" i="497"/>
  <c r="F27" i="577"/>
  <c r="J70" i="499"/>
  <c r="J75" i="577"/>
  <c r="N38" i="499"/>
  <c r="G19" i="499"/>
  <c r="N75" i="577"/>
  <c r="I59" i="577"/>
  <c r="G38" i="499"/>
  <c r="F17" i="497"/>
  <c r="G34" i="499"/>
  <c r="M44" i="499"/>
  <c r="E57" i="499"/>
  <c r="M12" i="577"/>
  <c r="O44" i="577"/>
  <c r="H35" i="497"/>
  <c r="M23" i="497"/>
  <c r="L14" i="497"/>
  <c r="F6" i="499"/>
  <c r="J18" i="499"/>
  <c r="O27" i="497"/>
  <c r="K15" i="497"/>
  <c r="M5" i="499"/>
  <c r="F19" i="499"/>
  <c r="N41" i="577"/>
  <c r="F87" i="499"/>
  <c r="M65" i="577"/>
  <c r="H13" i="499"/>
  <c r="O46" i="497"/>
  <c r="N72" i="497"/>
  <c r="J43" i="497"/>
  <c r="F37" i="497"/>
  <c r="J40" i="497"/>
  <c r="N39" i="497"/>
  <c r="R47" i="499"/>
  <c r="F61" i="499"/>
  <c r="F20" i="499"/>
  <c r="O81" i="577"/>
  <c r="L66" i="499"/>
  <c r="L58" i="577"/>
  <c r="K52" i="499"/>
  <c r="K38" i="497"/>
  <c r="J49" i="497"/>
  <c r="H49" i="497"/>
  <c r="P62" i="499"/>
  <c r="P25" i="499"/>
  <c r="K62" i="499"/>
  <c r="F21" i="577"/>
  <c r="E61" i="717"/>
  <c r="E11" i="499"/>
  <c r="N29" i="497"/>
  <c r="K44" i="577"/>
  <c r="I50" i="497"/>
  <c r="P84" i="499"/>
  <c r="E89" i="717"/>
  <c r="D68" i="577"/>
  <c r="C61" i="717" l="1"/>
  <c r="D61" i="717"/>
  <c r="B15" i="895"/>
  <c r="T18" i="499"/>
  <c r="C18" i="499"/>
  <c r="P62" i="497"/>
  <c r="C62" i="497" s="1"/>
  <c r="C39" i="499"/>
  <c r="T39" i="499"/>
  <c r="C17" i="499"/>
  <c r="T17" i="499"/>
  <c r="P32" i="497"/>
  <c r="C32" i="497" s="1"/>
  <c r="C32" i="499"/>
  <c r="T32" i="499"/>
  <c r="C24" i="717"/>
  <c r="D24" i="717"/>
  <c r="P19" i="497"/>
  <c r="C19" i="497" s="1"/>
  <c r="B22" i="895"/>
  <c r="B27" i="895"/>
  <c r="T31" i="499"/>
  <c r="C31" i="499"/>
  <c r="P26" i="497"/>
  <c r="C26" i="497" s="1"/>
  <c r="C37" i="577"/>
  <c r="D19" i="717"/>
  <c r="C19" i="717"/>
  <c r="B23" i="236"/>
  <c r="C38" i="717"/>
  <c r="D38" i="717"/>
  <c r="D63" i="717"/>
  <c r="C63" i="717"/>
  <c r="C62" i="577"/>
  <c r="D43" i="717"/>
  <c r="F43" i="717"/>
  <c r="C43" i="717"/>
  <c r="C26" i="499"/>
  <c r="T26" i="499"/>
  <c r="B44" i="895"/>
  <c r="B31" i="895"/>
  <c r="B24" i="895"/>
  <c r="D53" i="717"/>
  <c r="C53" i="717"/>
  <c r="O86" i="577"/>
  <c r="C72" i="577"/>
  <c r="P17" i="497"/>
  <c r="C17" i="497" s="1"/>
  <c r="D88" i="717"/>
  <c r="C88" i="717"/>
  <c r="C61" i="577"/>
  <c r="C33" i="499"/>
  <c r="T33" i="499"/>
  <c r="B43" i="895"/>
  <c r="D52" i="717"/>
  <c r="C52" i="717"/>
  <c r="B19" i="895"/>
  <c r="C25" i="717"/>
  <c r="D25" i="717"/>
  <c r="C59" i="717"/>
  <c r="D59" i="717"/>
  <c r="C28" i="717"/>
  <c r="D28" i="717"/>
  <c r="C66" i="717"/>
  <c r="D66" i="717"/>
  <c r="L15" i="577"/>
  <c r="C66" i="577"/>
  <c r="C73" i="577"/>
  <c r="I15" i="577"/>
  <c r="K15" i="577"/>
  <c r="O15" i="577"/>
  <c r="C62" i="499"/>
  <c r="T62" i="499"/>
  <c r="B26" i="895"/>
  <c r="C33" i="577"/>
  <c r="B18" i="236"/>
  <c r="F45" i="577"/>
  <c r="M15" i="577"/>
  <c r="T25" i="499"/>
  <c r="C25" i="499"/>
  <c r="C32" i="717"/>
  <c r="D32" i="717"/>
  <c r="B41" i="895"/>
  <c r="B40" i="895"/>
  <c r="K86" i="577"/>
  <c r="C75" i="717"/>
  <c r="C31" i="717"/>
  <c r="D31" i="717"/>
  <c r="P21" i="497"/>
  <c r="C21" i="497" s="1"/>
  <c r="D15" i="717"/>
  <c r="C15" i="717"/>
  <c r="N86" i="577"/>
  <c r="L86" i="577"/>
  <c r="P34" i="497"/>
  <c r="C34" i="497" s="1"/>
  <c r="G15" i="577"/>
  <c r="C22" i="717"/>
  <c r="D22" i="717"/>
  <c r="D53" i="895"/>
  <c r="E53" i="895" s="1"/>
  <c r="B23" i="895"/>
  <c r="D30" i="717"/>
  <c r="C30" i="717"/>
  <c r="B28" i="895"/>
  <c r="C23" i="499"/>
  <c r="T23" i="499"/>
  <c r="B14" i="895"/>
  <c r="C36" i="577"/>
  <c r="C40" i="577"/>
  <c r="P37" i="497"/>
  <c r="C37" i="497" s="1"/>
  <c r="C63" i="499"/>
  <c r="T63" i="499"/>
  <c r="J15" i="577"/>
  <c r="P60" i="497"/>
  <c r="C60" i="497" s="1"/>
  <c r="C64" i="577"/>
  <c r="T86" i="499"/>
  <c r="C86" i="499"/>
  <c r="C35" i="499"/>
  <c r="T35" i="499"/>
  <c r="C34" i="577"/>
  <c r="C44" i="577"/>
  <c r="B14" i="236"/>
  <c r="N15" i="577"/>
  <c r="D37" i="717"/>
  <c r="C37" i="717"/>
  <c r="D20" i="717"/>
  <c r="C20" i="717"/>
  <c r="P16" i="497"/>
  <c r="C16" i="497" s="1"/>
  <c r="H15" i="577"/>
  <c r="P61" i="497"/>
  <c r="C61" i="497" s="1"/>
  <c r="P24" i="577"/>
  <c r="P17" i="577"/>
  <c r="P30" i="577" s="1"/>
  <c r="D27" i="717"/>
  <c r="C27" i="717"/>
  <c r="B36" i="895"/>
  <c r="C20" i="499"/>
  <c r="T20" i="499"/>
  <c r="D70" i="717"/>
  <c r="C70" i="717"/>
  <c r="P22" i="497"/>
  <c r="C22" i="497" s="1"/>
  <c r="P28" i="497"/>
  <c r="C28" i="497" s="1"/>
  <c r="P18" i="497"/>
  <c r="C18" i="497" s="1"/>
  <c r="B34" i="895"/>
  <c r="E52" i="895"/>
  <c r="B33" i="895"/>
  <c r="T36" i="499"/>
  <c r="C36" i="499"/>
  <c r="C37" i="499"/>
  <c r="T37" i="499"/>
  <c r="D16" i="717"/>
  <c r="C16" i="717"/>
  <c r="C65" i="577"/>
  <c r="F86" i="577"/>
  <c r="P36" i="497"/>
  <c r="C36" i="497" s="1"/>
  <c r="J86" i="577"/>
  <c r="B25" i="895"/>
  <c r="D14" i="717"/>
  <c r="C14" i="717"/>
  <c r="C54" i="717"/>
  <c r="D54" i="717"/>
  <c r="B16" i="895"/>
  <c r="P12" i="497"/>
  <c r="C12" i="497" s="1"/>
  <c r="B12" i="236"/>
  <c r="C74" i="499"/>
  <c r="P35" i="497"/>
  <c r="C35" i="497" s="1"/>
  <c r="T85" i="499"/>
  <c r="C85" i="499"/>
  <c r="P30" i="497"/>
  <c r="C30" i="497" s="1"/>
  <c r="C43" i="577"/>
  <c r="P20" i="497"/>
  <c r="C20" i="497" s="1"/>
  <c r="T13" i="499"/>
  <c r="C13" i="499"/>
  <c r="C39" i="577"/>
  <c r="G86" i="577"/>
  <c r="P38" i="497"/>
  <c r="C38" i="497" s="1"/>
  <c r="P13" i="497"/>
  <c r="C13" i="497" s="1"/>
  <c r="B16" i="236"/>
  <c r="D39" i="717"/>
  <c r="C39" i="717"/>
  <c r="T22" i="499"/>
  <c r="C22" i="499"/>
  <c r="C16" i="499"/>
  <c r="T16" i="499"/>
  <c r="C26" i="717"/>
  <c r="D26" i="717"/>
  <c r="C42" i="577"/>
  <c r="D55" i="717"/>
  <c r="C55" i="717"/>
  <c r="C14" i="499"/>
  <c r="T14" i="499"/>
  <c r="C60" i="577"/>
  <c r="B88" i="577" s="1"/>
  <c r="H86" i="577"/>
  <c r="D36" i="717"/>
  <c r="C36" i="717"/>
  <c r="P31" i="497"/>
  <c r="C31" i="497" s="1"/>
  <c r="C21" i="717"/>
  <c r="D21" i="717"/>
  <c r="B39" i="895"/>
  <c r="B17" i="895"/>
  <c r="T24" i="499"/>
  <c r="C24" i="499"/>
  <c r="C59" i="577"/>
  <c r="B37" i="895"/>
  <c r="D57" i="717"/>
  <c r="C57" i="717"/>
  <c r="C41" i="577"/>
  <c r="T29" i="499"/>
  <c r="C29" i="499"/>
  <c r="B18" i="895"/>
  <c r="D15" i="577"/>
  <c r="C86" i="717"/>
  <c r="T34" i="499"/>
  <c r="C34" i="499"/>
  <c r="T61" i="499"/>
  <c r="C61" i="499"/>
  <c r="D17" i="717"/>
  <c r="C17" i="717"/>
  <c r="C27" i="499"/>
  <c r="T27" i="499"/>
  <c r="P23" i="497"/>
  <c r="C23" i="497" s="1"/>
  <c r="E15" i="577"/>
  <c r="D23" i="717"/>
  <c r="C23" i="717"/>
  <c r="B24" i="236"/>
  <c r="T38" i="499"/>
  <c r="C38" i="499"/>
  <c r="B42" i="895"/>
  <c r="B20" i="895"/>
  <c r="I86" i="577"/>
  <c r="B12" i="895"/>
  <c r="T21" i="499"/>
  <c r="C21" i="499"/>
  <c r="D18" i="717"/>
  <c r="C18" i="717"/>
  <c r="B29" i="895"/>
  <c r="P15" i="497"/>
  <c r="C15" i="497" s="1"/>
  <c r="D34" i="717"/>
  <c r="C34" i="717"/>
  <c r="B21" i="895"/>
  <c r="C60" i="717"/>
  <c r="D60" i="717"/>
  <c r="C35" i="717"/>
  <c r="D35" i="717"/>
  <c r="P24" i="497"/>
  <c r="C24" i="497" s="1"/>
  <c r="B32" i="895"/>
  <c r="P11" i="497"/>
  <c r="C11" i="497" s="1"/>
  <c r="C12" i="499"/>
  <c r="T12" i="499"/>
  <c r="T28" i="499"/>
  <c r="C28" i="499"/>
  <c r="C63" i="577"/>
  <c r="B15" i="236"/>
  <c r="C13" i="717"/>
  <c r="D13" i="717"/>
  <c r="P27" i="497"/>
  <c r="C27" i="497" s="1"/>
  <c r="B17" i="236"/>
  <c r="C15" i="499"/>
  <c r="T15" i="499"/>
  <c r="B13" i="895"/>
  <c r="P25" i="497"/>
  <c r="C25" i="497" s="1"/>
  <c r="P33" i="497"/>
  <c r="C33" i="497" s="1"/>
  <c r="B11" i="895"/>
  <c r="T19" i="499"/>
  <c r="C19" i="499"/>
  <c r="P14" i="497"/>
  <c r="C14" i="497" s="1"/>
  <c r="B91" i="497"/>
  <c r="C91" i="497"/>
  <c r="B92" i="499"/>
  <c r="C91" i="499"/>
  <c r="C90" i="497"/>
  <c r="B91" i="499"/>
  <c r="C92" i="499"/>
  <c r="C87" i="577"/>
  <c r="B87" i="577"/>
  <c r="D89" i="717"/>
  <c r="B99" i="546"/>
  <c r="D210" i="546"/>
  <c r="C89" i="717"/>
  <c r="F89" i="577"/>
  <c r="J16" i="577"/>
  <c r="H30" i="577"/>
  <c r="M19" i="577"/>
  <c r="H21" i="577"/>
  <c r="O28" i="577"/>
  <c r="G30" i="577"/>
  <c r="N17" i="577"/>
  <c r="G24" i="577"/>
  <c r="O19" i="577"/>
  <c r="G28" i="577"/>
  <c r="O20" i="577"/>
  <c r="J29" i="577"/>
  <c r="L25" i="577"/>
  <c r="G19" i="577"/>
  <c r="D16" i="577"/>
  <c r="H20" i="577"/>
  <c r="N24" i="577"/>
  <c r="M16" i="577"/>
  <c r="H25" i="577"/>
  <c r="O16" i="577"/>
  <c r="E31" i="577"/>
  <c r="G25" i="577"/>
  <c r="E22" i="577"/>
  <c r="N23" i="577"/>
  <c r="N31" i="577"/>
  <c r="N18" i="577"/>
  <c r="P12" i="577"/>
  <c r="D18" i="577"/>
  <c r="G20" i="577"/>
  <c r="O30" i="577"/>
  <c r="D21" i="577"/>
  <c r="D22" i="577"/>
  <c r="G16" i="577"/>
  <c r="M30" i="577"/>
  <c r="I27" i="577"/>
  <c r="H22" i="577"/>
  <c r="G26" i="577"/>
  <c r="D20" i="577"/>
  <c r="N25" i="577"/>
  <c r="N29" i="577"/>
  <c r="D23" i="577"/>
  <c r="H23" i="577"/>
  <c r="N26" i="577"/>
  <c r="N22" i="577"/>
  <c r="D26" i="577"/>
  <c r="O22" i="577"/>
  <c r="D29" i="577"/>
  <c r="M28" i="577"/>
  <c r="J24" i="577"/>
  <c r="J25" i="577"/>
  <c r="J22" i="577"/>
  <c r="L30" i="577"/>
  <c r="E23" i="577"/>
  <c r="G29" i="577"/>
  <c r="K17" i="577"/>
  <c r="N16" i="577"/>
  <c r="M21" i="577"/>
  <c r="K28" i="577"/>
  <c r="D28" i="577"/>
  <c r="N20" i="577"/>
  <c r="M17" i="577"/>
  <c r="D31" i="577"/>
  <c r="G32" i="577"/>
  <c r="O29" i="577"/>
  <c r="D27" i="577"/>
  <c r="K30" i="577"/>
  <c r="N27" i="577"/>
  <c r="E26" i="577"/>
  <c r="J23" i="577"/>
  <c r="K18" i="577"/>
  <c r="H29" i="577"/>
  <c r="J26" i="577"/>
  <c r="I28" i="577"/>
  <c r="H32" i="577"/>
  <c r="J28" i="577"/>
  <c r="M18" i="577"/>
  <c r="M32" i="577"/>
  <c r="H26" i="577"/>
  <c r="G23" i="577"/>
  <c r="L20" i="577"/>
  <c r="J19" i="577"/>
  <c r="J31" i="577"/>
  <c r="D32" i="577"/>
  <c r="J21" i="577"/>
  <c r="J32" i="577"/>
  <c r="N28" i="577"/>
  <c r="M25" i="577"/>
  <c r="G18" i="577"/>
  <c r="L29" i="577"/>
  <c r="H16" i="577"/>
  <c r="O32" i="577"/>
  <c r="D17" i="577"/>
  <c r="K20" i="577"/>
  <c r="E27" i="577"/>
  <c r="J30" i="577"/>
  <c r="L17" i="577"/>
  <c r="N21" i="577"/>
  <c r="J18" i="577"/>
  <c r="I30" i="577"/>
  <c r="N19" i="577"/>
  <c r="L28" i="577"/>
  <c r="D30" i="577"/>
  <c r="M20" i="577"/>
  <c r="G17" i="577"/>
  <c r="N32" i="577"/>
  <c r="G21" i="577"/>
  <c r="I18" i="577"/>
  <c r="G31" i="577"/>
  <c r="H24" i="577"/>
  <c r="O17" i="577"/>
  <c r="D19" i="577"/>
  <c r="G27" i="577"/>
  <c r="H17" i="577"/>
  <c r="J27" i="577"/>
  <c r="K31" i="577"/>
  <c r="N30" i="577"/>
  <c r="O23" i="577"/>
  <c r="J17" i="577"/>
  <c r="I25" i="577"/>
  <c r="H31" i="577"/>
  <c r="G22" i="577"/>
  <c r="O26" i="577"/>
  <c r="D24" i="577"/>
  <c r="E24" i="577"/>
  <c r="M27" i="577"/>
  <c r="I32" i="577"/>
  <c r="L27" i="577"/>
  <c r="O21" i="577"/>
  <c r="D25" i="577"/>
  <c r="M26" i="577"/>
  <c r="K19" i="577"/>
  <c r="J20" i="577"/>
  <c r="M24" i="577"/>
  <c r="L22" i="577"/>
  <c r="C88" i="577" l="1"/>
  <c r="C31" i="577"/>
  <c r="C26" i="577"/>
  <c r="C32" i="577"/>
  <c r="C18" i="577"/>
  <c r="C30" i="577"/>
  <c r="C28" i="577"/>
  <c r="N45" i="577"/>
  <c r="O45" i="577"/>
  <c r="C20" i="577"/>
  <c r="M45" i="577"/>
  <c r="C19" i="577"/>
  <c r="C17" i="577"/>
  <c r="H45" i="577"/>
  <c r="G45" i="577"/>
  <c r="C16" i="577"/>
  <c r="D45" i="577"/>
  <c r="C45" i="577" s="1"/>
  <c r="C22" i="577"/>
  <c r="C27" i="577"/>
  <c r="C29" i="577"/>
  <c r="C21" i="577"/>
  <c r="J45" i="577"/>
  <c r="B100" i="546"/>
  <c r="D211" i="546"/>
  <c r="AF87" i="546"/>
  <c r="I23" i="577"/>
  <c r="E20" i="577"/>
  <c r="L32" i="577"/>
  <c r="H27" i="577"/>
  <c r="O25" i="577"/>
  <c r="K32" i="577"/>
  <c r="N89" i="577"/>
  <c r="M51" i="497"/>
  <c r="M89" i="577"/>
  <c r="I22" i="577"/>
  <c r="I29" i="577"/>
  <c r="E21" i="577"/>
  <c r="L16" i="577"/>
  <c r="H19" i="577"/>
  <c r="M29" i="577"/>
  <c r="K21" i="577"/>
  <c r="M69" i="577"/>
  <c r="M49" i="497"/>
  <c r="M50" i="577"/>
  <c r="I16" i="577"/>
  <c r="I31" i="577"/>
  <c r="E28" i="577"/>
  <c r="L21" i="577"/>
  <c r="H18" i="577"/>
  <c r="M23" i="577"/>
  <c r="K29" i="577"/>
  <c r="M47" i="577"/>
  <c r="M68" i="577"/>
  <c r="M48" i="577"/>
  <c r="I26" i="577"/>
  <c r="I19" i="577"/>
  <c r="E29" i="577"/>
  <c r="L24" i="577"/>
  <c r="H28" i="577"/>
  <c r="M31" i="577"/>
  <c r="K26" i="577"/>
  <c r="D89" i="577"/>
  <c r="G89" i="577"/>
  <c r="K27" i="577"/>
  <c r="I17" i="577"/>
  <c r="E18" i="577"/>
  <c r="E19" i="577"/>
  <c r="L26" i="577"/>
  <c r="O24" i="577"/>
  <c r="M22" i="577"/>
  <c r="K16" i="577"/>
  <c r="M49" i="577"/>
  <c r="M50" i="497"/>
  <c r="I20" i="577"/>
  <c r="E16" i="577"/>
  <c r="E17" i="577"/>
  <c r="L19" i="577"/>
  <c r="O18" i="577"/>
  <c r="K22" i="577"/>
  <c r="K23" i="577"/>
  <c r="O89" i="577"/>
  <c r="M46" i="577"/>
  <c r="H89" i="577"/>
  <c r="M42" i="497"/>
  <c r="I24" i="577"/>
  <c r="E30" i="577"/>
  <c r="E25" i="577"/>
  <c r="L23" i="577"/>
  <c r="O27" i="577"/>
  <c r="K25" i="577"/>
  <c r="J89" i="577"/>
  <c r="I21" i="577"/>
  <c r="E32" i="577"/>
  <c r="L31" i="577"/>
  <c r="L18" i="577"/>
  <c r="O31" i="577"/>
  <c r="K24" i="577"/>
  <c r="C25" i="577" l="1"/>
  <c r="C24" i="577"/>
  <c r="E45" i="577"/>
  <c r="K45" i="577"/>
  <c r="I45" i="577"/>
  <c r="P18" i="577"/>
  <c r="L45" i="577"/>
  <c r="C23" i="577"/>
  <c r="B101" i="546"/>
  <c r="D212" i="546"/>
  <c r="C67" i="577"/>
  <c r="M74" i="577"/>
  <c r="M70" i="577"/>
  <c r="M71" i="577"/>
  <c r="M75" i="577"/>
  <c r="E89" i="577"/>
  <c r="L89" i="577"/>
  <c r="K89" i="577"/>
  <c r="P25" i="577"/>
  <c r="I89" i="577"/>
  <c r="P31" i="577" l="1"/>
  <c r="B102" i="546"/>
  <c r="D213" i="546"/>
  <c r="B103" i="546" l="1"/>
  <c r="D214" i="546"/>
  <c r="D215" i="546" l="1"/>
  <c r="B104" i="546"/>
  <c r="D46" i="577"/>
  <c r="D47" i="577"/>
  <c r="D216" i="546" l="1"/>
  <c r="B105" i="546"/>
  <c r="D217" i="546" s="1"/>
  <c r="C47" i="577"/>
  <c r="C46" i="577"/>
  <c r="D51" i="497"/>
  <c r="D50" i="499"/>
  <c r="E51" i="717"/>
  <c r="D52" i="499"/>
  <c r="D49" i="497"/>
  <c r="D48" i="577"/>
  <c r="D51" i="499"/>
  <c r="D69" i="577"/>
  <c r="D50" i="497"/>
  <c r="T52" i="499" l="1"/>
  <c r="P51" i="497"/>
  <c r="C51" i="497" s="1"/>
  <c r="T51" i="499"/>
  <c r="P50" i="497"/>
  <c r="P49" i="497"/>
  <c r="C49" i="497" s="1"/>
  <c r="T50" i="499"/>
  <c r="C48" i="577"/>
  <c r="C52" i="499"/>
  <c r="C51" i="717"/>
  <c r="C51" i="499"/>
  <c r="C50" i="497"/>
  <c r="D51" i="717"/>
  <c r="C50" i="499"/>
  <c r="C68" i="577"/>
  <c r="E84" i="717"/>
  <c r="D53" i="499"/>
  <c r="D54" i="499"/>
  <c r="E46" i="717"/>
  <c r="E56" i="717"/>
  <c r="D71" i="577"/>
  <c r="D70" i="577"/>
  <c r="D52" i="497"/>
  <c r="D53" i="497"/>
  <c r="D74" i="577"/>
  <c r="D52" i="577"/>
  <c r="T54" i="499" l="1"/>
  <c r="T53" i="499"/>
  <c r="C46" i="717"/>
  <c r="C74" i="577"/>
  <c r="C71" i="577"/>
  <c r="D56" i="717"/>
  <c r="C56" i="717"/>
  <c r="C54" i="499"/>
  <c r="C53" i="499"/>
  <c r="D84" i="717"/>
  <c r="C70" i="577"/>
  <c r="C69" i="577"/>
  <c r="C84" i="717"/>
  <c r="D58" i="497"/>
  <c r="D53" i="577"/>
  <c r="D47" i="499"/>
  <c r="D58" i="499"/>
  <c r="D46" i="497"/>
  <c r="D57" i="497"/>
  <c r="E50" i="717"/>
  <c r="D55" i="499"/>
  <c r="M85" i="497"/>
  <c r="D54" i="497"/>
  <c r="D59" i="497"/>
  <c r="D58" i="577"/>
  <c r="D55" i="497"/>
  <c r="D56" i="499"/>
  <c r="M83" i="577"/>
  <c r="D57" i="499"/>
  <c r="D60" i="499"/>
  <c r="D55" i="577"/>
  <c r="E49" i="717"/>
  <c r="D59" i="499"/>
  <c r="D56" i="497"/>
  <c r="E58" i="717"/>
  <c r="M84" i="577"/>
  <c r="T47" i="499" l="1"/>
  <c r="P85" i="497"/>
  <c r="T60" i="499"/>
  <c r="T59" i="499"/>
  <c r="T58" i="499"/>
  <c r="T57" i="499"/>
  <c r="T56" i="499"/>
  <c r="T55" i="499"/>
  <c r="C47" i="499"/>
  <c r="C84" i="577"/>
  <c r="C83" i="577"/>
  <c r="C59" i="499"/>
  <c r="C58" i="499"/>
  <c r="D58" i="717"/>
  <c r="C58" i="717"/>
  <c r="C57" i="499"/>
  <c r="C56" i="499"/>
  <c r="C55" i="499"/>
  <c r="C50" i="717"/>
  <c r="D50" i="717"/>
  <c r="D49" i="717"/>
  <c r="C85" i="497"/>
  <c r="C60" i="499"/>
  <c r="C49" i="717"/>
  <c r="M52" i="577"/>
  <c r="M52" i="497"/>
  <c r="M53" i="497"/>
  <c r="M51" i="577"/>
  <c r="P53" i="497" l="1"/>
  <c r="P52" i="497"/>
  <c r="C52" i="577"/>
  <c r="C53" i="497"/>
  <c r="C52" i="497"/>
  <c r="M55" i="497"/>
  <c r="M53" i="577"/>
  <c r="E82" i="717"/>
  <c r="M57" i="497"/>
  <c r="M58" i="577"/>
  <c r="M58" i="497"/>
  <c r="M56" i="497"/>
  <c r="M54" i="497"/>
  <c r="M55" i="577"/>
  <c r="M56" i="577"/>
  <c r="M59" i="497"/>
  <c r="M46" i="497"/>
  <c r="P46" i="497" l="1"/>
  <c r="P59" i="497"/>
  <c r="P58" i="497"/>
  <c r="P57" i="497"/>
  <c r="C57" i="497" s="1"/>
  <c r="P56" i="497"/>
  <c r="P55" i="497"/>
  <c r="P54" i="497"/>
  <c r="C46" i="497"/>
  <c r="C55" i="577"/>
  <c r="C53" i="577"/>
  <c r="C58" i="497"/>
  <c r="C56" i="497"/>
  <c r="C55" i="497"/>
  <c r="C54" i="497"/>
  <c r="C59" i="497"/>
  <c r="C82" i="717"/>
  <c r="C58" i="577"/>
  <c r="D82" i="717"/>
  <c r="E79" i="717"/>
  <c r="E85" i="717"/>
  <c r="D79" i="577"/>
  <c r="D87" i="499"/>
  <c r="D88" i="497"/>
  <c r="T87" i="499" l="1"/>
  <c r="C79" i="717"/>
  <c r="D79" i="717"/>
  <c r="C85" i="717"/>
  <c r="D85" i="717"/>
  <c r="C87" i="499"/>
  <c r="M79" i="577"/>
  <c r="M88" i="497"/>
  <c r="P88" i="497" l="1"/>
  <c r="C88" i="497"/>
  <c r="C79" i="577"/>
  <c r="Y175" i="546" l="1"/>
  <c r="V171" i="546"/>
  <c r="V168" i="546"/>
  <c r="AA171" i="546"/>
  <c r="AA174" i="546"/>
  <c r="AA173" i="546"/>
  <c r="AA216" i="546"/>
  <c r="AA167" i="546"/>
  <c r="V124" i="546"/>
  <c r="I149" i="546" s="1"/>
  <c r="AA124" i="546"/>
  <c r="N149" i="546" s="1"/>
  <c r="AB124" i="546"/>
  <c r="O149" i="546" s="1"/>
  <c r="Z202" i="546" l="1"/>
  <c r="AE90" i="546"/>
  <c r="X90" i="546"/>
  <c r="N124" i="546"/>
  <c r="I124" i="546"/>
  <c r="O124" i="546"/>
  <c r="AA177" i="546"/>
  <c r="W217" i="546"/>
  <c r="W124" i="546"/>
  <c r="J149" i="546" s="1"/>
  <c r="Z60" i="546"/>
  <c r="Z208" i="546" s="1"/>
  <c r="Z124" i="546"/>
  <c r="M149" i="546" s="1"/>
  <c r="AA139" i="546"/>
  <c r="AC173" i="546"/>
  <c r="AC124" i="546"/>
  <c r="P149" i="546" s="1"/>
  <c r="AA104" i="546"/>
  <c r="AD177" i="546"/>
  <c r="AD124" i="546"/>
  <c r="Q149" i="546" s="1"/>
  <c r="Y59" i="546"/>
  <c r="Y207" i="546" s="1"/>
  <c r="Y124" i="546"/>
  <c r="L149" i="546" s="1"/>
  <c r="AA175" i="546"/>
  <c r="X216" i="546"/>
  <c r="X124" i="546"/>
  <c r="K149" i="546" s="1"/>
  <c r="AA178" i="546"/>
  <c r="AA125" i="546"/>
  <c r="AA217" i="546"/>
  <c r="AE172" i="546"/>
  <c r="AE124" i="546"/>
  <c r="R149" i="546" s="1"/>
  <c r="AA69" i="546"/>
  <c r="V180" i="546"/>
  <c r="Y172" i="546"/>
  <c r="W167" i="546"/>
  <c r="W173" i="546"/>
  <c r="W175" i="546"/>
  <c r="AD61" i="546"/>
  <c r="X171" i="546"/>
  <c r="X178" i="546"/>
  <c r="Z57" i="546"/>
  <c r="AC167" i="546"/>
  <c r="AC172" i="546"/>
  <c r="Z59" i="546"/>
  <c r="AD217" i="546"/>
  <c r="Y90" i="546"/>
  <c r="V123" i="546"/>
  <c r="V64" i="546"/>
  <c r="V62" i="546"/>
  <c r="V54" i="546"/>
  <c r="V58" i="546"/>
  <c r="V57" i="546"/>
  <c r="V66" i="546"/>
  <c r="V61" i="546"/>
  <c r="V63" i="546"/>
  <c r="Y202" i="546"/>
  <c r="AA64" i="546"/>
  <c r="AA61" i="546"/>
  <c r="AA123" i="546"/>
  <c r="AA62" i="546"/>
  <c r="AA54" i="546"/>
  <c r="AA63" i="546"/>
  <c r="AA66" i="546"/>
  <c r="AA59" i="546"/>
  <c r="AA57" i="546"/>
  <c r="AA172" i="546"/>
  <c r="AA236" i="546"/>
  <c r="V176" i="546"/>
  <c r="V69" i="546"/>
  <c r="Y69" i="546"/>
  <c r="Y168" i="546"/>
  <c r="W171" i="546"/>
  <c r="W65" i="546"/>
  <c r="V59" i="546"/>
  <c r="X173" i="546"/>
  <c r="X176" i="546"/>
  <c r="X125" i="546"/>
  <c r="AC125" i="546"/>
  <c r="AC177" i="546"/>
  <c r="AD175" i="546"/>
  <c r="X202" i="546"/>
  <c r="AB69" i="546"/>
  <c r="AB172" i="546"/>
  <c r="AB174" i="546"/>
  <c r="AB66" i="546"/>
  <c r="AB139" i="546"/>
  <c r="AB217" i="546"/>
  <c r="AB216" i="546"/>
  <c r="AB123" i="546"/>
  <c r="AB63" i="546"/>
  <c r="AB57" i="546"/>
  <c r="AB236" i="546"/>
  <c r="AB176" i="546"/>
  <c r="AB168" i="546"/>
  <c r="AB64" i="546"/>
  <c r="AB167" i="546"/>
  <c r="AB180" i="546"/>
  <c r="AB175" i="546"/>
  <c r="AB62" i="546"/>
  <c r="AB104" i="546"/>
  <c r="AB65" i="546"/>
  <c r="AB173" i="546"/>
  <c r="AB61" i="546"/>
  <c r="AB60" i="546"/>
  <c r="AB177" i="546"/>
  <c r="AB171" i="546"/>
  <c r="AB59" i="546"/>
  <c r="AB54" i="546"/>
  <c r="AB178" i="546"/>
  <c r="AB58" i="546"/>
  <c r="AB125" i="546"/>
  <c r="AB179" i="546"/>
  <c r="V139" i="546"/>
  <c r="AC90" i="546"/>
  <c r="W59" i="546"/>
  <c r="W66" i="546"/>
  <c r="W60" i="546"/>
  <c r="W63" i="546"/>
  <c r="W54" i="546"/>
  <c r="W64" i="546"/>
  <c r="W123" i="546"/>
  <c r="W61" i="546"/>
  <c r="W57" i="546"/>
  <c r="AA168" i="546"/>
  <c r="AA176" i="546"/>
  <c r="V236" i="546"/>
  <c r="V65" i="546"/>
  <c r="Y174" i="546"/>
  <c r="Y173" i="546"/>
  <c r="W216" i="546"/>
  <c r="W236" i="546"/>
  <c r="W69" i="546"/>
  <c r="X65" i="546"/>
  <c r="X139" i="546"/>
  <c r="X69" i="546"/>
  <c r="AC175" i="546"/>
  <c r="AD176" i="546"/>
  <c r="AD178" i="546"/>
  <c r="Y66" i="546"/>
  <c r="Y60" i="546"/>
  <c r="Y63" i="546"/>
  <c r="Y54" i="546"/>
  <c r="Y64" i="546"/>
  <c r="Y58" i="546"/>
  <c r="Y62" i="546"/>
  <c r="Y123" i="546"/>
  <c r="AA90" i="546"/>
  <c r="V179" i="546"/>
  <c r="Y65" i="546"/>
  <c r="Z90" i="546"/>
  <c r="AA202" i="546"/>
  <c r="AC54" i="546"/>
  <c r="AC58" i="546"/>
  <c r="AC59" i="546"/>
  <c r="AC63" i="546"/>
  <c r="AC123" i="546"/>
  <c r="AC62" i="546"/>
  <c r="AC64" i="546"/>
  <c r="AC57" i="546"/>
  <c r="AC65" i="546"/>
  <c r="AC216" i="546"/>
  <c r="AC66" i="546"/>
  <c r="AC60" i="546"/>
  <c r="AC61" i="546"/>
  <c r="Y57" i="546"/>
  <c r="Z123" i="546"/>
  <c r="Z58" i="546"/>
  <c r="Z178" i="546"/>
  <c r="Z104" i="546"/>
  <c r="Z176" i="546"/>
  <c r="Z61" i="546"/>
  <c r="Z54" i="546"/>
  <c r="Z236" i="546"/>
  <c r="Z139" i="546"/>
  <c r="Z180" i="546"/>
  <c r="Z63" i="546"/>
  <c r="Z175" i="546"/>
  <c r="Z171" i="546"/>
  <c r="Z179" i="546"/>
  <c r="Z62" i="546"/>
  <c r="Z168" i="546"/>
  <c r="Z69" i="546"/>
  <c r="Z66" i="546"/>
  <c r="Z173" i="546"/>
  <c r="Z217" i="546"/>
  <c r="Z125" i="546"/>
  <c r="Z174" i="546"/>
  <c r="Z216" i="546"/>
  <c r="Z167" i="546"/>
  <c r="Z177" i="546"/>
  <c r="Z64" i="546"/>
  <c r="Z172" i="546"/>
  <c r="Z65" i="546"/>
  <c r="AC202" i="546"/>
  <c r="AA180" i="546"/>
  <c r="AA179" i="546"/>
  <c r="V167" i="546"/>
  <c r="V125" i="546"/>
  <c r="V173" i="546"/>
  <c r="Y167" i="546"/>
  <c r="Y236" i="546"/>
  <c r="W178" i="546"/>
  <c r="W177" i="546"/>
  <c r="W125" i="546"/>
  <c r="W62" i="546"/>
  <c r="X236" i="546"/>
  <c r="X180" i="546"/>
  <c r="X179" i="546"/>
  <c r="Y61" i="546"/>
  <c r="AC179" i="546"/>
  <c r="AC69" i="546"/>
  <c r="AD139" i="546"/>
  <c r="AD202" i="546"/>
  <c r="AD90" i="546"/>
  <c r="Y177" i="546"/>
  <c r="Y178" i="546"/>
  <c r="W168" i="546"/>
  <c r="W172" i="546"/>
  <c r="AA58" i="546"/>
  <c r="X175" i="546"/>
  <c r="X174" i="546"/>
  <c r="X167" i="546"/>
  <c r="AC236" i="546"/>
  <c r="AC139" i="546"/>
  <c r="AD174" i="546"/>
  <c r="AD65" i="546"/>
  <c r="AD64" i="546"/>
  <c r="AE167" i="546"/>
  <c r="AE202" i="546"/>
  <c r="V174" i="546"/>
  <c r="V216" i="546"/>
  <c r="Y171" i="546"/>
  <c r="Y104" i="546"/>
  <c r="AA60" i="546"/>
  <c r="W180" i="546"/>
  <c r="W139" i="546"/>
  <c r="V60" i="546"/>
  <c r="X168" i="546"/>
  <c r="X217" i="546"/>
  <c r="AE59" i="546"/>
  <c r="AC178" i="546"/>
  <c r="AC176" i="546"/>
  <c r="AC168" i="546"/>
  <c r="AD167" i="546"/>
  <c r="AD180" i="546"/>
  <c r="AD171" i="546"/>
  <c r="AD63" i="546"/>
  <c r="AD216" i="546"/>
  <c r="AD168" i="546"/>
  <c r="AD66" i="546"/>
  <c r="AD58" i="546"/>
  <c r="AD62" i="546"/>
  <c r="AD59" i="546"/>
  <c r="AD60" i="546"/>
  <c r="AD69" i="546"/>
  <c r="AD104" i="546"/>
  <c r="AD125" i="546"/>
  <c r="AD54" i="546"/>
  <c r="AD123" i="546"/>
  <c r="AD179" i="546"/>
  <c r="V172" i="546"/>
  <c r="Y139" i="546"/>
  <c r="X66" i="546"/>
  <c r="X57" i="546"/>
  <c r="X63" i="546"/>
  <c r="X62" i="546"/>
  <c r="X54" i="546"/>
  <c r="X123" i="546"/>
  <c r="X59" i="546"/>
  <c r="X60" i="546"/>
  <c r="X61" i="546"/>
  <c r="X64" i="546"/>
  <c r="X58" i="546"/>
  <c r="AE62" i="546"/>
  <c r="AE179" i="546"/>
  <c r="AE69" i="546"/>
  <c r="AE63" i="546"/>
  <c r="AE60" i="546"/>
  <c r="AE176" i="546"/>
  <c r="AE168" i="546"/>
  <c r="AE57" i="546"/>
  <c r="AE58" i="546"/>
  <c r="AE64" i="546"/>
  <c r="AE123" i="546"/>
  <c r="AE236" i="546"/>
  <c r="AE65" i="546"/>
  <c r="AE104" i="546"/>
  <c r="AE54" i="546"/>
  <c r="AE125" i="546"/>
  <c r="AE175" i="546"/>
  <c r="AE178" i="546"/>
  <c r="AE180" i="546"/>
  <c r="AE171" i="546"/>
  <c r="AE177" i="546"/>
  <c r="AE217" i="546"/>
  <c r="AE174" i="546"/>
  <c r="AE173" i="546"/>
  <c r="AE139" i="546"/>
  <c r="AA65" i="546"/>
  <c r="V178" i="546"/>
  <c r="V217" i="546"/>
  <c r="V175" i="546"/>
  <c r="Y125" i="546"/>
  <c r="Y217" i="546"/>
  <c r="Y180" i="546"/>
  <c r="W104" i="546"/>
  <c r="X177" i="546"/>
  <c r="X172" i="546"/>
  <c r="AC180" i="546"/>
  <c r="AC171" i="546"/>
  <c r="AC104" i="546"/>
  <c r="AD172" i="546"/>
  <c r="AD236" i="546"/>
  <c r="AE66" i="546"/>
  <c r="AE216" i="546"/>
  <c r="V104" i="546"/>
  <c r="V177" i="546"/>
  <c r="Y176" i="546"/>
  <c r="Y216" i="546"/>
  <c r="Y179" i="546"/>
  <c r="W176" i="546"/>
  <c r="W174" i="546"/>
  <c r="W179" i="546"/>
  <c r="AD57" i="546"/>
  <c r="AE61" i="546"/>
  <c r="X104" i="546"/>
  <c r="W58" i="546"/>
  <c r="AC174" i="546"/>
  <c r="AC217" i="546"/>
  <c r="AD173" i="546"/>
  <c r="F84" i="497"/>
  <c r="K89" i="497"/>
  <c r="L89" i="497"/>
  <c r="F89" i="497"/>
  <c r="L84" i="497"/>
  <c r="K84" i="497"/>
  <c r="AD88" i="546" l="1"/>
  <c r="AD140" i="546" s="1"/>
  <c r="AD141" i="546" s="1"/>
  <c r="X88" i="546"/>
  <c r="X140" i="546" s="1"/>
  <c r="X141" i="546" s="1"/>
  <c r="AA88" i="546"/>
  <c r="AA140" i="546" s="1"/>
  <c r="AA141" i="546" s="1"/>
  <c r="Z88" i="546"/>
  <c r="Z140" i="546" s="1"/>
  <c r="Z141" i="546" s="1"/>
  <c r="Y88" i="546"/>
  <c r="Y140" i="546" s="1"/>
  <c r="Y141" i="546" s="1"/>
  <c r="V88" i="546"/>
  <c r="AE88" i="546"/>
  <c r="AC88" i="546"/>
  <c r="AD109" i="546"/>
  <c r="AB88" i="546"/>
  <c r="AB140" i="546" s="1"/>
  <c r="AB141" i="546" s="1"/>
  <c r="W202" i="546"/>
  <c r="W88" i="546"/>
  <c r="W140" i="546" s="1"/>
  <c r="W141" i="546" s="1"/>
  <c r="AC142" i="546"/>
  <c r="AC143" i="546" s="1"/>
  <c r="AC145" i="546" s="1"/>
  <c r="Y95" i="546"/>
  <c r="Z96" i="546"/>
  <c r="AA142" i="546"/>
  <c r="AA143" i="546" s="1"/>
  <c r="AA145" i="546" s="1"/>
  <c r="W90" i="546"/>
  <c r="K124" i="546"/>
  <c r="P124" i="546"/>
  <c r="R124" i="546"/>
  <c r="L124" i="546"/>
  <c r="M124" i="546"/>
  <c r="Q124" i="546"/>
  <c r="J124" i="546"/>
  <c r="V129" i="546"/>
  <c r="V163" i="546" s="1"/>
  <c r="AE142" i="546"/>
  <c r="AE143" i="546" s="1"/>
  <c r="AE145" i="546" s="1"/>
  <c r="AD71" i="546"/>
  <c r="X71" i="546"/>
  <c r="AB71" i="546"/>
  <c r="Y70" i="546"/>
  <c r="Y219" i="546" s="1"/>
  <c r="AE70" i="546"/>
  <c r="AD70" i="546"/>
  <c r="AD219" i="546" s="1"/>
  <c r="AA70" i="546"/>
  <c r="AC129" i="546"/>
  <c r="AC163" i="546" s="1"/>
  <c r="AC198" i="546" s="1"/>
  <c r="AA129" i="546"/>
  <c r="AA163" i="546" s="1"/>
  <c r="AA196" i="546" s="1"/>
  <c r="W129" i="546"/>
  <c r="W163" i="546" s="1"/>
  <c r="Z210" i="546"/>
  <c r="Z98" i="546"/>
  <c r="Z121" i="546"/>
  <c r="Z111" i="546"/>
  <c r="AC206" i="546"/>
  <c r="AC94" i="546"/>
  <c r="W97" i="546"/>
  <c r="W209" i="546"/>
  <c r="AB211" i="546"/>
  <c r="AB99" i="546"/>
  <c r="AA95" i="546"/>
  <c r="AA207" i="546"/>
  <c r="AA111" i="546"/>
  <c r="AA121" i="546"/>
  <c r="V99" i="546"/>
  <c r="V211" i="546"/>
  <c r="AD207" i="546"/>
  <c r="AD95" i="546"/>
  <c r="AE129" i="546"/>
  <c r="AE163" i="546" s="1"/>
  <c r="X206" i="546"/>
  <c r="X94" i="546"/>
  <c r="X214" i="546"/>
  <c r="X102" i="546"/>
  <c r="AD98" i="546"/>
  <c r="AD210" i="546"/>
  <c r="V96" i="546"/>
  <c r="V208" i="546"/>
  <c r="Z214" i="546"/>
  <c r="Z102" i="546"/>
  <c r="Z71" i="546"/>
  <c r="Y93" i="546"/>
  <c r="Y205" i="546"/>
  <c r="AC205" i="546"/>
  <c r="AC93" i="546"/>
  <c r="AC71" i="546"/>
  <c r="Y214" i="546"/>
  <c r="Y102" i="546"/>
  <c r="W213" i="546"/>
  <c r="W101" i="546"/>
  <c r="AB111" i="546"/>
  <c r="AB121" i="546"/>
  <c r="AA213" i="546"/>
  <c r="AA101" i="546"/>
  <c r="AA209" i="546"/>
  <c r="AA97" i="546"/>
  <c r="V209" i="546"/>
  <c r="V97" i="546"/>
  <c r="V210" i="546"/>
  <c r="V98" i="546"/>
  <c r="Z207" i="546"/>
  <c r="Z95" i="546"/>
  <c r="AB70" i="546"/>
  <c r="AB202" i="546"/>
  <c r="AB142" i="546"/>
  <c r="AB143" i="546" s="1"/>
  <c r="AB90" i="546"/>
  <c r="AE97" i="546"/>
  <c r="AE209" i="546"/>
  <c r="AD93" i="546"/>
  <c r="AD205" i="546"/>
  <c r="V70" i="546"/>
  <c r="V142" i="546"/>
  <c r="V143" i="546" s="1"/>
  <c r="V202" i="546"/>
  <c r="V90" i="546"/>
  <c r="AE208" i="546"/>
  <c r="AE96" i="546"/>
  <c r="X100" i="546"/>
  <c r="X212" i="546"/>
  <c r="X98" i="546"/>
  <c r="X210" i="546"/>
  <c r="AD121" i="546"/>
  <c r="AD111" i="546"/>
  <c r="AD206" i="546"/>
  <c r="AD94" i="546"/>
  <c r="W98" i="546"/>
  <c r="W210" i="546"/>
  <c r="Z97" i="546"/>
  <c r="Z209" i="546"/>
  <c r="AC102" i="546"/>
  <c r="AC214" i="546"/>
  <c r="AC212" i="546"/>
  <c r="AC100" i="546"/>
  <c r="Y71" i="546"/>
  <c r="W111" i="546"/>
  <c r="W121" i="546"/>
  <c r="W95" i="546"/>
  <c r="W207" i="546"/>
  <c r="AB94" i="546"/>
  <c r="AB206" i="546"/>
  <c r="AB96" i="546"/>
  <c r="AB208" i="546"/>
  <c r="AA102" i="546"/>
  <c r="AA214" i="546"/>
  <c r="AA100" i="546"/>
  <c r="AA212" i="546"/>
  <c r="V214" i="546"/>
  <c r="V102" i="546"/>
  <c r="V212" i="546"/>
  <c r="V100" i="546"/>
  <c r="AB129" i="546"/>
  <c r="AB163" i="546" s="1"/>
  <c r="AE102" i="546"/>
  <c r="AE214" i="546"/>
  <c r="AE211" i="546"/>
  <c r="AE99" i="546"/>
  <c r="X97" i="546"/>
  <c r="X209" i="546"/>
  <c r="X211" i="546"/>
  <c r="X99" i="546"/>
  <c r="AD101" i="546"/>
  <c r="AD213" i="546"/>
  <c r="AD142" i="546"/>
  <c r="AD143" i="546" s="1"/>
  <c r="AC209" i="546"/>
  <c r="AC97" i="546"/>
  <c r="Y99" i="546"/>
  <c r="Y211" i="546"/>
  <c r="W212" i="546"/>
  <c r="W100" i="546"/>
  <c r="AC70" i="546"/>
  <c r="AB209" i="546"/>
  <c r="AB97" i="546"/>
  <c r="AB212" i="546"/>
  <c r="AB100" i="546"/>
  <c r="V213" i="546"/>
  <c r="V101" i="546"/>
  <c r="V121" i="546"/>
  <c r="V111" i="546"/>
  <c r="AE111" i="546"/>
  <c r="AE121" i="546"/>
  <c r="X96" i="546"/>
  <c r="X208" i="546"/>
  <c r="AA96" i="546"/>
  <c r="AA208" i="546"/>
  <c r="Z129" i="546"/>
  <c r="Z163" i="546" s="1"/>
  <c r="AC208" i="546"/>
  <c r="AC96" i="546"/>
  <c r="AC210" i="546"/>
  <c r="AC98" i="546"/>
  <c r="Z142" i="546"/>
  <c r="Z143" i="546" s="1"/>
  <c r="Y121" i="546"/>
  <c r="Y111" i="546"/>
  <c r="Y96" i="546"/>
  <c r="Y208" i="546"/>
  <c r="X70" i="546"/>
  <c r="W71" i="546"/>
  <c r="AA211" i="546"/>
  <c r="AA99" i="546"/>
  <c r="W142" i="546"/>
  <c r="W143" i="546" s="1"/>
  <c r="Z93" i="546"/>
  <c r="Z205" i="546"/>
  <c r="AE212" i="546"/>
  <c r="AE100" i="546"/>
  <c r="X207" i="546"/>
  <c r="X95" i="546"/>
  <c r="X205" i="546"/>
  <c r="X93" i="546"/>
  <c r="Z70" i="546"/>
  <c r="Z212" i="546"/>
  <c r="Z100" i="546"/>
  <c r="Z213" i="546"/>
  <c r="Z101" i="546"/>
  <c r="Z211" i="546"/>
  <c r="Z99" i="546"/>
  <c r="AC213" i="546"/>
  <c r="AC101" i="546"/>
  <c r="AC121" i="546"/>
  <c r="AC111" i="546"/>
  <c r="Y210" i="546"/>
  <c r="Y98" i="546"/>
  <c r="Y129" i="546"/>
  <c r="Y163" i="546" s="1"/>
  <c r="W211" i="546"/>
  <c r="W99" i="546"/>
  <c r="AB214" i="546"/>
  <c r="AB102" i="546"/>
  <c r="X142" i="546"/>
  <c r="X143" i="546" s="1"/>
  <c r="V207" i="546"/>
  <c r="V95" i="546"/>
  <c r="V205" i="546"/>
  <c r="V93" i="546"/>
  <c r="Y142" i="546"/>
  <c r="Y143" i="546" s="1"/>
  <c r="W206" i="546"/>
  <c r="W94" i="546"/>
  <c r="AE206" i="546"/>
  <c r="AE94" i="546"/>
  <c r="AE98" i="546"/>
  <c r="AE210" i="546"/>
  <c r="X111" i="546"/>
  <c r="X121" i="546"/>
  <c r="X213" i="546"/>
  <c r="X101" i="546"/>
  <c r="AD99" i="546"/>
  <c r="AD211" i="546"/>
  <c r="AE95" i="546"/>
  <c r="AE207" i="546"/>
  <c r="AD212" i="546"/>
  <c r="AD100" i="546"/>
  <c r="AA94" i="546"/>
  <c r="AA206" i="546"/>
  <c r="Y97" i="546"/>
  <c r="Y209" i="546"/>
  <c r="AD129" i="546"/>
  <c r="AD163" i="546" s="1"/>
  <c r="AC211" i="546"/>
  <c r="AC99" i="546"/>
  <c r="Y206" i="546"/>
  <c r="Y94" i="546"/>
  <c r="Y101" i="546"/>
  <c r="Y213" i="546"/>
  <c r="W208" i="546"/>
  <c r="W96" i="546"/>
  <c r="AB213" i="546"/>
  <c r="AB101" i="546"/>
  <c r="AD214" i="546"/>
  <c r="AD102" i="546"/>
  <c r="AA71" i="546"/>
  <c r="V206" i="546"/>
  <c r="V94" i="546"/>
  <c r="AE213" i="546"/>
  <c r="AE101" i="546"/>
  <c r="AE71" i="546"/>
  <c r="AE205" i="546"/>
  <c r="AE93" i="546"/>
  <c r="X129" i="546"/>
  <c r="X163" i="546" s="1"/>
  <c r="AD208" i="546"/>
  <c r="AD96" i="546"/>
  <c r="Z94" i="546"/>
  <c r="Z206" i="546"/>
  <c r="AC95" i="546"/>
  <c r="AC207" i="546"/>
  <c r="Y100" i="546"/>
  <c r="Y212" i="546"/>
  <c r="W205" i="546"/>
  <c r="W93" i="546"/>
  <c r="W102" i="546"/>
  <c r="W214" i="546"/>
  <c r="AB207" i="546"/>
  <c r="AB95" i="546"/>
  <c r="AB98" i="546"/>
  <c r="AB210" i="546"/>
  <c r="AB205" i="546"/>
  <c r="AB93" i="546"/>
  <c r="AA93" i="546"/>
  <c r="AA205" i="546"/>
  <c r="AA210" i="546"/>
  <c r="AA98" i="546"/>
  <c r="W70" i="546"/>
  <c r="V71" i="546"/>
  <c r="AD97" i="546"/>
  <c r="AD209" i="546"/>
  <c r="G84" i="497"/>
  <c r="J84" i="497"/>
  <c r="H89" i="497"/>
  <c r="N84" i="497"/>
  <c r="H84" i="497"/>
  <c r="I84" i="497"/>
  <c r="O89" i="497"/>
  <c r="M84" i="497"/>
  <c r="G89" i="497"/>
  <c r="I89" i="497"/>
  <c r="N89" i="497"/>
  <c r="O84" i="497"/>
  <c r="J89" i="497"/>
  <c r="X109" i="546" l="1"/>
  <c r="Z109" i="546"/>
  <c r="AA109" i="546"/>
  <c r="Y109" i="546"/>
  <c r="W198" i="546"/>
  <c r="W81" i="546"/>
  <c r="W82" i="546"/>
  <c r="W83" i="546"/>
  <c r="AC109" i="546"/>
  <c r="AC140" i="546"/>
  <c r="AC141" i="546" s="1"/>
  <c r="AE109" i="546"/>
  <c r="AE140" i="546"/>
  <c r="AE141" i="546" s="1"/>
  <c r="V109" i="546"/>
  <c r="V140" i="546"/>
  <c r="V141" i="546" s="1"/>
  <c r="W109" i="546"/>
  <c r="AB109" i="546"/>
  <c r="P84" i="497"/>
  <c r="V197" i="546"/>
  <c r="V82" i="546"/>
  <c r="V83" i="546"/>
  <c r="V81" i="546"/>
  <c r="V196" i="546"/>
  <c r="AB112" i="546"/>
  <c r="AB113" i="546" s="1"/>
  <c r="AB225" i="546" s="1"/>
  <c r="X117" i="546"/>
  <c r="V198" i="546"/>
  <c r="Y117" i="546"/>
  <c r="AD118" i="546"/>
  <c r="AE112" i="546"/>
  <c r="AE113" i="546" s="1"/>
  <c r="AE225" i="546" s="1"/>
  <c r="AE219" i="546"/>
  <c r="Y89" i="546"/>
  <c r="AA147" i="546"/>
  <c r="Z89" i="546"/>
  <c r="AC197" i="546"/>
  <c r="AD89" i="546"/>
  <c r="AD112" i="546"/>
  <c r="AD113" i="546" s="1"/>
  <c r="AD225" i="546" s="1"/>
  <c r="Y112" i="546"/>
  <c r="Y113" i="546" s="1"/>
  <c r="Y225" i="546" s="1"/>
  <c r="AA198" i="546"/>
  <c r="AA197" i="546"/>
  <c r="AA117" i="546"/>
  <c r="AA89" i="546"/>
  <c r="W196" i="546"/>
  <c r="AA219" i="546"/>
  <c r="W197" i="546"/>
  <c r="AB89" i="546"/>
  <c r="AC196" i="546"/>
  <c r="X112" i="546"/>
  <c r="X113" i="546" s="1"/>
  <c r="X225" i="546" s="1"/>
  <c r="AB117" i="546"/>
  <c r="W145" i="546"/>
  <c r="X219" i="546"/>
  <c r="X89" i="546"/>
  <c r="AB145" i="546"/>
  <c r="AB144" i="546" s="1"/>
  <c r="AD197" i="546"/>
  <c r="AD198" i="546"/>
  <c r="AD196" i="546"/>
  <c r="AC130" i="546"/>
  <c r="AC164" i="546" s="1"/>
  <c r="X198" i="546"/>
  <c r="X196" i="546"/>
  <c r="X197" i="546"/>
  <c r="Z219" i="546"/>
  <c r="Z197" i="546"/>
  <c r="Z198" i="546"/>
  <c r="Z196" i="546"/>
  <c r="AC219" i="546"/>
  <c r="AA112" i="546"/>
  <c r="AE196" i="546"/>
  <c r="AE197" i="546"/>
  <c r="AE198" i="546"/>
  <c r="AA130" i="546"/>
  <c r="AA164" i="546" s="1"/>
  <c r="AD145" i="546"/>
  <c r="AD146" i="546" s="1"/>
  <c r="AE89" i="546"/>
  <c r="V145" i="546"/>
  <c r="Y197" i="546"/>
  <c r="Y198" i="546"/>
  <c r="Y196" i="546"/>
  <c r="X130" i="546"/>
  <c r="X164" i="546" s="1"/>
  <c r="AE118" i="546"/>
  <c r="V219" i="546"/>
  <c r="AB219" i="546"/>
  <c r="Z117" i="546"/>
  <c r="AA146" i="546"/>
  <c r="AE130" i="546"/>
  <c r="AE164" i="546" s="1"/>
  <c r="Z130" i="546"/>
  <c r="Z164" i="546" s="1"/>
  <c r="Z145" i="546"/>
  <c r="Z147" i="546" s="1"/>
  <c r="W130" i="546"/>
  <c r="W164" i="546" s="1"/>
  <c r="Z112" i="546"/>
  <c r="Y145" i="546"/>
  <c r="Y147" i="546" s="1"/>
  <c r="X145" i="546"/>
  <c r="X146" i="546" s="1"/>
  <c r="AB130" i="546"/>
  <c r="AB164" i="546" s="1"/>
  <c r="Y130" i="546"/>
  <c r="Y164" i="546" s="1"/>
  <c r="W219" i="546"/>
  <c r="AB197" i="546"/>
  <c r="AB198" i="546"/>
  <c r="AB196" i="546"/>
  <c r="V130" i="546"/>
  <c r="V164" i="546" s="1"/>
  <c r="AD130" i="546"/>
  <c r="AD164" i="546" s="1"/>
  <c r="AC117" i="546"/>
  <c r="C84" i="497"/>
  <c r="W117" i="546" l="1"/>
  <c r="V146" i="546"/>
  <c r="W112" i="546"/>
  <c r="W113" i="546" s="1"/>
  <c r="W225" i="546" s="1"/>
  <c r="AC147" i="546"/>
  <c r="W89" i="546"/>
  <c r="AE146" i="546"/>
  <c r="AC146" i="546"/>
  <c r="AC148" i="546" s="1"/>
  <c r="AE147" i="546"/>
  <c r="V89" i="546"/>
  <c r="W147" i="546"/>
  <c r="V117" i="546"/>
  <c r="V112" i="546"/>
  <c r="V113" i="546" s="1"/>
  <c r="V225" i="546" s="1"/>
  <c r="AB146" i="546"/>
  <c r="AA148" i="546"/>
  <c r="Z144" i="546"/>
  <c r="W146" i="546"/>
  <c r="X144" i="546"/>
  <c r="Z146" i="546"/>
  <c r="Z148" i="546" s="1"/>
  <c r="V144" i="546"/>
  <c r="V147" i="546"/>
  <c r="AB147" i="546"/>
  <c r="Y146" i="546"/>
  <c r="Y148" i="546" s="1"/>
  <c r="Y144" i="546"/>
  <c r="X147" i="546"/>
  <c r="X148" i="546" s="1"/>
  <c r="Y114" i="546"/>
  <c r="Y115" i="546" s="1"/>
  <c r="Y116" i="546" s="1"/>
  <c r="Y126" i="546" s="1"/>
  <c r="AD114" i="546"/>
  <c r="AD115" i="546" s="1"/>
  <c r="AD116" i="546" s="1"/>
  <c r="AD126" i="546" s="1"/>
  <c r="AA144" i="546"/>
  <c r="W144" i="546"/>
  <c r="AD147" i="546"/>
  <c r="AD148" i="546" s="1"/>
  <c r="AE144" i="546"/>
  <c r="AC144" i="546"/>
  <c r="AD144" i="546"/>
  <c r="AA113" i="546"/>
  <c r="AA225" i="546" s="1"/>
  <c r="X114" i="546"/>
  <c r="X115" i="546" s="1"/>
  <c r="X116" i="546" s="1"/>
  <c r="X126" i="546" s="1"/>
  <c r="AE114" i="546"/>
  <c r="AE115" i="546" s="1"/>
  <c r="AE116" i="546" s="1"/>
  <c r="AE126" i="546" s="1"/>
  <c r="AB114" i="546"/>
  <c r="AB115" i="546" s="1"/>
  <c r="AB116" i="546" s="1"/>
  <c r="AB126" i="546" s="1"/>
  <c r="Z113" i="546"/>
  <c r="Z225" i="546" s="1"/>
  <c r="O65" i="497"/>
  <c r="Y105" i="546" l="1"/>
  <c r="Y106" i="546"/>
  <c r="X105" i="546"/>
  <c r="X218" i="546" s="1"/>
  <c r="X106" i="546"/>
  <c r="AC105" i="546"/>
  <c r="AC218" i="546" s="1"/>
  <c r="AC106" i="546"/>
  <c r="P108" i="546" s="1"/>
  <c r="P110" i="546" s="1"/>
  <c r="AA105" i="546"/>
  <c r="AA106" i="546"/>
  <c r="Z105" i="546"/>
  <c r="Z218" i="546" s="1"/>
  <c r="Z106" i="546"/>
  <c r="AD105" i="546"/>
  <c r="AD106" i="546"/>
  <c r="AE148" i="546"/>
  <c r="V148" i="546"/>
  <c r="V114" i="546"/>
  <c r="V115" i="546" s="1"/>
  <c r="V116" i="546" s="1"/>
  <c r="V126" i="546" s="1"/>
  <c r="W148" i="546"/>
  <c r="M108" i="546"/>
  <c r="M110" i="546" s="1"/>
  <c r="L108" i="546"/>
  <c r="L110" i="546" s="1"/>
  <c r="Q108" i="546"/>
  <c r="Q110" i="546" s="1"/>
  <c r="AB148" i="546"/>
  <c r="Y218" i="546"/>
  <c r="Y110" i="546"/>
  <c r="Y119" i="546" s="1"/>
  <c r="AD218" i="546"/>
  <c r="X110" i="546"/>
  <c r="W114" i="546"/>
  <c r="W115" i="546" s="1"/>
  <c r="W116" i="546" s="1"/>
  <c r="W126" i="546" s="1"/>
  <c r="Z114" i="546"/>
  <c r="Z115" i="546" s="1"/>
  <c r="Z116" i="546" s="1"/>
  <c r="Z126" i="546" s="1"/>
  <c r="AA114" i="546"/>
  <c r="AA115" i="546" s="1"/>
  <c r="AA116" i="546" s="1"/>
  <c r="AA126" i="546" s="1"/>
  <c r="O67" i="497"/>
  <c r="K70" i="497"/>
  <c r="O77" i="577"/>
  <c r="L65" i="497"/>
  <c r="K77" i="577"/>
  <c r="O70" i="497"/>
  <c r="K65" i="497"/>
  <c r="J65" i="497"/>
  <c r="I65" i="497"/>
  <c r="K67" i="497"/>
  <c r="H65" i="497"/>
  <c r="N65" i="497"/>
  <c r="F65" i="497"/>
  <c r="M65" i="497"/>
  <c r="O69" i="497"/>
  <c r="K69" i="497"/>
  <c r="G65" i="497"/>
  <c r="Z110" i="546" l="1"/>
  <c r="AA110" i="546"/>
  <c r="AA119" i="546" s="1"/>
  <c r="AD110" i="546"/>
  <c r="AD128" i="546" s="1"/>
  <c r="AC110" i="546"/>
  <c r="AC128" i="546" s="1"/>
  <c r="AE105" i="546"/>
  <c r="AE106" i="546"/>
  <c r="K108" i="546"/>
  <c r="K110" i="546" s="1"/>
  <c r="W105" i="546"/>
  <c r="W218" i="546" s="1"/>
  <c r="W106" i="546"/>
  <c r="N108" i="546"/>
  <c r="V105" i="546"/>
  <c r="V106" i="546"/>
  <c r="AA218" i="546"/>
  <c r="AB105" i="546"/>
  <c r="AB218" i="546" s="1"/>
  <c r="AB106" i="546"/>
  <c r="J108" i="546"/>
  <c r="J110" i="546" s="1"/>
  <c r="O108" i="546"/>
  <c r="O110" i="546" s="1"/>
  <c r="AA128" i="546"/>
  <c r="AA120" i="546"/>
  <c r="AA122" i="546" s="1"/>
  <c r="Y120" i="546"/>
  <c r="Y122" i="546" s="1"/>
  <c r="Y128" i="546"/>
  <c r="Z128" i="546"/>
  <c r="Z119" i="546"/>
  <c r="Z120" i="546"/>
  <c r="X127" i="546"/>
  <c r="X120" i="546"/>
  <c r="X119" i="546"/>
  <c r="M67" i="497"/>
  <c r="L78" i="497"/>
  <c r="L77" i="577"/>
  <c r="N66" i="497"/>
  <c r="H69" i="497"/>
  <c r="H76" i="577"/>
  <c r="F70" i="497"/>
  <c r="G76" i="577"/>
  <c r="I67" i="497"/>
  <c r="J67" i="497"/>
  <c r="M76" i="577"/>
  <c r="H67" i="497"/>
  <c r="N78" i="577"/>
  <c r="O83" i="497"/>
  <c r="M66" i="497"/>
  <c r="L78" i="577"/>
  <c r="I78" i="577"/>
  <c r="I77" i="577"/>
  <c r="J70" i="497"/>
  <c r="M69" i="497"/>
  <c r="K78" i="497"/>
  <c r="L67" i="497"/>
  <c r="N77" i="577"/>
  <c r="F69" i="497"/>
  <c r="F67" i="497"/>
  <c r="L66" i="497"/>
  <c r="M78" i="577"/>
  <c r="I70" i="497"/>
  <c r="K76" i="577"/>
  <c r="G78" i="577"/>
  <c r="J76" i="577"/>
  <c r="M77" i="577"/>
  <c r="I76" i="577"/>
  <c r="H77" i="577"/>
  <c r="L69" i="497"/>
  <c r="G77" i="577"/>
  <c r="G67" i="497"/>
  <c r="K66" i="497"/>
  <c r="L76" i="577"/>
  <c r="J78" i="577"/>
  <c r="G66" i="497"/>
  <c r="O81" i="497"/>
  <c r="G69" i="497"/>
  <c r="I66" i="497"/>
  <c r="O78" i="497"/>
  <c r="N67" i="497"/>
  <c r="N70" i="497"/>
  <c r="H66" i="497"/>
  <c r="N78" i="497"/>
  <c r="G70" i="497"/>
  <c r="N76" i="577"/>
  <c r="J69" i="497"/>
  <c r="H78" i="577"/>
  <c r="N69" i="497"/>
  <c r="J66" i="497"/>
  <c r="J77" i="577"/>
  <c r="I69" i="497"/>
  <c r="H70" i="497"/>
  <c r="L70" i="497"/>
  <c r="F77" i="577"/>
  <c r="AD119" i="546" l="1"/>
  <c r="AD120" i="546"/>
  <c r="AB110" i="546"/>
  <c r="AB119" i="546" s="1"/>
  <c r="AC120" i="546"/>
  <c r="AC119" i="546"/>
  <c r="W110" i="546"/>
  <c r="I108" i="546"/>
  <c r="V110" i="546"/>
  <c r="N110" i="546"/>
  <c r="V218" i="546"/>
  <c r="AE218" i="546"/>
  <c r="AE110" i="546"/>
  <c r="R108" i="546"/>
  <c r="AB120" i="546"/>
  <c r="AB122" i="546" s="1"/>
  <c r="Q119" i="546"/>
  <c r="M120" i="546"/>
  <c r="K127" i="546"/>
  <c r="O119" i="546"/>
  <c r="O128" i="546"/>
  <c r="K119" i="546"/>
  <c r="P128" i="546"/>
  <c r="K120" i="546"/>
  <c r="L119" i="546"/>
  <c r="L120" i="546"/>
  <c r="L128" i="546"/>
  <c r="P120" i="546"/>
  <c r="M119" i="546"/>
  <c r="P119" i="546"/>
  <c r="Q120" i="546"/>
  <c r="O120" i="546"/>
  <c r="J127" i="546"/>
  <c r="J119" i="546"/>
  <c r="J120" i="546"/>
  <c r="Q128" i="546"/>
  <c r="M128" i="546"/>
  <c r="X122" i="546"/>
  <c r="AD122" i="546"/>
  <c r="AC122" i="546"/>
  <c r="Z122" i="546"/>
  <c r="AF124" i="546"/>
  <c r="F76" i="577"/>
  <c r="G79" i="497"/>
  <c r="K83" i="497"/>
  <c r="N68" i="497"/>
  <c r="J78" i="497"/>
  <c r="M68" i="497"/>
  <c r="J79" i="497"/>
  <c r="I68" i="497"/>
  <c r="L79" i="497"/>
  <c r="F66" i="497"/>
  <c r="H78" i="497"/>
  <c r="M79" i="497"/>
  <c r="J68" i="497"/>
  <c r="K68" i="497"/>
  <c r="G78" i="497"/>
  <c r="N80" i="497"/>
  <c r="K78" i="577"/>
  <c r="H79" i="497"/>
  <c r="K81" i="497"/>
  <c r="O66" i="497"/>
  <c r="F78" i="497"/>
  <c r="J80" i="497"/>
  <c r="N79" i="497"/>
  <c r="H68" i="497"/>
  <c r="L68" i="497"/>
  <c r="I78" i="497"/>
  <c r="G68" i="497"/>
  <c r="I79" i="497"/>
  <c r="O76" i="577"/>
  <c r="AB128" i="546" l="1"/>
  <c r="W119" i="546"/>
  <c r="W120" i="546"/>
  <c r="W127" i="546"/>
  <c r="R110" i="546"/>
  <c r="AE128" i="546"/>
  <c r="AE119" i="546"/>
  <c r="AE120" i="546"/>
  <c r="N120" i="546"/>
  <c r="N128" i="546"/>
  <c r="N119" i="546"/>
  <c r="V127" i="546"/>
  <c r="V120" i="546"/>
  <c r="V119" i="546"/>
  <c r="I110" i="546"/>
  <c r="Q122" i="546"/>
  <c r="M122" i="546"/>
  <c r="K122" i="546"/>
  <c r="P122" i="546"/>
  <c r="J122" i="546"/>
  <c r="O122" i="546"/>
  <c r="L122" i="546"/>
  <c r="F68" i="497"/>
  <c r="L83" i="497"/>
  <c r="G82" i="497"/>
  <c r="J82" i="497"/>
  <c r="M83" i="497"/>
  <c r="L80" i="497"/>
  <c r="G83" i="497"/>
  <c r="F78" i="577"/>
  <c r="H83" i="497"/>
  <c r="F81" i="497"/>
  <c r="C11" i="236"/>
  <c r="N83" i="497"/>
  <c r="O78" i="577"/>
  <c r="K80" i="497"/>
  <c r="N81" i="497"/>
  <c r="I83" i="497"/>
  <c r="M80" i="497"/>
  <c r="G80" i="497"/>
  <c r="N82" i="497"/>
  <c r="K79" i="497"/>
  <c r="F83" i="497"/>
  <c r="J83" i="497"/>
  <c r="H82" i="497"/>
  <c r="H81" i="497"/>
  <c r="I80" i="497"/>
  <c r="J81" i="497"/>
  <c r="I82" i="497"/>
  <c r="L81" i="497"/>
  <c r="I81" i="497"/>
  <c r="H80" i="497"/>
  <c r="M81" i="497"/>
  <c r="G81" i="497"/>
  <c r="L82" i="497"/>
  <c r="M82" i="497"/>
  <c r="O68" i="497"/>
  <c r="V122" i="546" l="1"/>
  <c r="W122" i="546"/>
  <c r="N122" i="546"/>
  <c r="I119" i="546"/>
  <c r="I127" i="546"/>
  <c r="I120" i="546"/>
  <c r="AE122" i="546"/>
  <c r="R128" i="546"/>
  <c r="R120" i="546"/>
  <c r="R119" i="546"/>
  <c r="Q35" i="173"/>
  <c r="B11" i="236"/>
  <c r="O80" i="497"/>
  <c r="C13" i="236"/>
  <c r="K82" i="497"/>
  <c r="F80" i="497"/>
  <c r="O79" i="497"/>
  <c r="F79" i="497"/>
  <c r="R122" i="546" l="1"/>
  <c r="AF128" i="546"/>
  <c r="S128" i="546"/>
  <c r="I122" i="546"/>
  <c r="Q61" i="173"/>
  <c r="Q38" i="173"/>
  <c r="B13" i="236"/>
  <c r="F82" i="497"/>
  <c r="C19" i="236"/>
  <c r="C20" i="236"/>
  <c r="O82" i="497"/>
  <c r="C22" i="236"/>
  <c r="C21" i="236"/>
  <c r="C31" i="236"/>
  <c r="Q51" i="173" l="1"/>
  <c r="E71" i="173"/>
  <c r="Q56" i="173"/>
  <c r="E57" i="173"/>
  <c r="Q48" i="173"/>
  <c r="B21" i="236"/>
  <c r="B19" i="236"/>
  <c r="B20" i="236"/>
  <c r="B22" i="236"/>
  <c r="C28" i="236"/>
  <c r="C25" i="236"/>
  <c r="C26" i="236"/>
  <c r="C32" i="236"/>
  <c r="Q54" i="173" l="1"/>
  <c r="E63" i="173"/>
  <c r="Q71" i="173"/>
  <c r="Q57" i="173"/>
  <c r="E58" i="173"/>
  <c r="B25" i="236"/>
  <c r="B28" i="236"/>
  <c r="B32" i="236"/>
  <c r="B26" i="236"/>
  <c r="C29" i="236"/>
  <c r="Q58" i="173" l="1"/>
  <c r="E59" i="173"/>
  <c r="E64" i="173"/>
  <c r="Q63" i="173"/>
  <c r="B29" i="236"/>
  <c r="C33" i="236"/>
  <c r="C30" i="236"/>
  <c r="C40" i="236"/>
  <c r="E66" i="173" l="1"/>
  <c r="Q64" i="173"/>
  <c r="E60" i="173"/>
  <c r="B30" i="236"/>
  <c r="B40" i="236"/>
  <c r="B33" i="236"/>
  <c r="C27" i="236"/>
  <c r="C37" i="236"/>
  <c r="C43" i="236"/>
  <c r="C36" i="236"/>
  <c r="C44" i="236"/>
  <c r="C42" i="236"/>
  <c r="C41" i="236"/>
  <c r="C39" i="236"/>
  <c r="B44" i="236" l="1"/>
  <c r="Q66" i="173"/>
  <c r="Q60" i="173"/>
  <c r="E70" i="173"/>
  <c r="B27" i="236"/>
  <c r="B39" i="236"/>
  <c r="B43" i="236"/>
  <c r="B37" i="236"/>
  <c r="B41" i="236"/>
  <c r="B42" i="236"/>
  <c r="B36" i="236"/>
  <c r="B31" i="236"/>
  <c r="C50" i="236"/>
  <c r="B50" i="236" l="1"/>
  <c r="Q70" i="173"/>
  <c r="E87" i="717"/>
  <c r="D68" i="499"/>
  <c r="D67" i="497"/>
  <c r="D87" i="717" l="1"/>
  <c r="C68" i="499"/>
  <c r="C87" i="717"/>
  <c r="D30" i="499"/>
  <c r="D56" i="577"/>
  <c r="D66" i="499"/>
  <c r="D65" i="497"/>
  <c r="D29" i="497"/>
  <c r="D38" i="577"/>
  <c r="T30" i="499" l="1"/>
  <c r="T66" i="499"/>
  <c r="G163" i="546"/>
  <c r="G143" i="546"/>
  <c r="G221" i="546"/>
  <c r="C66" i="499"/>
  <c r="C30" i="499"/>
  <c r="D70" i="499"/>
  <c r="D69" i="497"/>
  <c r="E68" i="717"/>
  <c r="D77" i="577"/>
  <c r="G130" i="546" l="1" a="1"/>
  <c r="G130" i="546" s="1"/>
  <c r="G164" i="546" s="1"/>
  <c r="P69" i="497"/>
  <c r="G83" i="546"/>
  <c r="G81" i="546"/>
  <c r="G82" i="546"/>
  <c r="G196" i="546"/>
  <c r="G198" i="546"/>
  <c r="G197" i="546"/>
  <c r="G145" i="546"/>
  <c r="G146" i="546" s="1"/>
  <c r="C68" i="717"/>
  <c r="C77" i="577"/>
  <c r="C70" i="499"/>
  <c r="C69" i="497"/>
  <c r="D40" i="499"/>
  <c r="D49" i="577"/>
  <c r="D40" i="497"/>
  <c r="E40" i="717"/>
  <c r="E42" i="717"/>
  <c r="D51" i="577"/>
  <c r="D43" i="497"/>
  <c r="D41" i="497"/>
  <c r="D39" i="497"/>
  <c r="D41" i="499"/>
  <c r="D44" i="499"/>
  <c r="D50" i="577"/>
  <c r="D43" i="499"/>
  <c r="D42" i="497"/>
  <c r="E41" i="717"/>
  <c r="D42" i="499"/>
  <c r="G117" i="546" l="1"/>
  <c r="G44" i="546" s="1"/>
  <c r="T41" i="499"/>
  <c r="T40" i="499"/>
  <c r="G144" i="546"/>
  <c r="T42" i="499"/>
  <c r="T44" i="499"/>
  <c r="T43" i="499"/>
  <c r="G147" i="546"/>
  <c r="G148" i="546" s="1"/>
  <c r="C43" i="499"/>
  <c r="D42" i="717"/>
  <c r="C42" i="717"/>
  <c r="C42" i="499"/>
  <c r="C41" i="499"/>
  <c r="C41" i="717"/>
  <c r="D41" i="717"/>
  <c r="C40" i="717"/>
  <c r="C40" i="499"/>
  <c r="D40" i="717"/>
  <c r="C44" i="499"/>
  <c r="G105" i="546" l="1"/>
  <c r="AF105" i="546" s="1"/>
  <c r="G106" i="546"/>
  <c r="B91" i="717"/>
  <c r="C91" i="717"/>
  <c r="D65" i="499"/>
  <c r="D75" i="577"/>
  <c r="D63" i="497"/>
  <c r="D64" i="497"/>
  <c r="E64" i="717"/>
  <c r="D64" i="499"/>
  <c r="D82" i="577"/>
  <c r="C64" i="499" l="1"/>
  <c r="D64" i="717"/>
  <c r="C64" i="717"/>
  <c r="C75" i="577"/>
  <c r="C65" i="499"/>
  <c r="G218" i="546"/>
  <c r="G108" i="546"/>
  <c r="G110" i="546" s="1"/>
  <c r="T65" i="499"/>
  <c r="P63" i="497"/>
  <c r="T64" i="499"/>
  <c r="T44" i="546"/>
  <c r="T86" i="546" s="1"/>
  <c r="G86" i="546"/>
  <c r="G112" i="546" s="1"/>
  <c r="C63" i="497"/>
  <c r="D82" i="499"/>
  <c r="D45" i="499"/>
  <c r="D66" i="497"/>
  <c r="D67" i="499"/>
  <c r="D44" i="497"/>
  <c r="D45" i="497"/>
  <c r="D76" i="577"/>
  <c r="D46" i="499"/>
  <c r="E45" i="717"/>
  <c r="D81" i="497"/>
  <c r="D54" i="577"/>
  <c r="T67" i="499" l="1"/>
  <c r="G113" i="546"/>
  <c r="G114" i="546" s="1"/>
  <c r="G115" i="546" s="1"/>
  <c r="T45" i="499"/>
  <c r="T82" i="499"/>
  <c r="T46" i="499"/>
  <c r="T89" i="546"/>
  <c r="T112" i="546"/>
  <c r="G89" i="546"/>
  <c r="C67" i="499"/>
  <c r="C46" i="499"/>
  <c r="C45" i="499"/>
  <c r="C45" i="717"/>
  <c r="C82" i="499"/>
  <c r="D84" i="499"/>
  <c r="D57" i="577"/>
  <c r="D49" i="499"/>
  <c r="D48" i="499"/>
  <c r="D47" i="497"/>
  <c r="D48" i="497"/>
  <c r="D78" i="577"/>
  <c r="D83" i="497"/>
  <c r="D70" i="497"/>
  <c r="D74" i="497"/>
  <c r="D80" i="577"/>
  <c r="D68" i="497"/>
  <c r="D75" i="499"/>
  <c r="D69" i="499"/>
  <c r="D71" i="499"/>
  <c r="D81" i="577"/>
  <c r="C69" i="499" l="1"/>
  <c r="G127" i="546"/>
  <c r="G119" i="546"/>
  <c r="G120" i="546"/>
  <c r="T48" i="499"/>
  <c r="T84" i="499"/>
  <c r="T49" i="499"/>
  <c r="T75" i="499"/>
  <c r="T225" i="546"/>
  <c r="T113" i="546"/>
  <c r="T114" i="546" s="1"/>
  <c r="T115" i="546" s="1"/>
  <c r="T116" i="546" s="1"/>
  <c r="T126" i="546" s="1"/>
  <c r="G225" i="546"/>
  <c r="C75" i="499"/>
  <c r="C84" i="499"/>
  <c r="C48" i="499"/>
  <c r="C71" i="499"/>
  <c r="C49" i="499"/>
  <c r="D72" i="499"/>
  <c r="D80" i="499"/>
  <c r="D72" i="497"/>
  <c r="D85" i="577"/>
  <c r="D73" i="499"/>
  <c r="D71" i="497"/>
  <c r="D80" i="497"/>
  <c r="D79" i="497"/>
  <c r="D81" i="499"/>
  <c r="C81" i="499" l="1"/>
  <c r="C80" i="499"/>
  <c r="T81" i="499"/>
  <c r="T80" i="499"/>
  <c r="G122" i="546"/>
  <c r="D86" i="577"/>
  <c r="C72" i="499"/>
  <c r="C73" i="499"/>
  <c r="D76" i="499"/>
  <c r="D78" i="499"/>
  <c r="D82" i="497"/>
  <c r="D83" i="499"/>
  <c r="D75" i="497"/>
  <c r="D77" i="497"/>
  <c r="C83" i="499" l="1"/>
  <c r="T83" i="499"/>
  <c r="T76" i="499"/>
  <c r="T78" i="499"/>
  <c r="G116" i="546"/>
  <c r="G126" i="546" s="1"/>
  <c r="C78" i="499"/>
  <c r="C76" i="499"/>
  <c r="D78" i="497"/>
  <c r="D76" i="497"/>
  <c r="D77" i="499"/>
  <c r="D79" i="499"/>
  <c r="C79" i="499" l="1"/>
  <c r="T77" i="499"/>
  <c r="T79" i="499"/>
  <c r="C77" i="499"/>
  <c r="E67" i="717"/>
  <c r="E64" i="497"/>
  <c r="E65" i="497"/>
  <c r="D90" i="499"/>
  <c r="D89" i="497"/>
  <c r="E65" i="717"/>
  <c r="T90" i="499" l="1"/>
  <c r="P64" i="497"/>
  <c r="H108" i="546"/>
  <c r="H110" i="546" s="1"/>
  <c r="AF106" i="546"/>
  <c r="P65" i="497"/>
  <c r="C67" i="717"/>
  <c r="C65" i="497"/>
  <c r="C65" i="717"/>
  <c r="C64" i="497"/>
  <c r="C90" i="499"/>
  <c r="E69" i="717"/>
  <c r="E66" i="497"/>
  <c r="E68" i="497"/>
  <c r="E76" i="577"/>
  <c r="E67" i="497"/>
  <c r="C92" i="717" l="1"/>
  <c r="B92" i="717"/>
  <c r="P68" i="497"/>
  <c r="P66" i="497"/>
  <c r="P67" i="497"/>
  <c r="H119" i="546"/>
  <c r="C67" i="497"/>
  <c r="C66" i="497"/>
  <c r="C76" i="577"/>
  <c r="C68" i="497"/>
  <c r="C69" i="717"/>
  <c r="E29" i="717"/>
  <c r="E78" i="577"/>
  <c r="E80" i="717"/>
  <c r="E74" i="717"/>
  <c r="H120" i="546" l="1"/>
  <c r="AF120" i="546" s="1"/>
  <c r="AF110" i="546"/>
  <c r="AF119" i="546"/>
  <c r="D29" i="717"/>
  <c r="C29" i="717"/>
  <c r="C74" i="717"/>
  <c r="C80" i="717"/>
  <c r="C78" i="577"/>
  <c r="D80" i="717"/>
  <c r="E81" i="717"/>
  <c r="E80" i="497"/>
  <c r="E29" i="497"/>
  <c r="E81" i="497"/>
  <c r="P80" i="497" l="1"/>
  <c r="H122" i="546"/>
  <c r="AF122" i="546" s="1"/>
  <c r="P81" i="497"/>
  <c r="C81" i="497" s="1"/>
  <c r="P29" i="497"/>
  <c r="G43" i="717"/>
  <c r="AF70" i="546"/>
  <c r="C29" i="497"/>
  <c r="C81" i="717"/>
  <c r="C80" i="497"/>
  <c r="D81" i="717"/>
  <c r="E47" i="717"/>
  <c r="E38" i="577"/>
  <c r="E83" i="497"/>
  <c r="E56" i="577"/>
  <c r="E82" i="497"/>
  <c r="E83" i="717"/>
  <c r="G29" i="717" l="1"/>
  <c r="G30" i="717" s="1"/>
  <c r="G16" i="717"/>
  <c r="G17" i="717" s="1"/>
  <c r="G24" i="717"/>
  <c r="P82" i="497"/>
  <c r="P83" i="497"/>
  <c r="G42" i="717" a="1"/>
  <c r="G42" i="717" s="1"/>
  <c r="G45" i="717"/>
  <c r="C56" i="577"/>
  <c r="C47" i="717"/>
  <c r="C38" i="577"/>
  <c r="C83" i="717"/>
  <c r="D83" i="717"/>
  <c r="C82" i="497"/>
  <c r="C83" i="497"/>
  <c r="H81" i="546" l="1"/>
  <c r="H82" i="546"/>
  <c r="H83" i="546"/>
  <c r="E50" i="577"/>
  <c r="E43" i="497"/>
  <c r="E51" i="577"/>
  <c r="E42" i="497"/>
  <c r="E41" i="497"/>
  <c r="E40" i="497"/>
  <c r="E39" i="497"/>
  <c r="E49" i="577"/>
  <c r="H112" i="546" l="1"/>
  <c r="H225" i="546" s="1"/>
  <c r="P40" i="497"/>
  <c r="P39" i="497"/>
  <c r="H89" i="546"/>
  <c r="P43" i="497"/>
  <c r="C43" i="497" s="1"/>
  <c r="P42" i="497"/>
  <c r="C42" i="497" s="1"/>
  <c r="P41" i="497"/>
  <c r="C41" i="497" s="1"/>
  <c r="AF83" i="546"/>
  <c r="AF82" i="546"/>
  <c r="H117" i="546"/>
  <c r="AF81" i="546"/>
  <c r="C51" i="577"/>
  <c r="C50" i="577"/>
  <c r="C40" i="497"/>
  <c r="C49" i="577"/>
  <c r="C39" i="497"/>
  <c r="E47" i="497"/>
  <c r="E48" i="497"/>
  <c r="E57" i="577"/>
  <c r="E70" i="497"/>
  <c r="E79" i="497"/>
  <c r="E78" i="717"/>
  <c r="E48" i="717"/>
  <c r="E71" i="717"/>
  <c r="E80" i="577"/>
  <c r="E81" i="577"/>
  <c r="E74" i="497"/>
  <c r="B90" i="497" l="1"/>
  <c r="H127" i="546"/>
  <c r="P79" i="497"/>
  <c r="P157" i="546"/>
  <c r="Q157" i="546"/>
  <c r="AE157" i="546"/>
  <c r="AC157" i="546"/>
  <c r="AF117" i="546"/>
  <c r="P44" i="546" s="1"/>
  <c r="AD157" i="546"/>
  <c r="R157" i="546"/>
  <c r="H113" i="546"/>
  <c r="D78" i="717"/>
  <c r="C79" i="497"/>
  <c r="D71" i="717"/>
  <c r="C71" i="717"/>
  <c r="C48" i="717"/>
  <c r="C78" i="717"/>
  <c r="E72" i="717"/>
  <c r="E71" i="497"/>
  <c r="M82" i="577"/>
  <c r="AC44" i="546" l="1"/>
  <c r="AC86" i="546" s="1"/>
  <c r="P86" i="546"/>
  <c r="P112" i="546" s="1"/>
  <c r="P225" i="546" s="1"/>
  <c r="H114" i="546"/>
  <c r="AF127" i="546"/>
  <c r="S127" i="546"/>
  <c r="C72" i="717"/>
  <c r="D72" i="717"/>
  <c r="C82" i="577"/>
  <c r="E72" i="497"/>
  <c r="E73" i="717"/>
  <c r="M54" i="577"/>
  <c r="E85" i="577"/>
  <c r="M44" i="497"/>
  <c r="M45" i="497"/>
  <c r="P44" i="497" l="1"/>
  <c r="P89" i="546"/>
  <c r="E86" i="577"/>
  <c r="P45" i="497"/>
  <c r="H115" i="546"/>
  <c r="AC112" i="546"/>
  <c r="AC113" i="546" s="1"/>
  <c r="AC225" i="546" s="1"/>
  <c r="AC89" i="546"/>
  <c r="C45" i="497"/>
  <c r="C73" i="717"/>
  <c r="C44" i="497"/>
  <c r="C54" i="577"/>
  <c r="D73" i="717"/>
  <c r="E76" i="717"/>
  <c r="M70" i="497"/>
  <c r="M47" i="497"/>
  <c r="E77" i="497"/>
  <c r="M74" i="497"/>
  <c r="M80" i="577"/>
  <c r="M48" i="497"/>
  <c r="E75" i="497"/>
  <c r="M57" i="577"/>
  <c r="M81" i="577"/>
  <c r="P47" i="497" l="1"/>
  <c r="P70" i="497"/>
  <c r="P48" i="497"/>
  <c r="P74" i="497"/>
  <c r="AF89" i="546"/>
  <c r="AF112" i="546"/>
  <c r="P113" i="546"/>
  <c r="H116" i="546"/>
  <c r="AC114" i="546"/>
  <c r="AC115" i="546" s="1"/>
  <c r="AC116" i="546" s="1"/>
  <c r="AC126" i="546" s="1"/>
  <c r="C74" i="497"/>
  <c r="C81" i="577"/>
  <c r="C80" i="577"/>
  <c r="C57" i="577"/>
  <c r="C70" i="497"/>
  <c r="C47" i="497"/>
  <c r="D76" i="717"/>
  <c r="C76" i="717"/>
  <c r="C48" i="497"/>
  <c r="E78" i="497"/>
  <c r="M71" i="497"/>
  <c r="E77" i="717"/>
  <c r="E76" i="497"/>
  <c r="P114" i="546" l="1"/>
  <c r="AF113" i="546"/>
  <c r="H126" i="546"/>
  <c r="D77" i="717"/>
  <c r="C77" i="717"/>
  <c r="C71" i="497"/>
  <c r="E90" i="717"/>
  <c r="M72" i="497"/>
  <c r="M85" i="577"/>
  <c r="E89" i="497"/>
  <c r="M86" i="577" l="1"/>
  <c r="P115" i="546"/>
  <c r="AF114" i="546"/>
  <c r="C72" i="497"/>
  <c r="C86" i="577"/>
  <c r="C90" i="717"/>
  <c r="C85" i="577"/>
  <c r="M77" i="497"/>
  <c r="M76" i="497"/>
  <c r="M75" i="497"/>
  <c r="P75" i="497" l="1"/>
  <c r="P77" i="497"/>
  <c r="P76" i="497"/>
  <c r="P116" i="546"/>
  <c r="C75" i="497"/>
  <c r="C77" i="497"/>
  <c r="C76" i="497"/>
  <c r="M78" i="497"/>
  <c r="P78" i="497" l="1"/>
  <c r="AF116" i="546"/>
  <c r="P126" i="546"/>
  <c r="C78" i="497"/>
  <c r="M89" i="497"/>
  <c r="P89" i="497" l="1"/>
  <c r="AF126" i="546"/>
  <c r="C89" i="49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Ole Mikkelsen</author>
  </authors>
  <commentList>
    <comment ref="C5" authorId="0" shapeId="0" xr:uid="{00000000-0006-0000-0500-000001000000}">
      <text>
        <r>
          <rPr>
            <b/>
            <sz val="9"/>
            <color indexed="81"/>
            <rFont val="Geneva"/>
            <family val="2"/>
          </rPr>
          <t>Ole Mikkelsen:</t>
        </r>
        <r>
          <rPr>
            <sz val="9"/>
            <color indexed="81"/>
            <rFont val="Geneva"/>
            <family val="2"/>
          </rPr>
          <t xml:space="preserve">
Det er muligt at holde deltidsforældreorlov, så man både arbejder en del og holder orlov for resten.
Orloven forlænges dermed forholdsmæssigt.
Skriv den beskæftigelsesgrad, som der arbejdes efter.</t>
        </r>
      </text>
    </comment>
    <comment ref="C70" authorId="0" shapeId="0" xr:uid="{00000000-0006-0000-0500-000002000000}">
      <text>
        <r>
          <rPr>
            <b/>
            <sz val="9"/>
            <color indexed="81"/>
            <rFont val="Geneva"/>
            <family val="2"/>
          </rPr>
          <t>Ole Mikkelsen:</t>
        </r>
        <r>
          <rPr>
            <sz val="9"/>
            <color indexed="81"/>
            <rFont val="Geneva"/>
            <family val="2"/>
          </rPr>
          <t xml:space="preserve">
I forældreorlovsperioder kan skattefradraget evt flyttes til dagpengeudbetalingskontoret.
Hvis bikort benyttes på skolen ændres skattefradraget til 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tc={96B90E60-26F2-DB45-9569-59A664989358}</author>
    <author>Tove Dohn</author>
    <author>tc={847F5CF1-D167-294B-BA28-0070C690BF42}</author>
    <author>tc={53D0FBDA-917B-C44E-86F5-60468B374D01}</author>
    <author>tc={25E165D1-751F-1C44-B2EC-452919F079EB}</author>
    <author>tc={2230D8D6-69D1-4840-9F34-BC4DC5630A22}</author>
    <author>tc={C7581BD9-6386-4546-9431-B09736B7CF4A}</author>
    <author>tc={1EB17A9F-8A2B-9E46-97C4-3F2BF00A453E}</author>
  </authors>
  <commentList>
    <comment ref="C1" authorId="0" shapeId="0" xr:uid="{7863681D-0413-0241-A75E-F8EDBC78CEE4}">
      <text>
        <r>
          <rPr>
            <b/>
            <sz val="10"/>
            <color rgb="FF000000"/>
            <rFont val="Calibri"/>
            <family val="2"/>
          </rPr>
          <t xml:space="preserve">Funktionstillæg og kvalifikationstillæg er normalt pensionsgivende.
</t>
        </r>
      </text>
    </comment>
    <comment ref="D1" authorId="0" shapeId="0" xr:uid="{52414799-7BD0-B24B-A2B5-B09335F28B8C}">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518F4410-6136-964A-BA2F-31D9D18CDD4A}">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73AF1F24-E877-CE49-9505-3CBF838B6B3D}">
      <text>
        <r>
          <rPr>
            <sz val="10"/>
            <color rgb="FF000000"/>
            <rFont val="Calibri"/>
            <family val="2"/>
          </rPr>
          <t xml:space="preserve">Hvis ikke ansat hel mdr., definer her hvor mange dage ud af hel mdr.
</t>
        </r>
      </text>
    </comment>
    <comment ref="F4" authorId="0" shapeId="0" xr:uid="{BAD110F7-9C8C-C44A-9734-3ECF767F705F}">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96B90E60-26F2-DB45-9569-59A664989358}">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894C152E-89B6-144F-9986-6F14346A6984}">
      <text>
        <r>
          <rPr>
            <sz val="10"/>
            <color rgb="FF000000"/>
            <rFont val="Calibri"/>
            <family val="2"/>
          </rPr>
          <t xml:space="preserve">Vælg "L" hvis lærernes pension eller P/E samt skalatrin.
</t>
        </r>
      </text>
    </comment>
    <comment ref="F6" authorId="0" shapeId="0" xr:uid="{03007647-32DB-5F43-BD99-B8395D4780E7}">
      <text>
        <r>
          <rPr>
            <b/>
            <sz val="10"/>
            <color rgb="FF000000"/>
            <rFont val="Calibri"/>
            <family val="2"/>
          </rPr>
          <t xml:space="preserve">Indsæt ny reguleringsprocent pr. 1. oktober 2021 og 1. april 2022.
</t>
        </r>
      </text>
    </comment>
    <comment ref="J6" authorId="2" shapeId="0" xr:uid="{E1399C36-EAE2-7D4B-8521-89F26F50E589}">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9AF11606-420F-2B41-94B5-17DEFE957B16}">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098D14B1-250A-BA40-B2C8-35008CE1A3CD}">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447A11B8-87D8-C44A-B63E-153CD91B3F03}">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7C922212-36F2-8E4A-BE14-AAE0588CD4F7}">
      <text>
        <r>
          <rPr>
            <sz val="10"/>
            <color rgb="FF000000"/>
            <rFont val="Calibri"/>
            <family val="2"/>
          </rPr>
          <t xml:space="preserve"> Vælg skolens stedtillægsområde
</t>
        </r>
        <r>
          <rPr>
            <sz val="10"/>
            <color rgb="FF000000"/>
            <rFont val="Calibri"/>
            <family val="2"/>
          </rPr>
          <t xml:space="preserve">
</t>
        </r>
      </text>
    </comment>
    <comment ref="G7" authorId="3" shapeId="0" xr:uid="{847F5CF1-D167-294B-BA28-0070C690BF42}">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53D0FBDA-917B-C44E-86F5-60468B374D01}">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DBBDE9F2-1B3B-C24C-991E-884068C119CE}">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FEA2E728-236C-634B-BA4F-EBE727A1F4F1}">
      <text>
        <r>
          <rPr>
            <b/>
            <sz val="8"/>
            <color rgb="FF000000"/>
            <rFont val="Calibri"/>
            <family val="2"/>
          </rPr>
          <t>Beskæftigelsesgrad anføres med 1 for 100%. Ændres bg. I løbet af året, tastes ny bg. I den mdr. ændringen sker.</t>
        </r>
      </text>
    </comment>
    <comment ref="F11" authorId="2" shapeId="0" xr:uid="{305ECAC7-C285-1F47-B138-F435F485BFF4}">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4289095E-CE31-9C40-81B0-23F5537EA3DF}">
      <text>
        <r>
          <rPr>
            <b/>
            <sz val="10"/>
            <color rgb="FF000000"/>
            <rFont val="Calibri"/>
            <family val="2"/>
          </rPr>
          <t>Altid årlig uv-timetal. Hvis ansat mindre end et skoleår, da opregnes timerne til en fuld årsnorm.</t>
        </r>
      </text>
    </comment>
    <comment ref="F14" authorId="0" shapeId="0" xr:uid="{06AADD98-78FA-864F-A91A-B5E09397EBCA}">
      <text>
        <r>
          <rPr>
            <b/>
            <sz val="10"/>
            <color rgb="FF000000"/>
            <rFont val="Calibri"/>
            <family val="2"/>
          </rPr>
          <t xml:space="preserve">Oplys i årlig grundbeløb 12.
</t>
        </r>
      </text>
    </comment>
    <comment ref="F15" authorId="0" shapeId="0" xr:uid="{4F7053CE-C0CB-3B4F-A279-EC7613721E3C}">
      <text>
        <r>
          <rPr>
            <b/>
            <sz val="10"/>
            <color rgb="FF000000"/>
            <rFont val="Calibri"/>
            <family val="2"/>
          </rPr>
          <t>Oplys i årlig grundbeløb 12.</t>
        </r>
        <r>
          <rPr>
            <sz val="10"/>
            <color rgb="FF000000"/>
            <rFont val="Calibri"/>
            <family val="2"/>
          </rPr>
          <t xml:space="preserve">
</t>
        </r>
      </text>
    </comment>
    <comment ref="F16" authorId="0" shapeId="0" xr:uid="{00DAE7BC-9574-C045-B0DD-EC213578590F}">
      <text>
        <r>
          <rPr>
            <b/>
            <sz val="10"/>
            <color rgb="FF000000"/>
            <rFont val="Calibri"/>
            <family val="2"/>
          </rPr>
          <t>Oplys i årlig grundbeløb 12.</t>
        </r>
        <r>
          <rPr>
            <sz val="10"/>
            <color rgb="FF000000"/>
            <rFont val="Calibri"/>
            <family val="2"/>
          </rPr>
          <t xml:space="preserve">
</t>
        </r>
      </text>
    </comment>
    <comment ref="F17" authorId="0" shapeId="0" xr:uid="{9A2BB63C-1747-4741-A067-FD4AB526889C}">
      <text>
        <r>
          <rPr>
            <b/>
            <sz val="10"/>
            <color rgb="FF000000"/>
            <rFont val="Calibri"/>
            <family val="2"/>
          </rPr>
          <t>Oplys i årlig grundbeløb 12.</t>
        </r>
        <r>
          <rPr>
            <sz val="10"/>
            <color rgb="FF000000"/>
            <rFont val="Calibri"/>
            <family val="2"/>
          </rPr>
          <t xml:space="preserve">
</t>
        </r>
      </text>
    </comment>
    <comment ref="F18" authorId="0" shapeId="0" xr:uid="{34C33D56-5B9E-614C-933D-6913B14C667E}">
      <text>
        <r>
          <rPr>
            <b/>
            <sz val="10"/>
            <color rgb="FF000000"/>
            <rFont val="Calibri"/>
            <family val="2"/>
          </rPr>
          <t>Oplys i årlig grundbeløb 12.</t>
        </r>
      </text>
    </comment>
    <comment ref="F19" authorId="0" shapeId="0" xr:uid="{FE6A0461-AC17-734D-A6AD-A60C5A751973}">
      <text>
        <r>
          <rPr>
            <b/>
            <sz val="10"/>
            <color rgb="FF000000"/>
            <rFont val="Calibri"/>
            <family val="2"/>
          </rPr>
          <t>Oplys i årlig grundbeløb 12.</t>
        </r>
        <r>
          <rPr>
            <sz val="10"/>
            <color rgb="FF000000"/>
            <rFont val="Calibri"/>
            <family val="2"/>
          </rPr>
          <t xml:space="preserve">
</t>
        </r>
      </text>
    </comment>
    <comment ref="F20" authorId="0" shapeId="0" xr:uid="{1E38F3DE-B57B-CF45-960F-686F2A4668DB}">
      <text>
        <r>
          <rPr>
            <sz val="9"/>
            <color rgb="FF000000"/>
            <rFont val="Calibri"/>
            <family val="2"/>
          </rPr>
          <t xml:space="preserve">Kun for lærere der var ansat på skolen marts 2013 og som på det tidspunkt havde mere end 12 års anciennitet.
</t>
        </r>
      </text>
    </comment>
    <comment ref="F21" authorId="0" shapeId="0" xr:uid="{48605ECF-7695-FF4E-8D9D-116BE537F07E}">
      <text>
        <r>
          <rPr>
            <b/>
            <sz val="10"/>
            <color rgb="FF000000"/>
            <rFont val="Calibri"/>
            <family val="2"/>
          </rPr>
          <t xml:space="preserve">Tillæg beregnet da lønsystemet overgik fra skalaløn til basisløn. </t>
        </r>
      </text>
    </comment>
    <comment ref="F22" authorId="0" shapeId="0" xr:uid="{3CA823BE-797C-D748-A0E8-2B8F9B4D857D}">
      <text>
        <r>
          <rPr>
            <b/>
            <sz val="10"/>
            <color rgb="FF000000"/>
            <rFont val="Calibri"/>
            <family val="2"/>
          </rPr>
          <t>For medlemmer i efterlønskassen. Er der for decentrale lønaftaler aftalt sup.pension?</t>
        </r>
      </text>
    </comment>
    <comment ref="F23" authorId="0" shapeId="0" xr:uid="{A1CCE3EE-97F4-8F49-A99C-FD153F12F14F}">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3AD617D0-5070-E64B-AA32-A30D1731EA01}">
      <text>
        <r>
          <rPr>
            <b/>
            <sz val="10"/>
            <color rgb="FF000000"/>
            <rFont val="Calibri"/>
            <family val="2"/>
          </rPr>
          <t>Følges organisationsaftalens ferieregler afvikles der ferie i de to førse hverdage i august, 5 dages ferie i uge 42, og de sidste 18 hverdage i juli.</t>
        </r>
      </text>
    </comment>
    <comment ref="F25" authorId="0" shapeId="0" xr:uid="{427FF1F8-C5B2-8146-919F-B7E5B737A485}">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75429A43-208C-8449-AB97-998036F20F18}">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813AAF05-07DA-614C-81F6-E3D63C78AA9E}">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F9FD2376-2CDA-A745-8F68-CD865C8919EA}">
      <text>
        <r>
          <rPr>
            <b/>
            <sz val="10"/>
            <color rgb="FF000000"/>
            <rFont val="Calibri"/>
            <family val="2"/>
          </rPr>
          <t>Oplys antal selvbetalte fridage.</t>
        </r>
      </text>
    </comment>
    <comment ref="F29" authorId="0" shapeId="0" xr:uid="{06A5DFBF-4939-934D-82FF-503319FE4566}">
      <text>
        <r>
          <rPr>
            <b/>
            <sz val="10"/>
            <color rgb="FF000000"/>
            <rFont val="Calibri"/>
            <family val="2"/>
          </rPr>
          <t>Bemærk: Evt. ny skatteprocent januar mdr.</t>
        </r>
      </text>
    </comment>
    <comment ref="L29" authorId="5" shapeId="0" xr:uid="{25E165D1-751F-1C44-B2EC-452919F079EB}">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2230D8D6-69D1-4840-9F34-BC4DC5630A22}">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C7D9FDE7-B6B2-B04F-9529-178141134797}">
      <text>
        <r>
          <rPr>
            <b/>
            <sz val="10"/>
            <color rgb="FF000000"/>
            <rFont val="Calibri"/>
            <family val="2"/>
          </rPr>
          <t xml:space="preserve">Bemærk: Evt. nyt skattefradrag januar mdr. </t>
        </r>
      </text>
    </comment>
    <comment ref="L30" authorId="7" shapeId="0" xr:uid="{C7581BD9-6386-4546-9431-B09736B7CF4A}">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1EB17A9F-8A2B-9E46-97C4-3F2BF00A453E}">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F100B68C-B28A-D848-ADC9-900B7D813D56}">
      <text>
        <r>
          <rPr>
            <b/>
            <sz val="10"/>
            <color rgb="FF000000"/>
            <rFont val="Calibri"/>
            <family val="2"/>
          </rPr>
          <t>Tast selv taksten når de nye satser offentliggøres. Se løntabel og følg med i skolenyt.</t>
        </r>
      </text>
    </comment>
    <comment ref="F31" authorId="0" shapeId="0" xr:uid="{9E186F25-3A10-E146-976D-1D65FBBA49A6}">
      <text>
        <r>
          <rPr>
            <b/>
            <sz val="10"/>
            <color rgb="FF000000"/>
            <rFont val="Calibri"/>
            <family val="2"/>
          </rPr>
          <t>Bef. godtgøres normalt med den lave takst, med mindre der ved den enkelte ansatte er underskrevet et bemyndigelsesbrev.</t>
        </r>
      </text>
    </comment>
    <comment ref="E32" authorId="0" shapeId="0" xr:uid="{76D12417-CDD3-B04A-9CD5-9C4015B0A37F}">
      <text>
        <r>
          <rPr>
            <b/>
            <sz val="10"/>
            <color rgb="FF000000"/>
            <rFont val="Calibri"/>
            <family val="2"/>
          </rPr>
          <t xml:space="preserve">Tast selv taksten når de nye satser offentliggøres. Se løntabel og følg med i skolenyt.
</t>
        </r>
      </text>
    </comment>
    <comment ref="F32" authorId="0" shapeId="0" xr:uid="{EFAFA902-0D54-7E4A-967F-F8FDCF7AD2CF}">
      <text>
        <r>
          <rPr>
            <b/>
            <sz val="10"/>
            <color rgb="FF000000"/>
            <rFont val="Calibri"/>
            <family val="2"/>
          </rPr>
          <t>Må kun udmøntes efter den høje sats såfremt der foreligger et bemyndigelsesbrev.</t>
        </r>
      </text>
    </comment>
    <comment ref="F33" authorId="0" shapeId="0" xr:uid="{E96AE969-F7C4-174E-A5BA-16BCC3ED6D51}">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3DC9874C-85A4-5C49-8A6A-82EB8CE12C30}">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E1C5A880-E114-704D-B7CA-3587E35F7E1B}">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D6AEBFB4-7986-7644-96A0-9CA02AA37932}">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03AC48B8-035F-A04E-9EF1-2A16DC347FBC}">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4F9B6C78-0CA6-3846-AEA5-F380292427F5}">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F599F304-A3A0-124A-8BC1-B8E8B4AB5434}">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297E81F4-4209-E44B-BD80-023ADE7FEF92}">
      <text>
        <r>
          <rPr>
            <b/>
            <sz val="10"/>
            <color rgb="FF000000"/>
            <rFont val="Calibri"/>
            <family val="2"/>
          </rPr>
          <t>Er weekendtimerne ikke indregnet i årsnormen og skal udbetales oplyses her antal timer.</t>
        </r>
      </text>
    </comment>
    <comment ref="F41" authorId="0" shapeId="0" xr:uid="{0D3BFE62-B0A2-954E-B1A4-8D31EA5D88D3}">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F398002C-7121-224E-B4C8-894299ACFB07}">
      <text>
        <r>
          <rPr>
            <b/>
            <sz val="10"/>
            <color rgb="FF000000"/>
            <rFont val="Calibri"/>
            <family val="2"/>
          </rPr>
          <t>Udregn selv og indtast beløb for mer/overtidsbetaling. Benyt evt. Friskolernes  nettotimelønsberegner.</t>
        </r>
      </text>
    </comment>
    <comment ref="F43" authorId="0" shapeId="0" xr:uid="{A1BA8986-E55E-D646-8BA8-3E6C93808B9F}">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6C8AD9F0-CFE6-B64D-BD79-99CF41072448}">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2C277D01-C15D-E849-962E-1EF88F55ABD7}">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C92D733C-EBC1-4C4F-849C-13AEB1520BD5}">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C99707C5-6491-6E46-9075-0AF81D9DFA35}">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C73BF07E-6914-9744-8A64-C41F24FCC18E}">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FFC8E55A-624C-DE49-A648-4B6051F29F56}">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6CC1D8DE-83DD-714D-A967-B91DBF5ABB1B}">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F1C72F49-5C08-AA49-BC44-7C951B03061B}">
      <text>
        <r>
          <rPr>
            <b/>
            <sz val="10"/>
            <color rgb="FF000000"/>
            <rFont val="Calibri"/>
            <family val="2"/>
          </rPr>
          <t>Beregn selv praktikvederlaget og oplys dette.</t>
        </r>
      </text>
    </comment>
    <comment ref="A117" authorId="2" shapeId="0" xr:uid="{AE93EC14-5778-E14A-9A8D-0B6B1A60AFAE}">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2E74F8F7-4696-9C46-9ADD-22981E8B613F}">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tc={858D873D-20AE-844D-A647-102430869F38}</author>
    <author>Tove Dohn</author>
    <author>tc={24D7FB4F-8F4E-B049-912F-CE8E915C1D9A}</author>
    <author>tc={29C17532-3E91-DB49-B076-953FE1E6195A}</author>
    <author>tc={85C24096-EDF8-6B4B-A46D-C5185E54F8AD}</author>
    <author>tc={64A69288-FC09-3D43-863D-DDE682108D47}</author>
    <author>tc={8F3CBBB2-E58F-EE4B-90FE-3D5DB7660E63}</author>
    <author>tc={4D8DDAFD-E8F7-654C-82D9-9B9761E9E9C6}</author>
  </authors>
  <commentList>
    <comment ref="C1" authorId="0" shapeId="0" xr:uid="{13DD58E6-3E27-3648-A68A-69307C0D0DDB}">
      <text>
        <r>
          <rPr>
            <b/>
            <sz val="10"/>
            <color rgb="FF000000"/>
            <rFont val="Calibri"/>
            <family val="2"/>
          </rPr>
          <t xml:space="preserve">Funktionstillæg og kvalifikationstillæg er normalt pensionsgivende.
</t>
        </r>
      </text>
    </comment>
    <comment ref="D1" authorId="0" shapeId="0" xr:uid="{56CC2DD4-531A-E046-8CFC-B795279505DD}">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3963510B-122B-0045-ABA2-5492B4EA0278}">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09DB08B1-5649-854E-86D3-92B0B4D26995}">
      <text>
        <r>
          <rPr>
            <sz val="10"/>
            <color rgb="FF000000"/>
            <rFont val="Calibri"/>
            <family val="2"/>
          </rPr>
          <t xml:space="preserve">Hvis ikke ansat hel mdr., definer her hvor mange dage ud af hel mdr.
</t>
        </r>
      </text>
    </comment>
    <comment ref="F4" authorId="0" shapeId="0" xr:uid="{FEB29A4A-3990-5E4A-A924-B7B721F5475F}">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858D873D-20AE-844D-A647-102430869F38}">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D40624F0-C5A3-E84F-AEFB-366AAB19CE52}">
      <text>
        <r>
          <rPr>
            <sz val="10"/>
            <color rgb="FF000000"/>
            <rFont val="Calibri"/>
            <family val="2"/>
          </rPr>
          <t xml:space="preserve">Vælg "L" hvis lærernes pension eller P/E samt skalatrin.
</t>
        </r>
      </text>
    </comment>
    <comment ref="F6" authorId="0" shapeId="0" xr:uid="{91E58C5F-FDD2-B448-8CC3-BF427878FE95}">
      <text>
        <r>
          <rPr>
            <b/>
            <sz val="10"/>
            <color rgb="FF000000"/>
            <rFont val="Calibri"/>
            <family val="2"/>
          </rPr>
          <t xml:space="preserve">Indsæt ny reguleringsprocent pr. 1. oktober 2021 og 1. april 2022.
</t>
        </r>
      </text>
    </comment>
    <comment ref="J6" authorId="2" shapeId="0" xr:uid="{03753813-F0F9-3B4C-88FB-D0FA2F6411FE}">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4540A532-1B0D-FA4E-B03B-35BA44B330FF}">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E30E5FE2-F514-E146-BA00-E3F32AD3E54D}">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BFA18957-7C11-8148-8D4A-15D242FB9BF4}">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BB4D82F1-302B-8D4B-8B93-578D6C75345C}">
      <text>
        <r>
          <rPr>
            <sz val="10"/>
            <color rgb="FF000000"/>
            <rFont val="Calibri"/>
            <family val="2"/>
          </rPr>
          <t xml:space="preserve"> Vælg skolens stedtillægsområde
</t>
        </r>
        <r>
          <rPr>
            <sz val="10"/>
            <color rgb="FF000000"/>
            <rFont val="Calibri"/>
            <family val="2"/>
          </rPr>
          <t xml:space="preserve">
</t>
        </r>
      </text>
    </comment>
    <comment ref="G7" authorId="3" shapeId="0" xr:uid="{24D7FB4F-8F4E-B049-912F-CE8E915C1D9A}">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29C17532-3E91-DB49-B076-953FE1E6195A}">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F9147601-567C-F941-91ED-3A0DC8D5A8B2}">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442F903D-4EE7-1D44-8BDA-C513FEBF4E29}">
      <text>
        <r>
          <rPr>
            <b/>
            <sz val="8"/>
            <color rgb="FF000000"/>
            <rFont val="Calibri"/>
            <family val="2"/>
          </rPr>
          <t>Beskæftigelsesgrad anføres med 1 for 100%. Ændres bg. I løbet af året, tastes ny bg. I den mdr. ændringen sker.</t>
        </r>
      </text>
    </comment>
    <comment ref="F11" authorId="2" shapeId="0" xr:uid="{908A012F-603D-B445-B22C-4263882BE1CC}">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61BFE728-B525-DD45-BCE2-4B6A771BE3A4}">
      <text>
        <r>
          <rPr>
            <b/>
            <sz val="10"/>
            <color rgb="FF000000"/>
            <rFont val="Calibri"/>
            <family val="2"/>
          </rPr>
          <t>Altid årlig uv-timetal. Hvis ansat mindre end et skoleår, da opregnes timerne til en fuld årsnorm.</t>
        </r>
      </text>
    </comment>
    <comment ref="F14" authorId="0" shapeId="0" xr:uid="{944D5563-CA32-A74C-9760-19038289662B}">
      <text>
        <r>
          <rPr>
            <b/>
            <sz val="10"/>
            <color rgb="FF000000"/>
            <rFont val="Calibri"/>
            <family val="2"/>
          </rPr>
          <t xml:space="preserve">Oplys i årlig grundbeløb 12.
</t>
        </r>
      </text>
    </comment>
    <comment ref="F15" authorId="0" shapeId="0" xr:uid="{89476FBA-D394-B54B-920D-74CF90BD7E00}">
      <text>
        <r>
          <rPr>
            <b/>
            <sz val="10"/>
            <color rgb="FF000000"/>
            <rFont val="Calibri"/>
            <family val="2"/>
          </rPr>
          <t>Oplys i årlig grundbeløb 12.</t>
        </r>
        <r>
          <rPr>
            <sz val="10"/>
            <color rgb="FF000000"/>
            <rFont val="Calibri"/>
            <family val="2"/>
          </rPr>
          <t xml:space="preserve">
</t>
        </r>
      </text>
    </comment>
    <comment ref="F16" authorId="0" shapeId="0" xr:uid="{B32BECBA-F050-0A46-BA49-A60C6C06ADCD}">
      <text>
        <r>
          <rPr>
            <b/>
            <sz val="10"/>
            <color rgb="FF000000"/>
            <rFont val="Calibri"/>
            <family val="2"/>
          </rPr>
          <t>Oplys i årlig grundbeløb 12.</t>
        </r>
        <r>
          <rPr>
            <sz val="10"/>
            <color rgb="FF000000"/>
            <rFont val="Calibri"/>
            <family val="2"/>
          </rPr>
          <t xml:space="preserve">
</t>
        </r>
      </text>
    </comment>
    <comment ref="F17" authorId="0" shapeId="0" xr:uid="{87232C87-7BD4-8741-89C6-C679A24225F0}">
      <text>
        <r>
          <rPr>
            <b/>
            <sz val="10"/>
            <color rgb="FF000000"/>
            <rFont val="Calibri"/>
            <family val="2"/>
          </rPr>
          <t>Oplys i årlig grundbeløb 12.</t>
        </r>
        <r>
          <rPr>
            <sz val="10"/>
            <color rgb="FF000000"/>
            <rFont val="Calibri"/>
            <family val="2"/>
          </rPr>
          <t xml:space="preserve">
</t>
        </r>
      </text>
    </comment>
    <comment ref="F18" authorId="0" shapeId="0" xr:uid="{02E5CDF6-74B7-0B47-867C-AF7EEAEA0D00}">
      <text>
        <r>
          <rPr>
            <b/>
            <sz val="10"/>
            <color rgb="FF000000"/>
            <rFont val="Calibri"/>
            <family val="2"/>
          </rPr>
          <t>Oplys i årlig grundbeløb 12.</t>
        </r>
      </text>
    </comment>
    <comment ref="F19" authorId="0" shapeId="0" xr:uid="{A0486564-1C89-514A-BF28-1ECF3406DE83}">
      <text>
        <r>
          <rPr>
            <b/>
            <sz val="10"/>
            <color rgb="FF000000"/>
            <rFont val="Calibri"/>
            <family val="2"/>
          </rPr>
          <t>Oplys i årlig grundbeløb 12.</t>
        </r>
        <r>
          <rPr>
            <sz val="10"/>
            <color rgb="FF000000"/>
            <rFont val="Calibri"/>
            <family val="2"/>
          </rPr>
          <t xml:space="preserve">
</t>
        </r>
      </text>
    </comment>
    <comment ref="F20" authorId="0" shapeId="0" xr:uid="{A4ADC3D6-6B57-BC46-B4B4-376ED170CE02}">
      <text>
        <r>
          <rPr>
            <sz val="9"/>
            <color rgb="FF000000"/>
            <rFont val="Calibri"/>
            <family val="2"/>
          </rPr>
          <t xml:space="preserve">Kun for lærere der var ansat på skolen marts 2013 og som på det tidspunkt havde mere end 12 års anciennitet.
</t>
        </r>
      </text>
    </comment>
    <comment ref="F21" authorId="0" shapeId="0" xr:uid="{940CC6B4-6D77-D44B-9E84-BFEF03B8E8D8}">
      <text>
        <r>
          <rPr>
            <b/>
            <sz val="10"/>
            <color rgb="FF000000"/>
            <rFont val="Calibri"/>
            <family val="2"/>
          </rPr>
          <t xml:space="preserve">Tillæg beregnet da lønsystemet overgik fra skalaløn til basisløn. </t>
        </r>
      </text>
    </comment>
    <comment ref="F22" authorId="0" shapeId="0" xr:uid="{CA06EDB9-086B-1340-ADCF-F7778E354326}">
      <text>
        <r>
          <rPr>
            <b/>
            <sz val="10"/>
            <color rgb="FF000000"/>
            <rFont val="Calibri"/>
            <family val="2"/>
          </rPr>
          <t>For medlemmer i efterlønskassen. Er der for decentrale lønaftaler aftalt sup.pension?</t>
        </r>
      </text>
    </comment>
    <comment ref="F23" authorId="0" shapeId="0" xr:uid="{BE069CA4-1392-7145-87BE-784D4DFA7275}">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0B626FAF-E875-C94B-9D4D-AE4670B31B01}">
      <text>
        <r>
          <rPr>
            <b/>
            <sz val="10"/>
            <color rgb="FF000000"/>
            <rFont val="Calibri"/>
            <family val="2"/>
          </rPr>
          <t>Følges organisationsaftalens ferieregler afvikles der ferie i de to førse hverdage i august, 5 dages ferie i uge 42, og de sidste 18 hverdage i juli.</t>
        </r>
      </text>
    </comment>
    <comment ref="F25" authorId="0" shapeId="0" xr:uid="{FAEC95AB-EF16-4B47-B1E4-A6B04BBD55FD}">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1A730632-B4CD-2C4A-89E6-96791E89D66A}">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8F001432-5559-724A-A6F8-56C6112B8F73}">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334E8030-C215-8E40-A0DB-186127354D39}">
      <text>
        <r>
          <rPr>
            <b/>
            <sz val="10"/>
            <color rgb="FF000000"/>
            <rFont val="Calibri"/>
            <family val="2"/>
          </rPr>
          <t>Oplys antal selvbetalte fridage.</t>
        </r>
      </text>
    </comment>
    <comment ref="F29" authorId="0" shapeId="0" xr:uid="{C1CD7999-4AE2-8944-A7FE-1A404E27FA6A}">
      <text>
        <r>
          <rPr>
            <b/>
            <sz val="10"/>
            <color rgb="FF000000"/>
            <rFont val="Calibri"/>
            <family val="2"/>
          </rPr>
          <t>Bemærk: Evt. ny skatteprocent januar mdr.</t>
        </r>
      </text>
    </comment>
    <comment ref="L29" authorId="5" shapeId="0" xr:uid="{85C24096-EDF8-6B4B-A46D-C5185E54F8AD}">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64A69288-FC09-3D43-863D-DDE682108D47}">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B80DDCAC-D1BF-C646-BCB2-9D99E2A4DA0A}">
      <text>
        <r>
          <rPr>
            <b/>
            <sz val="10"/>
            <color rgb="FF000000"/>
            <rFont val="Calibri"/>
            <family val="2"/>
          </rPr>
          <t xml:space="preserve">Bemærk: Evt. nyt skattefradrag januar mdr. </t>
        </r>
      </text>
    </comment>
    <comment ref="L30" authorId="7" shapeId="0" xr:uid="{8F3CBBB2-E58F-EE4B-90FE-3D5DB7660E63}">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4D8DDAFD-E8F7-654C-82D9-9B9761E9E9C6}">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6B3F3470-DCC4-5841-AAE9-7767B25BA1BD}">
      <text>
        <r>
          <rPr>
            <b/>
            <sz val="10"/>
            <color rgb="FF000000"/>
            <rFont val="Calibri"/>
            <family val="2"/>
          </rPr>
          <t>Tast selv taksten når de nye satser offentliggøres. Se løntabel og følg med i skolenyt.</t>
        </r>
      </text>
    </comment>
    <comment ref="F31" authorId="0" shapeId="0" xr:uid="{0E8AC8D1-E641-9D43-B7FB-12B9850562A7}">
      <text>
        <r>
          <rPr>
            <b/>
            <sz val="10"/>
            <color rgb="FF000000"/>
            <rFont val="Calibri"/>
            <family val="2"/>
          </rPr>
          <t>Bef. godtgøres normalt med den lave takst, med mindre der ved den enkelte ansatte er underskrevet et bemyndigelsesbrev.</t>
        </r>
      </text>
    </comment>
    <comment ref="E32" authorId="0" shapeId="0" xr:uid="{852A3234-361B-F041-8A69-2DEF88CBEE20}">
      <text>
        <r>
          <rPr>
            <b/>
            <sz val="10"/>
            <color rgb="FF000000"/>
            <rFont val="Calibri"/>
            <family val="2"/>
          </rPr>
          <t xml:space="preserve">Tast selv taksten når de nye satser offentliggøres. Se løntabel og følg med i skolenyt.
</t>
        </r>
      </text>
    </comment>
    <comment ref="F32" authorId="0" shapeId="0" xr:uid="{535BD50E-40CC-DD4E-9642-15A7E1B8841F}">
      <text>
        <r>
          <rPr>
            <b/>
            <sz val="10"/>
            <color rgb="FF000000"/>
            <rFont val="Calibri"/>
            <family val="2"/>
          </rPr>
          <t>Må kun udmøntes efter den høje sats såfremt der foreligger et bemyndigelsesbrev.</t>
        </r>
      </text>
    </comment>
    <comment ref="F33" authorId="0" shapeId="0" xr:uid="{A162FEA9-B90F-AD4B-9471-02A9487D9339}">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F2682DAD-D20B-E041-BC55-10036A07DFFF}">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41237191-30E9-E049-AF7A-DDBABEE4732A}">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D57A1EF4-70C3-5F44-890E-BB16A08102AF}">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3A3D3A44-907D-1247-8EBD-18CBAB3541DC}">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0DD13DF6-30C5-A64D-AB72-BBA467511340}">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08670707-44EA-0142-97A9-4B5EF24A1BAA}">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87AAC06C-A20B-674F-A422-AEFE4262CC80}">
      <text>
        <r>
          <rPr>
            <b/>
            <sz val="10"/>
            <color rgb="FF000000"/>
            <rFont val="Calibri"/>
            <family val="2"/>
          </rPr>
          <t>Er weekendtimerne ikke indregnet i årsnormen og skal udbetales oplyses her antal timer.</t>
        </r>
      </text>
    </comment>
    <comment ref="F41" authorId="0" shapeId="0" xr:uid="{CBDCB75B-A6DD-AF46-B353-F3D69812DFE6}">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1BDDF203-8E7F-4841-8A85-4CF61C74F91F}">
      <text>
        <r>
          <rPr>
            <b/>
            <sz val="10"/>
            <color rgb="FF000000"/>
            <rFont val="Calibri"/>
            <family val="2"/>
          </rPr>
          <t>Udregn selv og indtast beløb for mer/overtidsbetaling. Benyt evt. Friskolernes  nettotimelønsberegner.</t>
        </r>
      </text>
    </comment>
    <comment ref="F43" authorId="0" shapeId="0" xr:uid="{07C1E47A-8251-C049-9F8E-87905A75427B}">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F036A5F7-B10F-494F-A089-44DA7CDCDA62}">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F7D67756-6022-5141-A188-25DCA32CE507}">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AD2358A2-77FE-3643-BBAA-FE4C8BA858BF}">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94C0D367-D043-9D44-B1E2-D1FE57B53B96}">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486C5A0C-A8EF-DC44-B51C-EFD630A9B9BB}">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488EA002-017F-7949-B18B-BC75B0EF43A1}">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C650CDB4-D450-0542-B6CB-1F0B92B8DCC3}">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D4B6A696-7416-7743-8CCB-E2D9660C2AAF}">
      <text>
        <r>
          <rPr>
            <b/>
            <sz val="10"/>
            <color rgb="FF000000"/>
            <rFont val="Calibri"/>
            <family val="2"/>
          </rPr>
          <t>Beregn selv praktikvederlaget og oplys dette.</t>
        </r>
      </text>
    </comment>
    <comment ref="A117" authorId="2" shapeId="0" xr:uid="{243AA047-919E-EB4F-94DA-45537924B986}">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CC60F699-CF0C-0E4B-A947-AC32D234AC61}">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tc={574AA60C-64FA-5941-92A4-7C24FA85E0E0}</author>
    <author>Tove Dohn</author>
    <author>tc={F4B34946-DE65-2A46-945A-36BE59A86793}</author>
    <author>tc={036F5A47-4765-A540-8016-F825DC56235A}</author>
    <author>tc={29718F11-629C-D148-8312-5F26E2B1A442}</author>
    <author>tc={47BE7595-A4D0-3E42-AF77-CD14B38CECC5}</author>
    <author>tc={549BCA5F-7A19-9D47-94C0-6B0BD96D70FB}</author>
    <author>tc={0BF803A3-98F6-B74C-81C5-946350B5C39F}</author>
  </authors>
  <commentList>
    <comment ref="C1" authorId="0" shapeId="0" xr:uid="{7E452563-DA03-D349-9BD7-4CFCE5CABDF6}">
      <text>
        <r>
          <rPr>
            <b/>
            <sz val="10"/>
            <color rgb="FF000000"/>
            <rFont val="Calibri"/>
            <family val="2"/>
          </rPr>
          <t xml:space="preserve">Funktionstillæg og kvalifikationstillæg er normalt pensionsgivende.
</t>
        </r>
      </text>
    </comment>
    <comment ref="D1" authorId="0" shapeId="0" xr:uid="{B6A6BF6C-C406-104E-8EEA-C0ADFF5728DF}">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6E07970E-DDA5-024B-9649-4EC7AD92280E}">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C40C5D38-A8AF-804C-961F-1D16DEC532B4}">
      <text>
        <r>
          <rPr>
            <sz val="10"/>
            <color rgb="FF000000"/>
            <rFont val="Calibri"/>
            <family val="2"/>
          </rPr>
          <t xml:space="preserve">Hvis ikke ansat hel mdr., definer her hvor mange dage ud af hel mdr.
</t>
        </r>
      </text>
    </comment>
    <comment ref="F4" authorId="0" shapeId="0" xr:uid="{E8C2B72C-D177-E740-B18C-EE6748BA918B}">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574AA60C-64FA-5941-92A4-7C24FA85E0E0}">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E44FAABC-FB83-1D40-A9F9-A289F0740C04}">
      <text>
        <r>
          <rPr>
            <sz val="10"/>
            <color rgb="FF000000"/>
            <rFont val="Calibri"/>
            <family val="2"/>
          </rPr>
          <t xml:space="preserve">Vælg "L" hvis lærernes pension eller P/E samt skalatrin.
</t>
        </r>
      </text>
    </comment>
    <comment ref="F6" authorId="0" shapeId="0" xr:uid="{B8CEE9BA-49BE-3A4C-9346-4CC1923F88DF}">
      <text>
        <r>
          <rPr>
            <b/>
            <sz val="10"/>
            <color rgb="FF000000"/>
            <rFont val="Calibri"/>
            <family val="2"/>
          </rPr>
          <t xml:space="preserve">Indsæt ny reguleringsprocent pr. 1. oktober 2021 og 1. april 2022.
</t>
        </r>
      </text>
    </comment>
    <comment ref="J6" authorId="2" shapeId="0" xr:uid="{49CBA7C7-CFAB-B34F-A284-E5ECFF6D4940}">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DE72EB7E-B392-D04A-9A86-5A77F2202D40}">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ADA7DE44-E1C2-6242-9574-63B3CD3991A6}">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5DDF6A73-C8D4-5F46-995A-89AF7103A343}">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B1F3A1C0-B9B2-C24C-B6EC-91BF56C5074B}">
      <text>
        <r>
          <rPr>
            <sz val="10"/>
            <color rgb="FF000000"/>
            <rFont val="Calibri"/>
            <family val="2"/>
          </rPr>
          <t xml:space="preserve"> Vælg skolens stedtillægsområde
</t>
        </r>
        <r>
          <rPr>
            <sz val="10"/>
            <color rgb="FF000000"/>
            <rFont val="Calibri"/>
            <family val="2"/>
          </rPr>
          <t xml:space="preserve">
</t>
        </r>
      </text>
    </comment>
    <comment ref="G7" authorId="3" shapeId="0" xr:uid="{F4B34946-DE65-2A46-945A-36BE59A86793}">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036F5A47-4765-A540-8016-F825DC56235A}">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0E829C51-993A-B742-85E7-0C7972BD4036}">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39EFEF7D-84CE-374B-8FB0-9BD933FB6FF0}">
      <text>
        <r>
          <rPr>
            <b/>
            <sz val="8"/>
            <color rgb="FF000000"/>
            <rFont val="Calibri"/>
            <family val="2"/>
          </rPr>
          <t>Beskæftigelsesgrad anføres med 1 for 100%. Ændres bg. I løbet af året, tastes ny bg. I den mdr. ændringen sker.</t>
        </r>
      </text>
    </comment>
    <comment ref="F11" authorId="2" shapeId="0" xr:uid="{F620FFA1-1961-2842-BFCD-7BED80A30887}">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E1BC6C45-85FA-B648-BD6F-E9B242280EDA}">
      <text>
        <r>
          <rPr>
            <b/>
            <sz val="10"/>
            <color rgb="FF000000"/>
            <rFont val="Calibri"/>
            <family val="2"/>
          </rPr>
          <t>Altid årlig uv-timetal. Hvis ansat mindre end et skoleår, da opregnes timerne til en fuld årsnorm.</t>
        </r>
      </text>
    </comment>
    <comment ref="F14" authorId="0" shapeId="0" xr:uid="{E8D0F1B3-0E50-5A45-A149-AB5CF02B83A5}">
      <text>
        <r>
          <rPr>
            <b/>
            <sz val="10"/>
            <color rgb="FF000000"/>
            <rFont val="Calibri"/>
            <family val="2"/>
          </rPr>
          <t xml:space="preserve">Oplys i årlig grundbeløb 12.
</t>
        </r>
      </text>
    </comment>
    <comment ref="F15" authorId="0" shapeId="0" xr:uid="{EB361984-72F7-D147-A013-86CA404A7E09}">
      <text>
        <r>
          <rPr>
            <b/>
            <sz val="10"/>
            <color rgb="FF000000"/>
            <rFont val="Calibri"/>
            <family val="2"/>
          </rPr>
          <t>Oplys i årlig grundbeløb 12.</t>
        </r>
        <r>
          <rPr>
            <sz val="10"/>
            <color rgb="FF000000"/>
            <rFont val="Calibri"/>
            <family val="2"/>
          </rPr>
          <t xml:space="preserve">
</t>
        </r>
      </text>
    </comment>
    <comment ref="F16" authorId="0" shapeId="0" xr:uid="{10D4096F-6EA7-7041-8D37-2EECD26FB77B}">
      <text>
        <r>
          <rPr>
            <b/>
            <sz val="10"/>
            <color rgb="FF000000"/>
            <rFont val="Calibri"/>
            <family val="2"/>
          </rPr>
          <t>Oplys i årlig grundbeløb 12.</t>
        </r>
        <r>
          <rPr>
            <sz val="10"/>
            <color rgb="FF000000"/>
            <rFont val="Calibri"/>
            <family val="2"/>
          </rPr>
          <t xml:space="preserve">
</t>
        </r>
      </text>
    </comment>
    <comment ref="F17" authorId="0" shapeId="0" xr:uid="{1368DC9B-2883-4548-A6E9-91E6D75BE182}">
      <text>
        <r>
          <rPr>
            <b/>
            <sz val="10"/>
            <color rgb="FF000000"/>
            <rFont val="Calibri"/>
            <family val="2"/>
          </rPr>
          <t>Oplys i årlig grundbeløb 12.</t>
        </r>
        <r>
          <rPr>
            <sz val="10"/>
            <color rgb="FF000000"/>
            <rFont val="Calibri"/>
            <family val="2"/>
          </rPr>
          <t xml:space="preserve">
</t>
        </r>
      </text>
    </comment>
    <comment ref="F18" authorId="0" shapeId="0" xr:uid="{A6704574-ADE5-7E4B-ABA1-E88F34C8E96C}">
      <text>
        <r>
          <rPr>
            <b/>
            <sz val="10"/>
            <color rgb="FF000000"/>
            <rFont val="Calibri"/>
            <family val="2"/>
          </rPr>
          <t>Oplys i årlig grundbeløb 12.</t>
        </r>
      </text>
    </comment>
    <comment ref="F19" authorId="0" shapeId="0" xr:uid="{654D58A2-9FB0-3445-B529-0CA5A2800437}">
      <text>
        <r>
          <rPr>
            <b/>
            <sz val="10"/>
            <color rgb="FF000000"/>
            <rFont val="Calibri"/>
            <family val="2"/>
          </rPr>
          <t>Oplys i årlig grundbeløb 12.</t>
        </r>
        <r>
          <rPr>
            <sz val="10"/>
            <color rgb="FF000000"/>
            <rFont val="Calibri"/>
            <family val="2"/>
          </rPr>
          <t xml:space="preserve">
</t>
        </r>
      </text>
    </comment>
    <comment ref="F20" authorId="0" shapeId="0" xr:uid="{8EAC4A8C-5B57-9049-BD51-B7F696E8F742}">
      <text>
        <r>
          <rPr>
            <sz val="9"/>
            <color rgb="FF000000"/>
            <rFont val="Calibri"/>
            <family val="2"/>
          </rPr>
          <t xml:space="preserve">Kun for lærere der var ansat på skolen marts 2013 og som på det tidspunkt havde mere end 12 års anciennitet.
</t>
        </r>
      </text>
    </comment>
    <comment ref="F21" authorId="0" shapeId="0" xr:uid="{590869E9-16EA-7E44-930C-1D66B79424B7}">
      <text>
        <r>
          <rPr>
            <b/>
            <sz val="10"/>
            <color rgb="FF000000"/>
            <rFont val="Calibri"/>
            <family val="2"/>
          </rPr>
          <t xml:space="preserve">Tillæg beregnet da lønsystemet overgik fra skalaløn til basisløn. </t>
        </r>
      </text>
    </comment>
    <comment ref="F22" authorId="0" shapeId="0" xr:uid="{110E5462-D3F3-054C-9487-A7A3C5D1D461}">
      <text>
        <r>
          <rPr>
            <b/>
            <sz val="10"/>
            <color rgb="FF000000"/>
            <rFont val="Calibri"/>
            <family val="2"/>
          </rPr>
          <t>For medlemmer i efterlønskassen. Er der for decentrale lønaftaler aftalt sup.pension?</t>
        </r>
      </text>
    </comment>
    <comment ref="F23" authorId="0" shapeId="0" xr:uid="{9D71968A-B624-2C42-8BC5-D97E79025B7D}">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82619E29-E3BF-7A45-88AB-93DB042DC400}">
      <text>
        <r>
          <rPr>
            <b/>
            <sz val="10"/>
            <color rgb="FF000000"/>
            <rFont val="Calibri"/>
            <family val="2"/>
          </rPr>
          <t>Følges organisationsaftalens ferieregler afvikles der ferie i de to førse hverdage i august, 5 dages ferie i uge 42, og de sidste 18 hverdage i juli.</t>
        </r>
      </text>
    </comment>
    <comment ref="F25" authorId="0" shapeId="0" xr:uid="{5E352550-950C-A44D-8A03-146FA825FAD3}">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6E129E2A-97AE-0542-9711-B48EE4317861}">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8520C1DF-15EC-8E4C-8F97-0BD1D44B7376}">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CAFD57F7-A0D8-494C-8B8C-40769CF8F66A}">
      <text>
        <r>
          <rPr>
            <b/>
            <sz val="10"/>
            <color rgb="FF000000"/>
            <rFont val="Calibri"/>
            <family val="2"/>
          </rPr>
          <t>Oplys antal selvbetalte fridage.</t>
        </r>
      </text>
    </comment>
    <comment ref="F29" authorId="0" shapeId="0" xr:uid="{9D343591-E4CC-E643-9A7F-DCE01DED833C}">
      <text>
        <r>
          <rPr>
            <b/>
            <sz val="10"/>
            <color rgb="FF000000"/>
            <rFont val="Calibri"/>
            <family val="2"/>
          </rPr>
          <t>Bemærk: Evt. ny skatteprocent januar mdr.</t>
        </r>
      </text>
    </comment>
    <comment ref="L29" authorId="5" shapeId="0" xr:uid="{29718F11-629C-D148-8312-5F26E2B1A442}">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47BE7595-A4D0-3E42-AF77-CD14B38CECC5}">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A0EABDC2-497D-0C40-ABE7-3B6E9EA80E53}">
      <text>
        <r>
          <rPr>
            <b/>
            <sz val="10"/>
            <color rgb="FF000000"/>
            <rFont val="Calibri"/>
            <family val="2"/>
          </rPr>
          <t xml:space="preserve">Bemærk: Evt. nyt skattefradrag januar mdr. </t>
        </r>
      </text>
    </comment>
    <comment ref="L30" authorId="7" shapeId="0" xr:uid="{549BCA5F-7A19-9D47-94C0-6B0BD96D70FB}">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0BF803A3-98F6-B74C-81C5-946350B5C39F}">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51FE8299-F11E-9E41-9C19-8B4E5BA924F8}">
      <text>
        <r>
          <rPr>
            <b/>
            <sz val="10"/>
            <color rgb="FF000000"/>
            <rFont val="Calibri"/>
            <family val="2"/>
          </rPr>
          <t>Tast selv taksten når de nye satser offentliggøres. Se løntabel og følg med i skolenyt.</t>
        </r>
      </text>
    </comment>
    <comment ref="F31" authorId="0" shapeId="0" xr:uid="{18EE19BB-EDAC-7B4F-993D-26D42852F9E7}">
      <text>
        <r>
          <rPr>
            <b/>
            <sz val="10"/>
            <color rgb="FF000000"/>
            <rFont val="Calibri"/>
            <family val="2"/>
          </rPr>
          <t>Bef. godtgøres normalt med den lave takst, med mindre der ved den enkelte ansatte er underskrevet et bemyndigelsesbrev.</t>
        </r>
      </text>
    </comment>
    <comment ref="E32" authorId="0" shapeId="0" xr:uid="{A23555FC-6AD5-2043-B36F-618F7BD6E402}">
      <text>
        <r>
          <rPr>
            <b/>
            <sz val="10"/>
            <color rgb="FF000000"/>
            <rFont val="Calibri"/>
            <family val="2"/>
          </rPr>
          <t xml:space="preserve">Tast selv taksten når de nye satser offentliggøres. Se løntabel og følg med i skolenyt.
</t>
        </r>
      </text>
    </comment>
    <comment ref="F32" authorId="0" shapeId="0" xr:uid="{A64E6178-E1B9-0441-A221-1A3292F442A1}">
      <text>
        <r>
          <rPr>
            <b/>
            <sz val="10"/>
            <color rgb="FF000000"/>
            <rFont val="Calibri"/>
            <family val="2"/>
          </rPr>
          <t>Må kun udmøntes efter den høje sats såfremt der foreligger et bemyndigelsesbrev.</t>
        </r>
      </text>
    </comment>
    <comment ref="F33" authorId="0" shapeId="0" xr:uid="{838E04D0-598B-0845-BC7A-A38B8F884643}">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B08CEEDB-808A-D145-8324-FFFB020255D6}">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9F935F79-C1A9-BA43-84C8-8586BF57FB72}">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B16BC8E9-AE69-7E4D-99F5-DEF9B2D3D527}">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BCADF6AA-84FF-7640-81D7-5170D4CA302F}">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9191F61C-4994-8543-AD11-CB5622393411}">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7D11FD31-267F-2C4A-9358-076781A00EE2}">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330BD075-2D79-A344-A228-61DF3503AE4D}">
      <text>
        <r>
          <rPr>
            <b/>
            <sz val="10"/>
            <color rgb="FF000000"/>
            <rFont val="Calibri"/>
            <family val="2"/>
          </rPr>
          <t>Er weekendtimerne ikke indregnet i årsnormen og skal udbetales oplyses her antal timer.</t>
        </r>
      </text>
    </comment>
    <comment ref="F41" authorId="0" shapeId="0" xr:uid="{F4745E43-6433-7944-BDF4-0748C59F3C90}">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4135453C-5C06-5145-8375-57B1DB3E5C4F}">
      <text>
        <r>
          <rPr>
            <b/>
            <sz val="10"/>
            <color rgb="FF000000"/>
            <rFont val="Calibri"/>
            <family val="2"/>
          </rPr>
          <t>Udregn selv og indtast beløb for mer/overtidsbetaling. Benyt evt. Friskolernes  nettotimelønsberegner.</t>
        </r>
      </text>
    </comment>
    <comment ref="F43" authorId="0" shapeId="0" xr:uid="{47C8E6C9-DC14-E148-B128-C9D71D4AF589}">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5450FDC8-4CE7-E24A-B3F8-DBED0BB36210}">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09EA8ACD-82A8-C64C-B97E-779AAC056327}">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DF52D42E-6709-4B40-A359-06119210C07D}">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B39A3FF9-2854-F84A-AE3C-DED88266F09B}">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C29DE416-5C84-4247-B216-0B8B0BC53922}">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67BEFC47-0AF7-B94F-86F3-407E0AA11379}">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9DCBB2AF-20B5-D647-92F5-371CB0D76A55}">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1B57F4BB-F85A-084C-93FA-350C6E1EF0CA}">
      <text>
        <r>
          <rPr>
            <b/>
            <sz val="10"/>
            <color rgb="FF000000"/>
            <rFont val="Calibri"/>
            <family val="2"/>
          </rPr>
          <t>Beregn selv praktikvederlaget og oplys dette.</t>
        </r>
      </text>
    </comment>
    <comment ref="A117" authorId="2" shapeId="0" xr:uid="{A371D766-000B-3348-9087-61FE49A023B8}">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FB53A46A-86DF-754A-BF38-3863115AC1CC}">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tc={0940A264-E2E5-D54B-8120-CBAB112C2B99}</author>
    <author>Tove Dohn</author>
    <author>tc={007D6927-B204-4949-8C13-B5C7E8C77D6F}</author>
    <author>tc={2609EF0C-424C-0C44-928E-26E74BD4C14F}</author>
    <author>tc={CCD0CBE5-67B0-984B-94F0-31CCD52F079D}</author>
    <author>tc={087A93BD-FEFE-2A45-9E69-A32357DE5049}</author>
    <author>tc={7DA0DB4C-1592-F346-98AA-20912F80C348}</author>
    <author>tc={B56F2EC7-9FD8-4C4E-9646-F4E8A9763E78}</author>
  </authors>
  <commentList>
    <comment ref="C1" authorId="0" shapeId="0" xr:uid="{6C34A535-6625-ED4E-869B-33C0D95986EA}">
      <text>
        <r>
          <rPr>
            <b/>
            <sz val="10"/>
            <color rgb="FF000000"/>
            <rFont val="Calibri"/>
            <family val="2"/>
          </rPr>
          <t xml:space="preserve">Funktionstillæg og kvalifikationstillæg er normalt pensionsgivende.
</t>
        </r>
      </text>
    </comment>
    <comment ref="D1" authorId="0" shapeId="0" xr:uid="{DAE0FFAC-D2FF-A942-8D4A-6B3548B10CB0}">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0BE0788E-EE1B-4D48-B7A8-8713EA4688EC}">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E36664D9-ABF8-3444-A3E4-FD85392306A1}">
      <text>
        <r>
          <rPr>
            <sz val="10"/>
            <color rgb="FF000000"/>
            <rFont val="Calibri"/>
            <family val="2"/>
          </rPr>
          <t xml:space="preserve">Hvis ikke ansat hel mdr., definer her hvor mange dage ud af hel mdr.
</t>
        </r>
      </text>
    </comment>
    <comment ref="F4" authorId="0" shapeId="0" xr:uid="{6CDF0803-0CC3-BF4F-8B76-8AEF0FD61A74}">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0940A264-E2E5-D54B-8120-CBAB112C2B99}">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8D895253-3929-BF47-809A-686100CE66A6}">
      <text>
        <r>
          <rPr>
            <sz val="10"/>
            <color rgb="FF000000"/>
            <rFont val="Calibri"/>
            <family val="2"/>
          </rPr>
          <t xml:space="preserve">Vælg "L" hvis lærernes pension eller P/E samt skalatrin.
</t>
        </r>
      </text>
    </comment>
    <comment ref="F6" authorId="0" shapeId="0" xr:uid="{C5B90031-77F1-474C-A055-FFB59975908F}">
      <text>
        <r>
          <rPr>
            <b/>
            <sz val="10"/>
            <color rgb="FF000000"/>
            <rFont val="Calibri"/>
            <family val="2"/>
          </rPr>
          <t xml:space="preserve">Indsæt ny reguleringsprocent pr. 1. oktober 2021 og 1. april 2022.
</t>
        </r>
      </text>
    </comment>
    <comment ref="J6" authorId="2" shapeId="0" xr:uid="{BE03DC2F-490E-9F42-AA54-92BECD656B95}">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AC3A67DC-C5BF-644B-BB53-1BC547682490}">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504F3E28-55AF-6B4C-A546-D9AC46B543AA}">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939DBAF7-9FA7-8A46-BB00-F3B9D3D67BBE}">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F155FB95-1D38-AA40-917F-9B331AD37B6F}">
      <text>
        <r>
          <rPr>
            <sz val="10"/>
            <color rgb="FF000000"/>
            <rFont val="Calibri"/>
            <family val="2"/>
          </rPr>
          <t xml:space="preserve"> Vælg skolens stedtillægsområde
</t>
        </r>
        <r>
          <rPr>
            <sz val="10"/>
            <color rgb="FF000000"/>
            <rFont val="Calibri"/>
            <family val="2"/>
          </rPr>
          <t xml:space="preserve">
</t>
        </r>
      </text>
    </comment>
    <comment ref="G7" authorId="3" shapeId="0" xr:uid="{007D6927-B204-4949-8C13-B5C7E8C77D6F}">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2609EF0C-424C-0C44-928E-26E74BD4C14F}">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3166C3BF-642A-B149-936B-6C83B5880CE9}">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B338285E-B0B1-A34E-BEEB-CEA3A41BAD20}">
      <text>
        <r>
          <rPr>
            <b/>
            <sz val="8"/>
            <color rgb="FF000000"/>
            <rFont val="Calibri"/>
            <family val="2"/>
          </rPr>
          <t>Beskæftigelsesgrad anføres med 1 for 100%. Ændres bg. I løbet af året, tastes ny bg. I den mdr. ændringen sker.</t>
        </r>
      </text>
    </comment>
    <comment ref="F11" authorId="2" shapeId="0" xr:uid="{377815C1-AD39-1846-82D1-B2B804AEFFD5}">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EF8BFC34-A904-7C40-BF41-0CF55E34AD4B}">
      <text>
        <r>
          <rPr>
            <b/>
            <sz val="10"/>
            <color rgb="FF000000"/>
            <rFont val="Calibri"/>
            <family val="2"/>
          </rPr>
          <t>Altid årlig uv-timetal. Hvis ansat mindre end et skoleår, da opregnes timerne til en fuld årsnorm.</t>
        </r>
      </text>
    </comment>
    <comment ref="F14" authorId="0" shapeId="0" xr:uid="{75AAD8E6-449C-A34A-8CBD-9B54E9289F75}">
      <text>
        <r>
          <rPr>
            <b/>
            <sz val="10"/>
            <color rgb="FF000000"/>
            <rFont val="Calibri"/>
            <family val="2"/>
          </rPr>
          <t xml:space="preserve">Oplys i årlig grundbeløb 12.
</t>
        </r>
      </text>
    </comment>
    <comment ref="F15" authorId="0" shapeId="0" xr:uid="{BDDB743E-873D-E448-BC5E-9C20EFBF0C21}">
      <text>
        <r>
          <rPr>
            <b/>
            <sz val="10"/>
            <color rgb="FF000000"/>
            <rFont val="Calibri"/>
            <family val="2"/>
          </rPr>
          <t>Oplys i årlig grundbeløb 12.</t>
        </r>
        <r>
          <rPr>
            <sz val="10"/>
            <color rgb="FF000000"/>
            <rFont val="Calibri"/>
            <family val="2"/>
          </rPr>
          <t xml:space="preserve">
</t>
        </r>
      </text>
    </comment>
    <comment ref="F16" authorId="0" shapeId="0" xr:uid="{AB60A45F-656E-1648-8722-9A21C0A72C49}">
      <text>
        <r>
          <rPr>
            <b/>
            <sz val="10"/>
            <color rgb="FF000000"/>
            <rFont val="Calibri"/>
            <family val="2"/>
          </rPr>
          <t>Oplys i årlig grundbeløb 12.</t>
        </r>
        <r>
          <rPr>
            <sz val="10"/>
            <color rgb="FF000000"/>
            <rFont val="Calibri"/>
            <family val="2"/>
          </rPr>
          <t xml:space="preserve">
</t>
        </r>
      </text>
    </comment>
    <comment ref="F17" authorId="0" shapeId="0" xr:uid="{72536C5E-B705-184B-9143-29E0FC343665}">
      <text>
        <r>
          <rPr>
            <b/>
            <sz val="10"/>
            <color rgb="FF000000"/>
            <rFont val="Calibri"/>
            <family val="2"/>
          </rPr>
          <t>Oplys i årlig grundbeløb 12.</t>
        </r>
        <r>
          <rPr>
            <sz val="10"/>
            <color rgb="FF000000"/>
            <rFont val="Calibri"/>
            <family val="2"/>
          </rPr>
          <t xml:space="preserve">
</t>
        </r>
      </text>
    </comment>
    <comment ref="F18" authorId="0" shapeId="0" xr:uid="{E190D355-2997-C640-BD20-17B323283197}">
      <text>
        <r>
          <rPr>
            <b/>
            <sz val="10"/>
            <color rgb="FF000000"/>
            <rFont val="Calibri"/>
            <family val="2"/>
          </rPr>
          <t>Oplys i årlig grundbeløb 12.</t>
        </r>
      </text>
    </comment>
    <comment ref="F19" authorId="0" shapeId="0" xr:uid="{1547899B-9B51-C744-A443-54C19E7C046F}">
      <text>
        <r>
          <rPr>
            <b/>
            <sz val="10"/>
            <color rgb="FF000000"/>
            <rFont val="Calibri"/>
            <family val="2"/>
          </rPr>
          <t>Oplys i årlig grundbeløb 12.</t>
        </r>
        <r>
          <rPr>
            <sz val="10"/>
            <color rgb="FF000000"/>
            <rFont val="Calibri"/>
            <family val="2"/>
          </rPr>
          <t xml:space="preserve">
</t>
        </r>
      </text>
    </comment>
    <comment ref="F20" authorId="0" shapeId="0" xr:uid="{B1EED4E1-F782-944D-BFA5-FCCE09D9BB9E}">
      <text>
        <r>
          <rPr>
            <sz val="9"/>
            <color rgb="FF000000"/>
            <rFont val="Calibri"/>
            <family val="2"/>
          </rPr>
          <t xml:space="preserve">Kun for lærere der var ansat på skolen marts 2013 og som på det tidspunkt havde mere end 12 års anciennitet.
</t>
        </r>
      </text>
    </comment>
    <comment ref="F21" authorId="0" shapeId="0" xr:uid="{51444CC4-392A-BF46-ADF5-4E05791B0BBA}">
      <text>
        <r>
          <rPr>
            <b/>
            <sz val="10"/>
            <color rgb="FF000000"/>
            <rFont val="Calibri"/>
            <family val="2"/>
          </rPr>
          <t xml:space="preserve">Tillæg beregnet da lønsystemet overgik fra skalaløn til basisløn. </t>
        </r>
      </text>
    </comment>
    <comment ref="F22" authorId="0" shapeId="0" xr:uid="{B0373A59-F657-6B4E-81A5-2D2DE0DFE90E}">
      <text>
        <r>
          <rPr>
            <b/>
            <sz val="10"/>
            <color rgb="FF000000"/>
            <rFont val="Calibri"/>
            <family val="2"/>
          </rPr>
          <t>For medlemmer i efterlønskassen. Er der for decentrale lønaftaler aftalt sup.pension?</t>
        </r>
      </text>
    </comment>
    <comment ref="F23" authorId="0" shapeId="0" xr:uid="{3145AB58-C08F-3440-8367-387AE6F3DF29}">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DDC4E971-D69A-6D43-A14B-EE8BEE068DCE}">
      <text>
        <r>
          <rPr>
            <b/>
            <sz val="10"/>
            <color rgb="FF000000"/>
            <rFont val="Calibri"/>
            <family val="2"/>
          </rPr>
          <t>Følges organisationsaftalens ferieregler afvikles der ferie i de to førse hverdage i august, 5 dages ferie i uge 42, og de sidste 18 hverdage i juli.</t>
        </r>
      </text>
    </comment>
    <comment ref="F25" authorId="0" shapeId="0" xr:uid="{9DEC2903-9F84-2E4E-97BC-23A5E55F409B}">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12B08C23-08D2-9B40-8B69-DC42C71A528D}">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2AD34E63-FAF9-7046-8BED-A36CF5D1E6A2}">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2BD1D9D3-AE2F-4A4D-8B1A-BE6A33AC8DBB}">
      <text>
        <r>
          <rPr>
            <b/>
            <sz val="10"/>
            <color rgb="FF000000"/>
            <rFont val="Calibri"/>
            <family val="2"/>
          </rPr>
          <t>Oplys antal selvbetalte fridage.</t>
        </r>
      </text>
    </comment>
    <comment ref="F29" authorId="0" shapeId="0" xr:uid="{605A62C3-A456-DD41-BB5E-41616DDF3837}">
      <text>
        <r>
          <rPr>
            <b/>
            <sz val="10"/>
            <color rgb="FF000000"/>
            <rFont val="Calibri"/>
            <family val="2"/>
          </rPr>
          <t>Bemærk: Evt. ny skatteprocent januar mdr.</t>
        </r>
      </text>
    </comment>
    <comment ref="L29" authorId="5" shapeId="0" xr:uid="{CCD0CBE5-67B0-984B-94F0-31CCD52F079D}">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087A93BD-FEFE-2A45-9E69-A32357DE5049}">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5EB10E02-06D5-8F4E-8360-CF8B9F44ADF7}">
      <text>
        <r>
          <rPr>
            <b/>
            <sz val="10"/>
            <color rgb="FF000000"/>
            <rFont val="Calibri"/>
            <family val="2"/>
          </rPr>
          <t xml:space="preserve">Bemærk: Evt. nyt skattefradrag januar mdr. </t>
        </r>
      </text>
    </comment>
    <comment ref="L30" authorId="7" shapeId="0" xr:uid="{7DA0DB4C-1592-F346-98AA-20912F80C348}">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B56F2EC7-9FD8-4C4E-9646-F4E8A9763E78}">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070DCDC2-EAF7-B94F-83CB-398D8A73E2DB}">
      <text>
        <r>
          <rPr>
            <b/>
            <sz val="10"/>
            <color rgb="FF000000"/>
            <rFont val="Calibri"/>
            <family val="2"/>
          </rPr>
          <t>Tast selv taksten når de nye satser offentliggøres. Se løntabel og følg med i skolenyt.</t>
        </r>
      </text>
    </comment>
    <comment ref="F31" authorId="0" shapeId="0" xr:uid="{EF974545-836C-6246-8EBB-FDEC143DED51}">
      <text>
        <r>
          <rPr>
            <b/>
            <sz val="10"/>
            <color rgb="FF000000"/>
            <rFont val="Calibri"/>
            <family val="2"/>
          </rPr>
          <t>Bef. godtgøres normalt med den lave takst, med mindre der ved den enkelte ansatte er underskrevet et bemyndigelsesbrev.</t>
        </r>
      </text>
    </comment>
    <comment ref="E32" authorId="0" shapeId="0" xr:uid="{E1D8E0B2-2EC6-C24A-AFDB-532E69D497FB}">
      <text>
        <r>
          <rPr>
            <b/>
            <sz val="10"/>
            <color rgb="FF000000"/>
            <rFont val="Calibri"/>
            <family val="2"/>
          </rPr>
          <t xml:space="preserve">Tast selv taksten når de nye satser offentliggøres. Se løntabel og følg med i skolenyt.
</t>
        </r>
      </text>
    </comment>
    <comment ref="F32" authorId="0" shapeId="0" xr:uid="{B3A03E3B-8264-2C42-8999-AA753A7CADE8}">
      <text>
        <r>
          <rPr>
            <b/>
            <sz val="10"/>
            <color rgb="FF000000"/>
            <rFont val="Calibri"/>
            <family val="2"/>
          </rPr>
          <t>Må kun udmøntes efter den høje sats såfremt der foreligger et bemyndigelsesbrev.</t>
        </r>
      </text>
    </comment>
    <comment ref="F33" authorId="0" shapeId="0" xr:uid="{C5950556-7CCE-5C45-B4A0-0B8600AF40D7}">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8AD2A3D6-9840-3B44-BB79-30D158F4620B}">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6105066A-5350-D040-A786-6AD97AC1216A}">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A85F8695-7351-0B4B-AC0B-84FE56528BC4}">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45F322EE-2372-9149-9577-E0BF10AE8B81}">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48D13E46-F2A4-194C-A9BE-472EE67F75CC}">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033A3C5A-7461-6A44-93D9-7DC21F0A4DBD}">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85CB8211-1F74-7C44-8ED1-064422A57A9C}">
      <text>
        <r>
          <rPr>
            <b/>
            <sz val="10"/>
            <color rgb="FF000000"/>
            <rFont val="Calibri"/>
            <family val="2"/>
          </rPr>
          <t>Er weekendtimerne ikke indregnet i årsnormen og skal udbetales oplyses her antal timer.</t>
        </r>
      </text>
    </comment>
    <comment ref="F41" authorId="0" shapeId="0" xr:uid="{00C1A32E-823C-C541-BC39-DD9660901F02}">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241690F9-618D-0F4F-A651-F363205E8FC7}">
      <text>
        <r>
          <rPr>
            <b/>
            <sz val="10"/>
            <color rgb="FF000000"/>
            <rFont val="Calibri"/>
            <family val="2"/>
          </rPr>
          <t>Udregn selv og indtast beløb for mer/overtidsbetaling. Benyt evt. Friskolernes  nettotimelønsberegner.</t>
        </r>
      </text>
    </comment>
    <comment ref="F43" authorId="0" shapeId="0" xr:uid="{04FAD4C9-AA00-B344-BC93-DDCE487B6317}">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869279E3-4F38-DB42-9A7D-800D56C72727}">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620A068E-B33E-2A4B-B802-C0CC8C402CAC}">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B4B9081D-6F7D-324D-9BB9-3D0273689342}">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A9D76437-FC74-6344-BCCB-E9754F158DE3}">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4A473B0A-5227-0A44-AF47-F3327E54D360}">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8B92AAE3-3819-F041-AE7A-FE0CBD71744B}">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F37386FF-DC54-4949-8E87-8AC7C9D2B54A}">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FE236352-C9BA-584F-896A-78FF773DF5DA}">
      <text>
        <r>
          <rPr>
            <b/>
            <sz val="10"/>
            <color rgb="FF000000"/>
            <rFont val="Calibri"/>
            <family val="2"/>
          </rPr>
          <t>Beregn selv praktikvederlaget og oplys dette.</t>
        </r>
      </text>
    </comment>
    <comment ref="A117" authorId="2" shapeId="0" xr:uid="{169A7AAE-F270-BD45-9F66-542A057C0F76}">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61B50630-1549-C043-B1E9-89359922878C}">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tc={D5247166-74D7-9248-A898-5D394ABD6D1A}</author>
    <author>Tove Dohn</author>
    <author>tc={AB9B8099-DDA3-A846-BE0E-93B46BEFDC16}</author>
    <author>tc={98C4DBC8-9504-F14F-B29E-CCFFBA4AF896}</author>
    <author>tc={6E2A827F-AD9B-904A-85D4-D627A95F97AA}</author>
    <author>tc={CD06DD72-E88A-DC4B-853E-F8069DB89443}</author>
    <author>tc={DF3861E0-AC7D-7949-99D2-1972BAC0CDC9}</author>
    <author>tc={95FD44B0-C4B7-0041-9DA1-DC3A59CAF5DE}</author>
  </authors>
  <commentList>
    <comment ref="C1" authorId="0" shapeId="0" xr:uid="{3B65E404-B458-6A41-88B0-B97720BC18F3}">
      <text>
        <r>
          <rPr>
            <b/>
            <sz val="10"/>
            <color rgb="FF000000"/>
            <rFont val="Calibri"/>
            <family val="2"/>
          </rPr>
          <t xml:space="preserve">Funktionstillæg og kvalifikationstillæg er normalt pensionsgivende.
</t>
        </r>
      </text>
    </comment>
    <comment ref="D1" authorId="0" shapeId="0" xr:uid="{416B217F-F1F4-3749-898C-7A67BDC3043F}">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9BA88064-6217-974A-92B3-84C83B34DAD7}">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F4CA2B84-A633-0F43-BC26-5E8F6F6E475A}">
      <text>
        <r>
          <rPr>
            <sz val="10"/>
            <color rgb="FF000000"/>
            <rFont val="Calibri"/>
            <family val="2"/>
          </rPr>
          <t xml:space="preserve">Hvis ikke ansat hel mdr., definer her hvor mange dage ud af hel mdr.
</t>
        </r>
      </text>
    </comment>
    <comment ref="F4" authorId="0" shapeId="0" xr:uid="{63525A5B-DA69-8A44-8497-FBCEEF8C0825}">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D5247166-74D7-9248-A898-5D394ABD6D1A}">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DC41A443-5AB7-124E-A91C-D44729B764AF}">
      <text>
        <r>
          <rPr>
            <sz val="10"/>
            <color rgb="FF000000"/>
            <rFont val="Calibri"/>
            <family val="2"/>
          </rPr>
          <t xml:space="preserve">Vælg "L" hvis lærernes pension eller P/E samt skalatrin.
</t>
        </r>
      </text>
    </comment>
    <comment ref="F6" authorId="0" shapeId="0" xr:uid="{27DF39A7-CAE2-1340-B489-34FAD364061D}">
      <text>
        <r>
          <rPr>
            <b/>
            <sz val="10"/>
            <color rgb="FF000000"/>
            <rFont val="Calibri"/>
            <family val="2"/>
          </rPr>
          <t xml:space="preserve">Indsæt ny reguleringsprocent pr. 1. oktober 2021 og 1. april 2022.
</t>
        </r>
      </text>
    </comment>
    <comment ref="J6" authorId="2" shapeId="0" xr:uid="{686AF9F9-43A4-ED44-B3FA-65F3B1C01002}">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3BD9453C-3218-6545-BD4B-4A47DEC7423E}">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44AEFADB-11A1-D244-B4D1-493C2ACCA0D4}">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F17AD453-BD8C-984B-B310-1B0DAE3CC8FC}">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D6063093-7AF3-8D43-A93B-C3581370B791}">
      <text>
        <r>
          <rPr>
            <sz val="10"/>
            <color rgb="FF000000"/>
            <rFont val="Calibri"/>
            <family val="2"/>
          </rPr>
          <t xml:space="preserve"> Vælg skolens stedtillægsområde
</t>
        </r>
        <r>
          <rPr>
            <sz val="10"/>
            <color rgb="FF000000"/>
            <rFont val="Calibri"/>
            <family val="2"/>
          </rPr>
          <t xml:space="preserve">
</t>
        </r>
      </text>
    </comment>
    <comment ref="G7" authorId="3" shapeId="0" xr:uid="{AB9B8099-DDA3-A846-BE0E-93B46BEFDC16}">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98C4DBC8-9504-F14F-B29E-CCFFBA4AF896}">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8CB289F7-3483-7D47-88EC-0793EE75A1D8}">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5354BE3B-5F39-C440-8EF0-5288C246F34B}">
      <text>
        <r>
          <rPr>
            <b/>
            <sz val="8"/>
            <color rgb="FF000000"/>
            <rFont val="Calibri"/>
            <family val="2"/>
          </rPr>
          <t>Beskæftigelsesgrad anføres med 1 for 100%. Ændres bg. I løbet af året, tastes ny bg. I den mdr. ændringen sker.</t>
        </r>
      </text>
    </comment>
    <comment ref="F11" authorId="2" shapeId="0" xr:uid="{76D6C29E-68BB-574F-8C94-99A9556092E2}">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9F76510B-93C6-0E4A-ABC4-F1E12B88978A}">
      <text>
        <r>
          <rPr>
            <b/>
            <sz val="10"/>
            <color rgb="FF000000"/>
            <rFont val="Calibri"/>
            <family val="2"/>
          </rPr>
          <t>Altid årlig uv-timetal. Hvis ansat mindre end et skoleår, da opregnes timerne til en fuld årsnorm.</t>
        </r>
      </text>
    </comment>
    <comment ref="F14" authorId="0" shapeId="0" xr:uid="{2E3CADA9-0419-E648-8D3B-CDCB40DC02DB}">
      <text>
        <r>
          <rPr>
            <b/>
            <sz val="10"/>
            <color rgb="FF000000"/>
            <rFont val="Calibri"/>
            <family val="2"/>
          </rPr>
          <t xml:space="preserve">Oplys i årlig grundbeløb 12.
</t>
        </r>
      </text>
    </comment>
    <comment ref="F15" authorId="0" shapeId="0" xr:uid="{3230E00F-B8A0-7944-BF46-BCFD95D2B9E6}">
      <text>
        <r>
          <rPr>
            <b/>
            <sz val="10"/>
            <color rgb="FF000000"/>
            <rFont val="Calibri"/>
            <family val="2"/>
          </rPr>
          <t>Oplys i årlig grundbeløb 12.</t>
        </r>
        <r>
          <rPr>
            <sz val="10"/>
            <color rgb="FF000000"/>
            <rFont val="Calibri"/>
            <family val="2"/>
          </rPr>
          <t xml:space="preserve">
</t>
        </r>
      </text>
    </comment>
    <comment ref="F16" authorId="0" shapeId="0" xr:uid="{6B47F161-B002-C945-8C22-F601D0BB06C5}">
      <text>
        <r>
          <rPr>
            <b/>
            <sz val="10"/>
            <color rgb="FF000000"/>
            <rFont val="Calibri"/>
            <family val="2"/>
          </rPr>
          <t>Oplys i årlig grundbeløb 12.</t>
        </r>
        <r>
          <rPr>
            <sz val="10"/>
            <color rgb="FF000000"/>
            <rFont val="Calibri"/>
            <family val="2"/>
          </rPr>
          <t xml:space="preserve">
</t>
        </r>
      </text>
    </comment>
    <comment ref="F17" authorId="0" shapeId="0" xr:uid="{D84F6CD4-F725-E34F-B0DE-854ABF869E80}">
      <text>
        <r>
          <rPr>
            <b/>
            <sz val="10"/>
            <color rgb="FF000000"/>
            <rFont val="Calibri"/>
            <family val="2"/>
          </rPr>
          <t>Oplys i årlig grundbeløb 12.</t>
        </r>
        <r>
          <rPr>
            <sz val="10"/>
            <color rgb="FF000000"/>
            <rFont val="Calibri"/>
            <family val="2"/>
          </rPr>
          <t xml:space="preserve">
</t>
        </r>
      </text>
    </comment>
    <comment ref="F18" authorId="0" shapeId="0" xr:uid="{4BCD72BE-399B-7C4E-8B9A-CD0AC62FCCEC}">
      <text>
        <r>
          <rPr>
            <b/>
            <sz val="10"/>
            <color rgb="FF000000"/>
            <rFont val="Calibri"/>
            <family val="2"/>
          </rPr>
          <t>Oplys i årlig grundbeløb 12.</t>
        </r>
      </text>
    </comment>
    <comment ref="F19" authorId="0" shapeId="0" xr:uid="{B543CC70-2032-4D43-8279-C71389BE315E}">
      <text>
        <r>
          <rPr>
            <b/>
            <sz val="10"/>
            <color rgb="FF000000"/>
            <rFont val="Calibri"/>
            <family val="2"/>
          </rPr>
          <t>Oplys i årlig grundbeløb 12.</t>
        </r>
        <r>
          <rPr>
            <sz val="10"/>
            <color rgb="FF000000"/>
            <rFont val="Calibri"/>
            <family val="2"/>
          </rPr>
          <t xml:space="preserve">
</t>
        </r>
      </text>
    </comment>
    <comment ref="F20" authorId="0" shapeId="0" xr:uid="{63144AF1-F401-DF41-A855-3097F875A8AC}">
      <text>
        <r>
          <rPr>
            <sz val="9"/>
            <color rgb="FF000000"/>
            <rFont val="Calibri"/>
            <family val="2"/>
          </rPr>
          <t xml:space="preserve">Kun for lærere der var ansat på skolen marts 2013 og som på det tidspunkt havde mere end 12 års anciennitet.
</t>
        </r>
      </text>
    </comment>
    <comment ref="F21" authorId="0" shapeId="0" xr:uid="{AAF40A8D-99DB-A048-942B-E0FFB4584555}">
      <text>
        <r>
          <rPr>
            <b/>
            <sz val="10"/>
            <color rgb="FF000000"/>
            <rFont val="Calibri"/>
            <family val="2"/>
          </rPr>
          <t xml:space="preserve">Tillæg beregnet da lønsystemet overgik fra skalaløn til basisløn. </t>
        </r>
      </text>
    </comment>
    <comment ref="F22" authorId="0" shapeId="0" xr:uid="{24385D87-3EEC-4243-8874-087D04C02FD0}">
      <text>
        <r>
          <rPr>
            <b/>
            <sz val="10"/>
            <color rgb="FF000000"/>
            <rFont val="Calibri"/>
            <family val="2"/>
          </rPr>
          <t>For medlemmer i efterlønskassen. Er der for decentrale lønaftaler aftalt sup.pension?</t>
        </r>
      </text>
    </comment>
    <comment ref="F23" authorId="0" shapeId="0" xr:uid="{7BD5BDB1-C1CB-DB4A-A09D-90CF7404F482}">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4BDFEAC6-8578-7441-8792-59B318924D56}">
      <text>
        <r>
          <rPr>
            <b/>
            <sz val="10"/>
            <color rgb="FF000000"/>
            <rFont val="Calibri"/>
            <family val="2"/>
          </rPr>
          <t>Følges organisationsaftalens ferieregler afvikles der ferie i de to førse hverdage i august, 5 dages ferie i uge 42, og de sidste 18 hverdage i juli.</t>
        </r>
      </text>
    </comment>
    <comment ref="F25" authorId="0" shapeId="0" xr:uid="{148C7301-4F69-D243-96DF-3E498FB363CB}">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DC884052-6C15-8F45-8163-3FCED23AF484}">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23D9A822-4EAF-4F46-8D01-1851D5ECC03A}">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C85883D7-EEA7-BF45-988F-8182414973D1}">
      <text>
        <r>
          <rPr>
            <b/>
            <sz val="10"/>
            <color rgb="FF000000"/>
            <rFont val="Calibri"/>
            <family val="2"/>
          </rPr>
          <t>Oplys antal selvbetalte fridage.</t>
        </r>
      </text>
    </comment>
    <comment ref="F29" authorId="0" shapeId="0" xr:uid="{98BDE5AB-B176-754F-8374-F6A0A96AE477}">
      <text>
        <r>
          <rPr>
            <b/>
            <sz val="10"/>
            <color rgb="FF000000"/>
            <rFont val="Calibri"/>
            <family val="2"/>
          </rPr>
          <t>Bemærk: Evt. ny skatteprocent januar mdr.</t>
        </r>
      </text>
    </comment>
    <comment ref="L29" authorId="5" shapeId="0" xr:uid="{6E2A827F-AD9B-904A-85D4-D627A95F97AA}">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CD06DD72-E88A-DC4B-853E-F8069DB89443}">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EF37BB2E-4BAD-CC4D-AF89-15FC37CE3CC1}">
      <text>
        <r>
          <rPr>
            <b/>
            <sz val="10"/>
            <color rgb="FF000000"/>
            <rFont val="Calibri"/>
            <family val="2"/>
          </rPr>
          <t xml:space="preserve">Bemærk: Evt. nyt skattefradrag januar mdr. </t>
        </r>
      </text>
    </comment>
    <comment ref="L30" authorId="7" shapeId="0" xr:uid="{DF3861E0-AC7D-7949-99D2-1972BAC0CDC9}">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95FD44B0-C4B7-0041-9DA1-DC3A59CAF5DE}">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254A7F5D-9D33-3245-A1C3-E8545D3A3EE3}">
      <text>
        <r>
          <rPr>
            <b/>
            <sz val="10"/>
            <color rgb="FF000000"/>
            <rFont val="Calibri"/>
            <family val="2"/>
          </rPr>
          <t>Tast selv taksten når de nye satser offentliggøres. Se løntabel og følg med i skolenyt.</t>
        </r>
      </text>
    </comment>
    <comment ref="F31" authorId="0" shapeId="0" xr:uid="{F349F393-1FFC-E140-9C5A-CE7BFE15B263}">
      <text>
        <r>
          <rPr>
            <b/>
            <sz val="10"/>
            <color rgb="FF000000"/>
            <rFont val="Calibri"/>
            <family val="2"/>
          </rPr>
          <t>Bef. godtgøres normalt med den lave takst, med mindre der ved den enkelte ansatte er underskrevet et bemyndigelsesbrev.</t>
        </r>
      </text>
    </comment>
    <comment ref="E32" authorId="0" shapeId="0" xr:uid="{AED0FDDD-ECD5-CC48-96FB-AEB0B9985607}">
      <text>
        <r>
          <rPr>
            <b/>
            <sz val="10"/>
            <color rgb="FF000000"/>
            <rFont val="Calibri"/>
            <family val="2"/>
          </rPr>
          <t xml:space="preserve">Tast selv taksten når de nye satser offentliggøres. Se løntabel og følg med i skolenyt.
</t>
        </r>
      </text>
    </comment>
    <comment ref="F32" authorId="0" shapeId="0" xr:uid="{E684CAB8-0A58-5E4B-B994-112A284C8E1A}">
      <text>
        <r>
          <rPr>
            <b/>
            <sz val="10"/>
            <color rgb="FF000000"/>
            <rFont val="Calibri"/>
            <family val="2"/>
          </rPr>
          <t>Må kun udmøntes efter den høje sats såfremt der foreligger et bemyndigelsesbrev.</t>
        </r>
      </text>
    </comment>
    <comment ref="F33" authorId="0" shapeId="0" xr:uid="{85095A25-1C71-D243-85CB-F2707312464D}">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9696C255-2EB2-B44D-9873-0B53C9958C5E}">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AEC73740-E1D5-CD46-A899-CDE6B3F9DCD1}">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38C7E960-17B9-C743-B7AC-A045C2F4EBD2}">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54FAB1EA-D6FC-D543-B32F-F5A4982D515E}">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141C2BB2-EE47-CF41-B1A0-843665663BDD}">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783A8051-8F14-C64D-A391-28363714DD82}">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66928701-3F20-5647-B488-72DCBDEC9B66}">
      <text>
        <r>
          <rPr>
            <b/>
            <sz val="10"/>
            <color rgb="FF000000"/>
            <rFont val="Calibri"/>
            <family val="2"/>
          </rPr>
          <t>Er weekendtimerne ikke indregnet i årsnormen og skal udbetales oplyses her antal timer.</t>
        </r>
      </text>
    </comment>
    <comment ref="F41" authorId="0" shapeId="0" xr:uid="{C42E9C0F-D37A-0340-81C4-5BA9F588910C}">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9F7FE542-CD33-3C43-8E7C-1A7302FE9319}">
      <text>
        <r>
          <rPr>
            <b/>
            <sz val="10"/>
            <color rgb="FF000000"/>
            <rFont val="Calibri"/>
            <family val="2"/>
          </rPr>
          <t>Udregn selv og indtast beløb for mer/overtidsbetaling. Benyt evt. Friskolernes  nettotimelønsberegner.</t>
        </r>
      </text>
    </comment>
    <comment ref="F43" authorId="0" shapeId="0" xr:uid="{0B89C9E9-0DF8-BB46-A5B0-68803095226B}">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FC6475D9-9480-2642-910B-7C0344FBED1A}">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E2DDEFAA-A922-984C-9CCC-815106FC52ED}">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B03551E5-8491-4948-B732-6129BC87FE0A}">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3598EF57-EB54-B74B-8443-FEA303706E86}">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A420F6A2-FBCE-014D-886E-C336A0BA1F6A}">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009FFD46-57D6-6D4E-BC69-423ECDA9B178}">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C80E09B1-0DA7-614A-B851-E3BD8BBCD603}">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5315DC13-E7D9-5548-9EC8-42B620A02E42}">
      <text>
        <r>
          <rPr>
            <b/>
            <sz val="10"/>
            <color rgb="FF000000"/>
            <rFont val="Calibri"/>
            <family val="2"/>
          </rPr>
          <t>Beregn selv praktikvederlaget og oplys dette.</t>
        </r>
      </text>
    </comment>
    <comment ref="A117" authorId="2" shapeId="0" xr:uid="{E35A18A2-BA00-EF41-89E9-45D4024F80A1}">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8DCD3636-2DD0-6B47-8E6F-9A820E016715}">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tc={3135914D-4E54-8445-8DCA-70D9D9594436}</author>
    <author>Tove Dohn</author>
    <author>tc={EB300837-0514-F64C-B93C-0D1F7C314CE4}</author>
    <author>tc={78347EA2-DBE5-AE45-B6A3-5D32D930776A}</author>
    <author>tc={FD2A8A2D-A702-C44E-89F6-2227FEFCBCCC}</author>
    <author>tc={0B289E34-4AFA-F74D-ABBB-52B87550C3CD}</author>
    <author>tc={94C460A9-4B0F-A540-9C0A-0DA12B612596}</author>
    <author>tc={F26B8B59-090B-5E4E-B861-93AAC10FCB7A}</author>
  </authors>
  <commentList>
    <comment ref="C1" authorId="0" shapeId="0" xr:uid="{B623D9B9-EA3E-FD4F-982C-36C2B973FC6B}">
      <text>
        <r>
          <rPr>
            <b/>
            <sz val="10"/>
            <color rgb="FF000000"/>
            <rFont val="Calibri"/>
            <family val="2"/>
          </rPr>
          <t xml:space="preserve">Funktionstillæg og kvalifikationstillæg er normalt pensionsgivende.
</t>
        </r>
      </text>
    </comment>
    <comment ref="D1" authorId="0" shapeId="0" xr:uid="{A483F13A-E84B-A44D-BA4D-036FE0A6F072}">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50EC9B99-6A2E-814A-A3B2-1067ED73E041}">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C4926FA7-5158-B842-9EEF-B6C626A25CCE}">
      <text>
        <r>
          <rPr>
            <sz val="10"/>
            <color rgb="FF000000"/>
            <rFont val="Calibri"/>
            <family val="2"/>
          </rPr>
          <t xml:space="preserve">Hvis ikke ansat hel mdr., definer her hvor mange dage ud af hel mdr.
</t>
        </r>
      </text>
    </comment>
    <comment ref="F4" authorId="0" shapeId="0" xr:uid="{0FBB4470-8B40-E143-9C34-5A6AB5273941}">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3135914D-4E54-8445-8DCA-70D9D9594436}">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D34617B9-C72C-874A-8996-0CD8B4BB1022}">
      <text>
        <r>
          <rPr>
            <sz val="10"/>
            <color rgb="FF000000"/>
            <rFont val="Calibri"/>
            <family val="2"/>
          </rPr>
          <t xml:space="preserve">Vælg "L" hvis lærernes pension eller P/E samt skalatrin.
</t>
        </r>
      </text>
    </comment>
    <comment ref="F6" authorId="0" shapeId="0" xr:uid="{9F15BD77-9ACA-734F-B2E7-0A22387BECE5}">
      <text>
        <r>
          <rPr>
            <b/>
            <sz val="10"/>
            <color rgb="FF000000"/>
            <rFont val="Calibri"/>
            <family val="2"/>
          </rPr>
          <t xml:space="preserve">Indsæt ny reguleringsprocent pr. 1. oktober 2021 og 1. april 2022.
</t>
        </r>
      </text>
    </comment>
    <comment ref="J6" authorId="2" shapeId="0" xr:uid="{CF0F211B-56F2-734B-BB3A-63FDB70749C8}">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1544E02A-F6DC-0C42-BFCA-92F765CB62F6}">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499B02FB-6A73-0A47-9DBF-6945A806FDC0}">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6936378B-4BDB-BE49-A5CC-6E6077DD50BC}">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A6628D67-6118-CD46-B95E-D5DFF3D2BA65}">
      <text>
        <r>
          <rPr>
            <sz val="10"/>
            <color rgb="FF000000"/>
            <rFont val="Calibri"/>
            <family val="2"/>
          </rPr>
          <t xml:space="preserve"> Vælg skolens stedtillægsområde
</t>
        </r>
        <r>
          <rPr>
            <sz val="10"/>
            <color rgb="FF000000"/>
            <rFont val="Calibri"/>
            <family val="2"/>
          </rPr>
          <t xml:space="preserve">
</t>
        </r>
      </text>
    </comment>
    <comment ref="G7" authorId="3" shapeId="0" xr:uid="{EB300837-0514-F64C-B93C-0D1F7C314CE4}">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78347EA2-DBE5-AE45-B6A3-5D32D930776A}">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A89DD2C4-8328-D34C-9935-39BA7FC17D5F}">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041A83E9-4286-1C49-B9E4-5FD0D117F7F1}">
      <text>
        <r>
          <rPr>
            <b/>
            <sz val="8"/>
            <color rgb="FF000000"/>
            <rFont val="Calibri"/>
            <family val="2"/>
          </rPr>
          <t>Beskæftigelsesgrad anføres med 1 for 100%. Ændres bg. I løbet af året, tastes ny bg. I den mdr. ændringen sker.</t>
        </r>
      </text>
    </comment>
    <comment ref="F11" authorId="2" shapeId="0" xr:uid="{CDDDF24E-B7DA-0F41-AB77-001B7254064E}">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364E61CB-4D90-7444-8852-0688D17AD694}">
      <text>
        <r>
          <rPr>
            <b/>
            <sz val="10"/>
            <color rgb="FF000000"/>
            <rFont val="Calibri"/>
            <family val="2"/>
          </rPr>
          <t>Altid årlig uv-timetal. Hvis ansat mindre end et skoleår, da opregnes timerne til en fuld årsnorm.</t>
        </r>
      </text>
    </comment>
    <comment ref="F14" authorId="0" shapeId="0" xr:uid="{04927182-6FD2-D143-A475-C3A8747F9AC7}">
      <text>
        <r>
          <rPr>
            <b/>
            <sz val="10"/>
            <color rgb="FF000000"/>
            <rFont val="Calibri"/>
            <family val="2"/>
          </rPr>
          <t xml:space="preserve">Oplys i årlig grundbeløb 12.
</t>
        </r>
      </text>
    </comment>
    <comment ref="F15" authorId="0" shapeId="0" xr:uid="{98B865D3-F04B-A547-AD4E-13A2BD465754}">
      <text>
        <r>
          <rPr>
            <b/>
            <sz val="10"/>
            <color rgb="FF000000"/>
            <rFont val="Calibri"/>
            <family val="2"/>
          </rPr>
          <t>Oplys i årlig grundbeløb 12.</t>
        </r>
        <r>
          <rPr>
            <sz val="10"/>
            <color rgb="FF000000"/>
            <rFont val="Calibri"/>
            <family val="2"/>
          </rPr>
          <t xml:space="preserve">
</t>
        </r>
      </text>
    </comment>
    <comment ref="F16" authorId="0" shapeId="0" xr:uid="{C69B3504-C902-6A45-85AD-CF832FD1210E}">
      <text>
        <r>
          <rPr>
            <b/>
            <sz val="10"/>
            <color rgb="FF000000"/>
            <rFont val="Calibri"/>
            <family val="2"/>
          </rPr>
          <t>Oplys i årlig grundbeløb 12.</t>
        </r>
        <r>
          <rPr>
            <sz val="10"/>
            <color rgb="FF000000"/>
            <rFont val="Calibri"/>
            <family val="2"/>
          </rPr>
          <t xml:space="preserve">
</t>
        </r>
      </text>
    </comment>
    <comment ref="F17" authorId="0" shapeId="0" xr:uid="{6D8F979F-587F-1E46-A6B7-2F5CAE6674E6}">
      <text>
        <r>
          <rPr>
            <b/>
            <sz val="10"/>
            <color rgb="FF000000"/>
            <rFont val="Calibri"/>
            <family val="2"/>
          </rPr>
          <t>Oplys i årlig grundbeløb 12.</t>
        </r>
        <r>
          <rPr>
            <sz val="10"/>
            <color rgb="FF000000"/>
            <rFont val="Calibri"/>
            <family val="2"/>
          </rPr>
          <t xml:space="preserve">
</t>
        </r>
      </text>
    </comment>
    <comment ref="F18" authorId="0" shapeId="0" xr:uid="{18075D4D-201B-0B4E-8368-A1B704D249A2}">
      <text>
        <r>
          <rPr>
            <b/>
            <sz val="10"/>
            <color rgb="FF000000"/>
            <rFont val="Calibri"/>
            <family val="2"/>
          </rPr>
          <t>Oplys i årlig grundbeløb 12.</t>
        </r>
      </text>
    </comment>
    <comment ref="F19" authorId="0" shapeId="0" xr:uid="{F19A01DA-BA51-B045-883D-52183D7AB67B}">
      <text>
        <r>
          <rPr>
            <b/>
            <sz val="10"/>
            <color rgb="FF000000"/>
            <rFont val="Calibri"/>
            <family val="2"/>
          </rPr>
          <t>Oplys i årlig grundbeløb 12.</t>
        </r>
        <r>
          <rPr>
            <sz val="10"/>
            <color rgb="FF000000"/>
            <rFont val="Calibri"/>
            <family val="2"/>
          </rPr>
          <t xml:space="preserve">
</t>
        </r>
      </text>
    </comment>
    <comment ref="F20" authorId="0" shapeId="0" xr:uid="{B0E4E2B2-F6EA-E24D-A1CE-855105D58692}">
      <text>
        <r>
          <rPr>
            <sz val="9"/>
            <color rgb="FF000000"/>
            <rFont val="Calibri"/>
            <family val="2"/>
          </rPr>
          <t xml:space="preserve">Kun for lærere der var ansat på skolen marts 2013 og som på det tidspunkt havde mere end 12 års anciennitet.
</t>
        </r>
      </text>
    </comment>
    <comment ref="F21" authorId="0" shapeId="0" xr:uid="{7CC7171D-D556-024D-8214-D6CEC9D6F031}">
      <text>
        <r>
          <rPr>
            <b/>
            <sz val="10"/>
            <color rgb="FF000000"/>
            <rFont val="Calibri"/>
            <family val="2"/>
          </rPr>
          <t xml:space="preserve">Tillæg beregnet da lønsystemet overgik fra skalaløn til basisløn. </t>
        </r>
      </text>
    </comment>
    <comment ref="F22" authorId="0" shapeId="0" xr:uid="{F1B4CEE2-D1E6-304C-9706-EE498FE110D7}">
      <text>
        <r>
          <rPr>
            <b/>
            <sz val="10"/>
            <color rgb="FF000000"/>
            <rFont val="Calibri"/>
            <family val="2"/>
          </rPr>
          <t>For medlemmer i efterlønskassen. Er der for decentrale lønaftaler aftalt sup.pension?</t>
        </r>
      </text>
    </comment>
    <comment ref="F23" authorId="0" shapeId="0" xr:uid="{BA0FB155-FA66-3544-88A0-BB6AC966AF2B}">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3274C978-09FF-5E48-A0A0-357C0D8765E4}">
      <text>
        <r>
          <rPr>
            <b/>
            <sz val="10"/>
            <color rgb="FF000000"/>
            <rFont val="Calibri"/>
            <family val="2"/>
          </rPr>
          <t>Følges organisationsaftalens ferieregler afvikles der ferie i de to førse hverdage i august, 5 dages ferie i uge 42, og de sidste 18 hverdage i juli.</t>
        </r>
      </text>
    </comment>
    <comment ref="F25" authorId="0" shapeId="0" xr:uid="{CE5A9822-CD73-B840-A6AD-EE14820D8742}">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78B92204-21F7-CE45-B64A-6EBEBE3E4F4C}">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A7D1E789-147C-1243-949F-67E6D8509587}">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A5CBE92C-28C0-944A-AA53-4460D08CCF77}">
      <text>
        <r>
          <rPr>
            <b/>
            <sz val="10"/>
            <color rgb="FF000000"/>
            <rFont val="Calibri"/>
            <family val="2"/>
          </rPr>
          <t>Oplys antal selvbetalte fridage.</t>
        </r>
      </text>
    </comment>
    <comment ref="F29" authorId="0" shapeId="0" xr:uid="{B2B71F3D-E0D4-A343-A784-926DADECB124}">
      <text>
        <r>
          <rPr>
            <b/>
            <sz val="10"/>
            <color rgb="FF000000"/>
            <rFont val="Calibri"/>
            <family val="2"/>
          </rPr>
          <t>Bemærk: Evt. ny skatteprocent januar mdr.</t>
        </r>
      </text>
    </comment>
    <comment ref="L29" authorId="5" shapeId="0" xr:uid="{FD2A8A2D-A702-C44E-89F6-2227FEFCBCCC}">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0B289E34-4AFA-F74D-ABBB-52B87550C3CD}">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665B85A0-B6DF-E944-93D7-A51B865771A9}">
      <text>
        <r>
          <rPr>
            <b/>
            <sz val="10"/>
            <color rgb="FF000000"/>
            <rFont val="Calibri"/>
            <family val="2"/>
          </rPr>
          <t xml:space="preserve">Bemærk: Evt. nyt skattefradrag januar mdr. </t>
        </r>
      </text>
    </comment>
    <comment ref="L30" authorId="7" shapeId="0" xr:uid="{94C460A9-4B0F-A540-9C0A-0DA12B612596}">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F26B8B59-090B-5E4E-B861-93AAC10FCB7A}">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2B7672CE-5776-914C-8D7F-BFB584F5CADC}">
      <text>
        <r>
          <rPr>
            <b/>
            <sz val="10"/>
            <color rgb="FF000000"/>
            <rFont val="Calibri"/>
            <family val="2"/>
          </rPr>
          <t>Tast selv taksten når de nye satser offentliggøres. Se løntabel og følg med i skolenyt.</t>
        </r>
      </text>
    </comment>
    <comment ref="F31" authorId="0" shapeId="0" xr:uid="{3DDAB962-21F2-D44D-9F2F-DBB6D44B63EC}">
      <text>
        <r>
          <rPr>
            <b/>
            <sz val="10"/>
            <color rgb="FF000000"/>
            <rFont val="Calibri"/>
            <family val="2"/>
          </rPr>
          <t>Bef. godtgøres normalt med den lave takst, med mindre der ved den enkelte ansatte er underskrevet et bemyndigelsesbrev.</t>
        </r>
      </text>
    </comment>
    <comment ref="E32" authorId="0" shapeId="0" xr:uid="{C2C250E2-24C1-0248-9900-FA3DF130B746}">
      <text>
        <r>
          <rPr>
            <b/>
            <sz val="10"/>
            <color rgb="FF000000"/>
            <rFont val="Calibri"/>
            <family val="2"/>
          </rPr>
          <t xml:space="preserve">Tast selv taksten når de nye satser offentliggøres. Se løntabel og følg med i skolenyt.
</t>
        </r>
      </text>
    </comment>
    <comment ref="F32" authorId="0" shapeId="0" xr:uid="{C48C7F34-EF8B-0842-9ADA-B6B9A9DFCBA9}">
      <text>
        <r>
          <rPr>
            <b/>
            <sz val="10"/>
            <color rgb="FF000000"/>
            <rFont val="Calibri"/>
            <family val="2"/>
          </rPr>
          <t>Må kun udmøntes efter den høje sats såfremt der foreligger et bemyndigelsesbrev.</t>
        </r>
      </text>
    </comment>
    <comment ref="F33" authorId="0" shapeId="0" xr:uid="{267DAC32-8E06-F84E-AAA6-5444BDEB21F4}">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E13AC8F8-E219-A64C-9ECA-3127EADA8C69}">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84A3EAA9-65D1-5D4A-8EB1-62DD39266695}">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1A9282D1-454D-814B-9439-6EC2E904DB20}">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AA2496D5-1FB0-4949-9068-47B061BD9F71}">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3DFBFEE2-E4CD-5649-851A-71936C21685E}">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B3251C2C-E75C-034D-A731-127CBB18AA48}">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EEECA90A-5D82-3447-8798-13AECACF45D1}">
      <text>
        <r>
          <rPr>
            <b/>
            <sz val="10"/>
            <color rgb="FF000000"/>
            <rFont val="Calibri"/>
            <family val="2"/>
          </rPr>
          <t>Er weekendtimerne ikke indregnet i årsnormen og skal udbetales oplyses her antal timer.</t>
        </r>
      </text>
    </comment>
    <comment ref="F41" authorId="0" shapeId="0" xr:uid="{D8CEC60C-4ED7-1647-89C6-45BBE7C5CCEA}">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422C85B9-6382-EF40-A2B3-B2F1670DA089}">
      <text>
        <r>
          <rPr>
            <b/>
            <sz val="10"/>
            <color rgb="FF000000"/>
            <rFont val="Calibri"/>
            <family val="2"/>
          </rPr>
          <t>Udregn selv og indtast beløb for mer/overtidsbetaling. Benyt evt. Friskolernes  nettotimelønsberegner.</t>
        </r>
      </text>
    </comment>
    <comment ref="F43" authorId="0" shapeId="0" xr:uid="{4505ED76-2CC0-664F-AED6-0C3C3485C8FD}">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4BC585BE-0A5A-F04E-A3AD-6CEAC771546C}">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3A573E00-BA48-D242-AC27-E05D100346BC}">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B7068740-39EA-E840-ABB1-FBFFEC6CD455}">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AC80BF6C-E237-8B49-84C6-0DC47B649AF4}">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25DCAC6D-7625-0F43-A98C-D3A66EE53228}">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F27376FE-9B39-4940-BEDD-CE8974FC505B}">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D4D93B9F-4DF1-6D44-BE6F-AD2F40F9411D}">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1BCA996F-0C68-DD4E-823A-205AF8BE5184}">
      <text>
        <r>
          <rPr>
            <b/>
            <sz val="10"/>
            <color rgb="FF000000"/>
            <rFont val="Calibri"/>
            <family val="2"/>
          </rPr>
          <t>Beregn selv praktikvederlaget og oplys dette.</t>
        </r>
      </text>
    </comment>
    <comment ref="A117" authorId="2" shapeId="0" xr:uid="{8D9C4EB5-54C7-6247-ADBE-DF49E8C9ED71}">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27C732A3-D176-0548-B101-854EEE6B6BB5}">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tc={FF8A589A-B09A-F843-90D3-E819896226D2}</author>
    <author>Tove Dohn</author>
    <author>tc={C8482B9F-ADAA-2F4B-97C8-DDC48A1730ED}</author>
    <author>tc={0CCB0391-D504-C840-B497-2418E3E3805C}</author>
    <author>tc={8C07B0B3-4FC2-6647-8FE6-3F726EA43FC9}</author>
    <author>tc={2F2FB5BA-F30C-234E-9CD5-39E640382573}</author>
    <author>tc={729E9FB2-6AB7-2B4B-A8F5-C428049EEFD8}</author>
    <author>tc={B681D68A-1CB1-5244-B787-E29E84D6826B}</author>
  </authors>
  <commentList>
    <comment ref="C1" authorId="0" shapeId="0" xr:uid="{A0827666-069A-B841-8F8C-AC48B7A92F40}">
      <text>
        <r>
          <rPr>
            <b/>
            <sz val="10"/>
            <color rgb="FF000000"/>
            <rFont val="Calibri"/>
            <family val="2"/>
          </rPr>
          <t xml:space="preserve">Funktionstillæg og kvalifikationstillæg er normalt pensionsgivende.
</t>
        </r>
      </text>
    </comment>
    <comment ref="D1" authorId="0" shapeId="0" xr:uid="{FACBC222-340C-CC4C-BA37-A07227191701}">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86ACB585-17B4-1846-B32E-152D739BF0B7}">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6328DD3A-D0FA-AC43-A3B3-BC79F3576986}">
      <text>
        <r>
          <rPr>
            <sz val="10"/>
            <color rgb="FF000000"/>
            <rFont val="Calibri"/>
            <family val="2"/>
          </rPr>
          <t xml:space="preserve">Hvis ikke ansat hel mdr., definer her hvor mange dage ud af hel mdr.
</t>
        </r>
      </text>
    </comment>
    <comment ref="F4" authorId="0" shapeId="0" xr:uid="{EAAC7334-CECE-614C-B567-A0D121BCAAEB}">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FF8A589A-B09A-F843-90D3-E819896226D2}">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7CCA7282-381C-204F-AC4F-8A89D67C77D7}">
      <text>
        <r>
          <rPr>
            <sz val="10"/>
            <color rgb="FF000000"/>
            <rFont val="Calibri"/>
            <family val="2"/>
          </rPr>
          <t xml:space="preserve">Vælg "L" hvis lærernes pension eller P/E samt skalatrin.
</t>
        </r>
      </text>
    </comment>
    <comment ref="F6" authorId="0" shapeId="0" xr:uid="{D89A0339-0B5A-4E44-9169-13F1F5127D9C}">
      <text>
        <r>
          <rPr>
            <b/>
            <sz val="10"/>
            <color rgb="FF000000"/>
            <rFont val="Calibri"/>
            <family val="2"/>
          </rPr>
          <t xml:space="preserve">Indsæt ny reguleringsprocent pr. 1. oktober 2021 og 1. april 2022.
</t>
        </r>
      </text>
    </comment>
    <comment ref="J6" authorId="2" shapeId="0" xr:uid="{11E92B90-00FF-D342-92C0-E1F99AF70E53}">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CBB01D01-2021-8447-80CB-645F676C7CC0}">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4A8D693E-E50C-AB49-A994-12A8BB466B51}">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3D2EE7ED-210B-FE44-A7F3-58C84E81A077}">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1B4FA9E4-DDEA-F443-BBE2-02199562C989}">
      <text>
        <r>
          <rPr>
            <sz val="10"/>
            <color rgb="FF000000"/>
            <rFont val="Calibri"/>
            <family val="2"/>
          </rPr>
          <t xml:space="preserve"> Vælg skolens stedtillægsområde
</t>
        </r>
        <r>
          <rPr>
            <sz val="10"/>
            <color rgb="FF000000"/>
            <rFont val="Calibri"/>
            <family val="2"/>
          </rPr>
          <t xml:space="preserve">
</t>
        </r>
      </text>
    </comment>
    <comment ref="G7" authorId="3" shapeId="0" xr:uid="{C8482B9F-ADAA-2F4B-97C8-DDC48A1730ED}">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0CCB0391-D504-C840-B497-2418E3E3805C}">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2469B255-E03B-0147-94E4-FCD1164A334E}">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1603CB52-0650-1A4F-86C4-9EE67213DEBA}">
      <text>
        <r>
          <rPr>
            <b/>
            <sz val="8"/>
            <color rgb="FF000000"/>
            <rFont val="Calibri"/>
            <family val="2"/>
          </rPr>
          <t>Beskæftigelsesgrad anføres med 1 for 100%. Ændres bg. I løbet af året, tastes ny bg. I den mdr. ændringen sker.</t>
        </r>
      </text>
    </comment>
    <comment ref="F11" authorId="2" shapeId="0" xr:uid="{4890129D-7A74-104E-8098-1167D5BE61DD}">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A9BBC501-89A9-3544-ACE6-B73814B9E4DA}">
      <text>
        <r>
          <rPr>
            <b/>
            <sz val="10"/>
            <color rgb="FF000000"/>
            <rFont val="Calibri"/>
            <family val="2"/>
          </rPr>
          <t>Altid årlig uv-timetal. Hvis ansat mindre end et skoleår, da opregnes timerne til en fuld årsnorm.</t>
        </r>
      </text>
    </comment>
    <comment ref="F14" authorId="0" shapeId="0" xr:uid="{41E5FD20-702E-424E-93AA-9C19FA3AACEC}">
      <text>
        <r>
          <rPr>
            <b/>
            <sz val="10"/>
            <color rgb="FF000000"/>
            <rFont val="Calibri"/>
            <family val="2"/>
          </rPr>
          <t xml:space="preserve">Oplys i årlig grundbeløb 12.
</t>
        </r>
      </text>
    </comment>
    <comment ref="F15" authorId="0" shapeId="0" xr:uid="{3CD316BB-93DD-9442-9806-FA16D6E60D84}">
      <text>
        <r>
          <rPr>
            <b/>
            <sz val="10"/>
            <color rgb="FF000000"/>
            <rFont val="Calibri"/>
            <family val="2"/>
          </rPr>
          <t>Oplys i årlig grundbeløb 12.</t>
        </r>
        <r>
          <rPr>
            <sz val="10"/>
            <color rgb="FF000000"/>
            <rFont val="Calibri"/>
            <family val="2"/>
          </rPr>
          <t xml:space="preserve">
</t>
        </r>
      </text>
    </comment>
    <comment ref="F16" authorId="0" shapeId="0" xr:uid="{61537994-3F73-A145-8F0E-D5E56E72BC5D}">
      <text>
        <r>
          <rPr>
            <b/>
            <sz val="10"/>
            <color rgb="FF000000"/>
            <rFont val="Calibri"/>
            <family val="2"/>
          </rPr>
          <t>Oplys i årlig grundbeløb 12.</t>
        </r>
        <r>
          <rPr>
            <sz val="10"/>
            <color rgb="FF000000"/>
            <rFont val="Calibri"/>
            <family val="2"/>
          </rPr>
          <t xml:space="preserve">
</t>
        </r>
      </text>
    </comment>
    <comment ref="F17" authorId="0" shapeId="0" xr:uid="{696218BC-DA0B-4546-9FFA-713F611D5E5E}">
      <text>
        <r>
          <rPr>
            <b/>
            <sz val="10"/>
            <color rgb="FF000000"/>
            <rFont val="Calibri"/>
            <family val="2"/>
          </rPr>
          <t>Oplys i årlig grundbeløb 12.</t>
        </r>
        <r>
          <rPr>
            <sz val="10"/>
            <color rgb="FF000000"/>
            <rFont val="Calibri"/>
            <family val="2"/>
          </rPr>
          <t xml:space="preserve">
</t>
        </r>
      </text>
    </comment>
    <comment ref="F18" authorId="0" shapeId="0" xr:uid="{7248E530-2E60-3A47-B225-197B56A8B62C}">
      <text>
        <r>
          <rPr>
            <b/>
            <sz val="10"/>
            <color rgb="FF000000"/>
            <rFont val="Calibri"/>
            <family val="2"/>
          </rPr>
          <t>Oplys i årlig grundbeløb 12.</t>
        </r>
      </text>
    </comment>
    <comment ref="F19" authorId="0" shapeId="0" xr:uid="{E577E776-4085-3C43-ABB1-AFAA772BD9AB}">
      <text>
        <r>
          <rPr>
            <b/>
            <sz val="10"/>
            <color rgb="FF000000"/>
            <rFont val="Calibri"/>
            <family val="2"/>
          </rPr>
          <t>Oplys i årlig grundbeløb 12.</t>
        </r>
        <r>
          <rPr>
            <sz val="10"/>
            <color rgb="FF000000"/>
            <rFont val="Calibri"/>
            <family val="2"/>
          </rPr>
          <t xml:space="preserve">
</t>
        </r>
      </text>
    </comment>
    <comment ref="F20" authorId="0" shapeId="0" xr:uid="{C9C3817D-1689-F54A-977F-7B8224381543}">
      <text>
        <r>
          <rPr>
            <sz val="9"/>
            <color rgb="FF000000"/>
            <rFont val="Calibri"/>
            <family val="2"/>
          </rPr>
          <t xml:space="preserve">Kun for lærere der var ansat på skolen marts 2013 og som på det tidspunkt havde mere end 12 års anciennitet.
</t>
        </r>
      </text>
    </comment>
    <comment ref="F21" authorId="0" shapeId="0" xr:uid="{AE8859A5-CE50-9B4E-BB2F-7A9ADA1CA4C0}">
      <text>
        <r>
          <rPr>
            <b/>
            <sz val="10"/>
            <color rgb="FF000000"/>
            <rFont val="Calibri"/>
            <family val="2"/>
          </rPr>
          <t xml:space="preserve">Tillæg beregnet da lønsystemet overgik fra skalaløn til basisløn. </t>
        </r>
      </text>
    </comment>
    <comment ref="F22" authorId="0" shapeId="0" xr:uid="{8C9A7706-C421-7745-B59F-26CCD19D3149}">
      <text>
        <r>
          <rPr>
            <b/>
            <sz val="10"/>
            <color rgb="FF000000"/>
            <rFont val="Calibri"/>
            <family val="2"/>
          </rPr>
          <t>For medlemmer i efterlønskassen. Er der for decentrale lønaftaler aftalt sup.pension?</t>
        </r>
      </text>
    </comment>
    <comment ref="F23" authorId="0" shapeId="0" xr:uid="{7F8BEC94-61DD-964A-B1EF-82AADD177DED}">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15C9A68C-09AD-BD45-B4B4-6CED6CC6DAA6}">
      <text>
        <r>
          <rPr>
            <b/>
            <sz val="10"/>
            <color rgb="FF000000"/>
            <rFont val="Calibri"/>
            <family val="2"/>
          </rPr>
          <t>Følges organisationsaftalens ferieregler afvikles der ferie i de to førse hverdage i august, 5 dages ferie i uge 42, og de sidste 18 hverdage i juli.</t>
        </r>
      </text>
    </comment>
    <comment ref="F25" authorId="0" shapeId="0" xr:uid="{87C1F332-2E71-224D-941F-D59FCE090ACF}">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F7B7CE0D-573E-2D43-96BA-6E49B497EF87}">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673145C9-F6E3-D644-B648-A9159912D546}">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230AB3F7-58DB-8345-9A35-B4629606814B}">
      <text>
        <r>
          <rPr>
            <b/>
            <sz val="10"/>
            <color rgb="FF000000"/>
            <rFont val="Calibri"/>
            <family val="2"/>
          </rPr>
          <t>Oplys antal selvbetalte fridage.</t>
        </r>
      </text>
    </comment>
    <comment ref="F29" authorId="0" shapeId="0" xr:uid="{89B47E33-3A56-5C4E-8B04-793483FC0C85}">
      <text>
        <r>
          <rPr>
            <b/>
            <sz val="10"/>
            <color rgb="FF000000"/>
            <rFont val="Calibri"/>
            <family val="2"/>
          </rPr>
          <t>Bemærk: Evt. ny skatteprocent januar mdr.</t>
        </r>
      </text>
    </comment>
    <comment ref="L29" authorId="5" shapeId="0" xr:uid="{8C07B0B3-4FC2-6647-8FE6-3F726EA43FC9}">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2F2FB5BA-F30C-234E-9CD5-39E640382573}">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0FCD35C7-02CD-8D48-8C50-9AE509B389CA}">
      <text>
        <r>
          <rPr>
            <b/>
            <sz val="10"/>
            <color rgb="FF000000"/>
            <rFont val="Calibri"/>
            <family val="2"/>
          </rPr>
          <t xml:space="preserve">Bemærk: Evt. nyt skattefradrag januar mdr. </t>
        </r>
      </text>
    </comment>
    <comment ref="L30" authorId="7" shapeId="0" xr:uid="{729E9FB2-6AB7-2B4B-A8F5-C428049EEFD8}">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B681D68A-1CB1-5244-B787-E29E84D6826B}">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A8D26A80-C9FF-5C4E-A665-ADAFCE7D0946}">
      <text>
        <r>
          <rPr>
            <b/>
            <sz val="10"/>
            <color rgb="FF000000"/>
            <rFont val="Calibri"/>
            <family val="2"/>
          </rPr>
          <t>Tast selv taksten når de nye satser offentliggøres. Se løntabel og følg med i skolenyt.</t>
        </r>
      </text>
    </comment>
    <comment ref="F31" authorId="0" shapeId="0" xr:uid="{122165D4-7807-F64E-BF21-5AD7452452C3}">
      <text>
        <r>
          <rPr>
            <b/>
            <sz val="10"/>
            <color rgb="FF000000"/>
            <rFont val="Calibri"/>
            <family val="2"/>
          </rPr>
          <t>Bef. godtgøres normalt med den lave takst, med mindre der ved den enkelte ansatte er underskrevet et bemyndigelsesbrev.</t>
        </r>
      </text>
    </comment>
    <comment ref="E32" authorId="0" shapeId="0" xr:uid="{61ECFA62-54DB-7046-9B03-C3E636B58971}">
      <text>
        <r>
          <rPr>
            <b/>
            <sz val="10"/>
            <color rgb="FF000000"/>
            <rFont val="Calibri"/>
            <family val="2"/>
          </rPr>
          <t xml:space="preserve">Tast selv taksten når de nye satser offentliggøres. Se løntabel og følg med i skolenyt.
</t>
        </r>
      </text>
    </comment>
    <comment ref="F32" authorId="0" shapeId="0" xr:uid="{87AB9F61-25C3-9043-AED1-6ADC44287A2D}">
      <text>
        <r>
          <rPr>
            <b/>
            <sz val="10"/>
            <color rgb="FF000000"/>
            <rFont val="Calibri"/>
            <family val="2"/>
          </rPr>
          <t>Må kun udmøntes efter den høje sats såfremt der foreligger et bemyndigelsesbrev.</t>
        </r>
      </text>
    </comment>
    <comment ref="F33" authorId="0" shapeId="0" xr:uid="{3C4F13EF-E4B9-5949-8690-11826A89544C}">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BADE61E5-C197-6244-AB4E-F19D15B5D993}">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2F945BBD-7BCB-0E49-B22E-C940B05C43D9}">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8F161EF0-4766-9A40-A898-A7253BECDE60}">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0B9A7A25-5C80-194A-8513-B01BC244550B}">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CF26D9E6-554D-0F48-AFD9-80E74AB499D2}">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594490FA-6A6D-DA46-A44E-9CE8A8DDB4CA}">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AFDAF820-FA80-5845-B789-5B613794A6B9}">
      <text>
        <r>
          <rPr>
            <b/>
            <sz val="10"/>
            <color rgb="FF000000"/>
            <rFont val="Calibri"/>
            <family val="2"/>
          </rPr>
          <t>Er weekendtimerne ikke indregnet i årsnormen og skal udbetales oplyses her antal timer.</t>
        </r>
      </text>
    </comment>
    <comment ref="F41" authorId="0" shapeId="0" xr:uid="{D61C8B71-3357-8D4A-9047-E7D47FA28BB2}">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96111DD7-4A18-AB4B-A9B9-84779AA9B4FF}">
      <text>
        <r>
          <rPr>
            <b/>
            <sz val="10"/>
            <color rgb="FF000000"/>
            <rFont val="Calibri"/>
            <family val="2"/>
          </rPr>
          <t>Udregn selv og indtast beløb for mer/overtidsbetaling. Benyt evt. Friskolernes  nettotimelønsberegner.</t>
        </r>
      </text>
    </comment>
    <comment ref="F43" authorId="0" shapeId="0" xr:uid="{768EC20A-65D0-1B43-80BA-6A06AFDACB83}">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CBB94FF6-DE6B-8D43-AE30-AA540F426213}">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55ED3F0D-E5D2-194E-A2B1-28DDE6743988}">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0C4A5AB7-00C2-E540-B0D2-DFB05FA6BA42}">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8B053496-F3A9-AF47-8B3F-DC2B6DC7E4EA}">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9F779B42-629B-B94F-8A2C-F4A86B8B9429}">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057EEA1E-9D14-1A4A-A822-3784780E5776}">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76B85F6C-DD56-4849-BCBA-9B17CB9EEBAD}">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6E9D21DF-0D05-3C43-A931-6FBD7340D27E}">
      <text>
        <r>
          <rPr>
            <b/>
            <sz val="10"/>
            <color rgb="FF000000"/>
            <rFont val="Calibri"/>
            <family val="2"/>
          </rPr>
          <t>Beregn selv praktikvederlaget og oplys dette.</t>
        </r>
      </text>
    </comment>
    <comment ref="A117" authorId="2" shapeId="0" xr:uid="{C3FEC189-E691-5643-B4CB-BB448E8CA76C}">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52B06FAB-A5F0-AC4C-B2BB-19DEBFFEEE1E}">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tc={34E03818-BEC7-1E48-AD82-AED6FF200237}</author>
    <author>Tove Dohn</author>
    <author>tc={65170824-7992-3844-9DE5-B8F6EBC13CD6}</author>
    <author>tc={2D5EC190-13F8-5949-BF50-2DF8E400C4AB}</author>
    <author>tc={E779A26F-6081-5F49-B43C-D70821D84728}</author>
    <author>tc={94348447-A8A3-1340-98F8-921A92D1EA3E}</author>
    <author>tc={F73A49C0-5041-F64D-9FCA-970863D015B1}</author>
    <author>tc={C55FDFA5-4624-6744-B970-BF628BB92335}</author>
  </authors>
  <commentList>
    <comment ref="C1" authorId="0" shapeId="0" xr:uid="{5D3FB901-7056-1546-A4B1-AF7DAB90B90B}">
      <text>
        <r>
          <rPr>
            <b/>
            <sz val="10"/>
            <color rgb="FF000000"/>
            <rFont val="Calibri"/>
            <family val="2"/>
          </rPr>
          <t xml:space="preserve">Funktionstillæg og kvalifikationstillæg er normalt pensionsgivende.
</t>
        </r>
      </text>
    </comment>
    <comment ref="D1" authorId="0" shapeId="0" xr:uid="{588EF455-132A-8A4A-AE80-3653950453D7}">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E89EF8E7-6F58-9345-9568-CA4D6B2E27AA}">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F8EF1B84-5044-5D4B-B5FA-1A159E72E6CE}">
      <text>
        <r>
          <rPr>
            <sz val="10"/>
            <color rgb="FF000000"/>
            <rFont val="Calibri"/>
            <family val="2"/>
          </rPr>
          <t xml:space="preserve">Hvis ikke ansat hel mdr., definer her hvor mange dage ud af hel mdr.
</t>
        </r>
      </text>
    </comment>
    <comment ref="F4" authorId="0" shapeId="0" xr:uid="{22B9487C-F6EA-CC47-9DA8-98231537BC5D}">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34E03818-BEC7-1E48-AD82-AED6FF200237}">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5181AD12-33A6-F14B-BD4C-3B4DF9B893C7}">
      <text>
        <r>
          <rPr>
            <sz val="10"/>
            <color rgb="FF000000"/>
            <rFont val="Calibri"/>
            <family val="2"/>
          </rPr>
          <t xml:space="preserve">Vælg "L" hvis lærernes pension eller P/E samt skalatrin.
</t>
        </r>
      </text>
    </comment>
    <comment ref="F6" authorId="0" shapeId="0" xr:uid="{2A27522A-195C-564D-84F1-50081118191F}">
      <text>
        <r>
          <rPr>
            <b/>
            <sz val="10"/>
            <color rgb="FF000000"/>
            <rFont val="Calibri"/>
            <family val="2"/>
          </rPr>
          <t xml:space="preserve">Indsæt ny reguleringsprocent pr. 1. oktober 2021 og 1. april 2022.
</t>
        </r>
      </text>
    </comment>
    <comment ref="J6" authorId="2" shapeId="0" xr:uid="{873B2A1E-8132-064E-AB4F-47966CD00CA5}">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03A219DE-8430-F642-9D16-A9BBBCE4A0EE}">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99CC6DAC-830B-0041-BF41-4F7185D36D57}">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9A58FF74-37D0-B94B-8213-5539CF1C455E}">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E0F915DC-CC45-3D42-9FCF-B6A85F254A02}">
      <text>
        <r>
          <rPr>
            <sz val="10"/>
            <color rgb="FF000000"/>
            <rFont val="Calibri"/>
            <family val="2"/>
          </rPr>
          <t xml:space="preserve"> Vælg skolens stedtillægsområde
</t>
        </r>
        <r>
          <rPr>
            <sz val="10"/>
            <color rgb="FF000000"/>
            <rFont val="Calibri"/>
            <family val="2"/>
          </rPr>
          <t xml:space="preserve">
</t>
        </r>
      </text>
    </comment>
    <comment ref="G7" authorId="3" shapeId="0" xr:uid="{65170824-7992-3844-9DE5-B8F6EBC13CD6}">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2D5EC190-13F8-5949-BF50-2DF8E400C4AB}">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07786361-94A8-644A-AC3C-2DA9477343AA}">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CDA836B7-739B-B449-A7DD-F760769C6EBB}">
      <text>
        <r>
          <rPr>
            <b/>
            <sz val="8"/>
            <color rgb="FF000000"/>
            <rFont val="Calibri"/>
            <family val="2"/>
          </rPr>
          <t>Beskæftigelsesgrad anføres med 1 for 100%. Ændres bg. I løbet af året, tastes ny bg. I den mdr. ændringen sker.</t>
        </r>
      </text>
    </comment>
    <comment ref="F11" authorId="2" shapeId="0" xr:uid="{51DED54C-4A1F-F441-8D76-694835E80F90}">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D91AD0D6-11DB-FF4F-ABED-CEE033BC14E5}">
      <text>
        <r>
          <rPr>
            <b/>
            <sz val="10"/>
            <color rgb="FF000000"/>
            <rFont val="Calibri"/>
            <family val="2"/>
          </rPr>
          <t>Altid årlig uv-timetal. Hvis ansat mindre end et skoleår, da opregnes timerne til en fuld årsnorm.</t>
        </r>
      </text>
    </comment>
    <comment ref="F14" authorId="0" shapeId="0" xr:uid="{D919ECC7-3FC5-794D-8C71-2780EF0FC15E}">
      <text>
        <r>
          <rPr>
            <b/>
            <sz val="10"/>
            <color rgb="FF000000"/>
            <rFont val="Calibri"/>
            <family val="2"/>
          </rPr>
          <t xml:space="preserve">Oplys i årlig grundbeløb 12.
</t>
        </r>
      </text>
    </comment>
    <comment ref="F15" authorId="0" shapeId="0" xr:uid="{F8232193-AE05-9E4B-90F1-D8AE0B554C8B}">
      <text>
        <r>
          <rPr>
            <b/>
            <sz val="10"/>
            <color rgb="FF000000"/>
            <rFont val="Calibri"/>
            <family val="2"/>
          </rPr>
          <t>Oplys i årlig grundbeløb 12.</t>
        </r>
        <r>
          <rPr>
            <sz val="10"/>
            <color rgb="FF000000"/>
            <rFont val="Calibri"/>
            <family val="2"/>
          </rPr>
          <t xml:space="preserve">
</t>
        </r>
      </text>
    </comment>
    <comment ref="F16" authorId="0" shapeId="0" xr:uid="{E07FEFB8-BFAA-744C-86CD-E09A6E8CB94E}">
      <text>
        <r>
          <rPr>
            <b/>
            <sz val="10"/>
            <color rgb="FF000000"/>
            <rFont val="Calibri"/>
            <family val="2"/>
          </rPr>
          <t>Oplys i årlig grundbeløb 12.</t>
        </r>
        <r>
          <rPr>
            <sz val="10"/>
            <color rgb="FF000000"/>
            <rFont val="Calibri"/>
            <family val="2"/>
          </rPr>
          <t xml:space="preserve">
</t>
        </r>
      </text>
    </comment>
    <comment ref="F17" authorId="0" shapeId="0" xr:uid="{1A1CDB6D-D8DA-7548-9381-4BF8618C84FB}">
      <text>
        <r>
          <rPr>
            <b/>
            <sz val="10"/>
            <color rgb="FF000000"/>
            <rFont val="Calibri"/>
            <family val="2"/>
          </rPr>
          <t>Oplys i årlig grundbeløb 12.</t>
        </r>
        <r>
          <rPr>
            <sz val="10"/>
            <color rgb="FF000000"/>
            <rFont val="Calibri"/>
            <family val="2"/>
          </rPr>
          <t xml:space="preserve">
</t>
        </r>
      </text>
    </comment>
    <comment ref="F18" authorId="0" shapeId="0" xr:uid="{9D11E324-2921-B747-AEBB-DB270D32E8F1}">
      <text>
        <r>
          <rPr>
            <b/>
            <sz val="10"/>
            <color rgb="FF000000"/>
            <rFont val="Calibri"/>
            <family val="2"/>
          </rPr>
          <t>Oplys i årlig grundbeløb 12.</t>
        </r>
      </text>
    </comment>
    <comment ref="F19" authorId="0" shapeId="0" xr:uid="{0AC44D90-39D2-5642-BCEA-A51067276525}">
      <text>
        <r>
          <rPr>
            <b/>
            <sz val="10"/>
            <color rgb="FF000000"/>
            <rFont val="Calibri"/>
            <family val="2"/>
          </rPr>
          <t>Oplys i årlig grundbeløb 12.</t>
        </r>
        <r>
          <rPr>
            <sz val="10"/>
            <color rgb="FF000000"/>
            <rFont val="Calibri"/>
            <family val="2"/>
          </rPr>
          <t xml:space="preserve">
</t>
        </r>
      </text>
    </comment>
    <comment ref="F20" authorId="0" shapeId="0" xr:uid="{D5C20C60-69C9-1642-AA63-E4D62B6E4A3C}">
      <text>
        <r>
          <rPr>
            <sz val="9"/>
            <color rgb="FF000000"/>
            <rFont val="Calibri"/>
            <family val="2"/>
          </rPr>
          <t xml:space="preserve">Kun for lærere der var ansat på skolen marts 2013 og som på det tidspunkt havde mere end 12 års anciennitet.
</t>
        </r>
      </text>
    </comment>
    <comment ref="F21" authorId="0" shapeId="0" xr:uid="{48EE2D52-C5DC-B244-AF34-61259EDA36B9}">
      <text>
        <r>
          <rPr>
            <b/>
            <sz val="10"/>
            <color rgb="FF000000"/>
            <rFont val="Calibri"/>
            <family val="2"/>
          </rPr>
          <t xml:space="preserve">Tillæg beregnet da lønsystemet overgik fra skalaløn til basisløn. </t>
        </r>
      </text>
    </comment>
    <comment ref="F22" authorId="0" shapeId="0" xr:uid="{46223CCB-9C69-284A-A58C-0E026662E2DC}">
      <text>
        <r>
          <rPr>
            <b/>
            <sz val="10"/>
            <color rgb="FF000000"/>
            <rFont val="Calibri"/>
            <family val="2"/>
          </rPr>
          <t>For medlemmer i efterlønskassen. Er der for decentrale lønaftaler aftalt sup.pension?</t>
        </r>
      </text>
    </comment>
    <comment ref="F23" authorId="0" shapeId="0" xr:uid="{689ED05F-454E-6E47-A213-F6D72637043E}">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364F5674-AB27-6146-ACB5-33DB0E2286F3}">
      <text>
        <r>
          <rPr>
            <b/>
            <sz val="10"/>
            <color rgb="FF000000"/>
            <rFont val="Calibri"/>
            <family val="2"/>
          </rPr>
          <t>Følges organisationsaftalens ferieregler afvikles der ferie i de to førse hverdage i august, 5 dages ferie i uge 42, og de sidste 18 hverdage i juli.</t>
        </r>
      </text>
    </comment>
    <comment ref="F25" authorId="0" shapeId="0" xr:uid="{B0E61FB6-88D0-4848-B007-B083B1B0632C}">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CDE4E55E-8C2C-A84D-B2A8-51DA6B2BC803}">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A75612F0-AE03-D74E-A7D5-FF1353012399}">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70C8F8FA-A1B0-E14B-8583-C75D8650A481}">
      <text>
        <r>
          <rPr>
            <b/>
            <sz val="10"/>
            <color rgb="FF000000"/>
            <rFont val="Calibri"/>
            <family val="2"/>
          </rPr>
          <t>Oplys antal selvbetalte fridage.</t>
        </r>
      </text>
    </comment>
    <comment ref="F29" authorId="0" shapeId="0" xr:uid="{5550E27D-5E25-D14D-BB2C-DA0B98F9761A}">
      <text>
        <r>
          <rPr>
            <b/>
            <sz val="10"/>
            <color rgb="FF000000"/>
            <rFont val="Calibri"/>
            <family val="2"/>
          </rPr>
          <t>Bemærk: Evt. ny skatteprocent januar mdr.</t>
        </r>
      </text>
    </comment>
    <comment ref="L29" authorId="5" shapeId="0" xr:uid="{E779A26F-6081-5F49-B43C-D70821D84728}">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94348447-A8A3-1340-98F8-921A92D1EA3E}">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66C1E63B-2DC6-F14C-BEFA-2902811CAC91}">
      <text>
        <r>
          <rPr>
            <b/>
            <sz val="10"/>
            <color rgb="FF000000"/>
            <rFont val="Calibri"/>
            <family val="2"/>
          </rPr>
          <t xml:space="preserve">Bemærk: Evt. nyt skattefradrag januar mdr. </t>
        </r>
      </text>
    </comment>
    <comment ref="L30" authorId="7" shapeId="0" xr:uid="{F73A49C0-5041-F64D-9FCA-970863D015B1}">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C55FDFA5-4624-6744-B970-BF628BB92335}">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43956217-DD05-9E48-A608-A048992A2D5D}">
      <text>
        <r>
          <rPr>
            <b/>
            <sz val="10"/>
            <color rgb="FF000000"/>
            <rFont val="Calibri"/>
            <family val="2"/>
          </rPr>
          <t>Tast selv taksten når de nye satser offentliggøres. Se løntabel og følg med i skolenyt.</t>
        </r>
      </text>
    </comment>
    <comment ref="F31" authorId="0" shapeId="0" xr:uid="{A6F63994-8E1A-1A48-8D76-EADE261A42E5}">
      <text>
        <r>
          <rPr>
            <b/>
            <sz val="10"/>
            <color rgb="FF000000"/>
            <rFont val="Calibri"/>
            <family val="2"/>
          </rPr>
          <t>Bef. godtgøres normalt med den lave takst, med mindre der ved den enkelte ansatte er underskrevet et bemyndigelsesbrev.</t>
        </r>
      </text>
    </comment>
    <comment ref="E32" authorId="0" shapeId="0" xr:uid="{D0CCF521-0583-F046-A308-D7D77C034699}">
      <text>
        <r>
          <rPr>
            <b/>
            <sz val="10"/>
            <color rgb="FF000000"/>
            <rFont val="Calibri"/>
            <family val="2"/>
          </rPr>
          <t xml:space="preserve">Tast selv taksten når de nye satser offentliggøres. Se løntabel og følg med i skolenyt.
</t>
        </r>
      </text>
    </comment>
    <comment ref="F32" authorId="0" shapeId="0" xr:uid="{6F779F66-C6F7-1844-A558-FFB2D2CFCEEA}">
      <text>
        <r>
          <rPr>
            <b/>
            <sz val="10"/>
            <color rgb="FF000000"/>
            <rFont val="Calibri"/>
            <family val="2"/>
          </rPr>
          <t>Må kun udmøntes efter den høje sats såfremt der foreligger et bemyndigelsesbrev.</t>
        </r>
      </text>
    </comment>
    <comment ref="F33" authorId="0" shapeId="0" xr:uid="{9392346A-3472-0649-B6BF-BAF18CA29F76}">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F4848507-18E7-3943-95E4-30A2E90B42DB}">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EF4BEB14-3D8D-7842-8321-30DAB75C3089}">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4CE4ADDB-CCD1-AF4C-8537-CEAD88D7026F}">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CE3712D6-4542-B049-96BC-D0D7A6025DAB}">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EC1131CE-86D4-9E4F-A4F6-9FE687B9FF40}">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65E77A62-1938-214A-BB52-E50D2B767C75}">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8176D030-423A-8E42-A796-42769347E052}">
      <text>
        <r>
          <rPr>
            <b/>
            <sz val="10"/>
            <color rgb="FF000000"/>
            <rFont val="Calibri"/>
            <family val="2"/>
          </rPr>
          <t>Er weekendtimerne ikke indregnet i årsnormen og skal udbetales oplyses her antal timer.</t>
        </r>
      </text>
    </comment>
    <comment ref="F41" authorId="0" shapeId="0" xr:uid="{6EC652CD-7FE0-9B45-A47A-CD6857B271BE}">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5794D440-5EF2-484A-89A1-C758AAF4B5E8}">
      <text>
        <r>
          <rPr>
            <b/>
            <sz val="10"/>
            <color rgb="FF000000"/>
            <rFont val="Calibri"/>
            <family val="2"/>
          </rPr>
          <t>Udregn selv og indtast beløb for mer/overtidsbetaling. Benyt evt. Friskolernes  nettotimelønsberegner.</t>
        </r>
      </text>
    </comment>
    <comment ref="F43" authorId="0" shapeId="0" xr:uid="{16F9797D-E342-5146-A8DB-DD1019DC6AE0}">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72EE697F-7D1D-2E4C-870B-B9DE1F170529}">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2F5A4092-8736-D744-821D-20B1E426649C}">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F1EA7849-DBD7-CD4B-BFCF-54F70DEDCAAC}">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A1E97552-7B71-174B-BF26-707630C7F8D5}">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E699D7F7-D5ED-8A4F-9A25-7FDFF274FC20}">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7EFCD3A6-00A1-F147-9A52-5BA174D4681F}">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9D88D10F-6391-D24E-891D-763786B9B371}">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0D21E178-0344-2A40-8D42-4FF3AB579E65}">
      <text>
        <r>
          <rPr>
            <b/>
            <sz val="10"/>
            <color rgb="FF000000"/>
            <rFont val="Calibri"/>
            <family val="2"/>
          </rPr>
          <t>Beregn selv praktikvederlaget og oplys dette.</t>
        </r>
      </text>
    </comment>
    <comment ref="A117" authorId="2" shapeId="0" xr:uid="{172F1419-8948-314E-9AA8-18F6E7A7463F}">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E3EC77C4-9B23-6947-B5BC-382A6DEC3E79}">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Tove Dohn</author>
    <author>tc={BC219D39-7A6A-0441-A633-66444A34F2EB}</author>
    <author>tc={B74C4F5E-CC86-054E-8C70-D602F3A8EA26}</author>
    <author>tc={F1E3095C-D907-D749-AABE-CC7D3FBE04A9}</author>
    <author>Microsoft Office-bruger</author>
    <author>tc={3F9FAFBF-AAA9-4342-A57C-5513161DECD6}</author>
    <author>tc={77187DE2-7364-554E-B9EE-DBDD8C139F16}</author>
    <author>tc={EE250929-C458-274D-9F7C-7E5C3053D3CE}</author>
    <author>tc={B07E5B60-532C-184F-B024-F77FDB1394E2}</author>
  </authors>
  <commentList>
    <comment ref="B6" authorId="0" shapeId="0" xr:uid="{EA7DE963-FF1A-D646-BEE3-625062AB6756}">
      <text>
        <r>
          <rPr>
            <b/>
            <sz val="10"/>
            <color rgb="FF000000"/>
            <rFont val="Tahoma"/>
            <family val="2"/>
          </rPr>
          <t>Tove Dohn:</t>
        </r>
        <r>
          <rPr>
            <sz val="10"/>
            <color rgb="FF000000"/>
            <rFont val="Tahoma"/>
            <family val="2"/>
          </rPr>
          <t xml:space="preserve">
</t>
        </r>
        <r>
          <rPr>
            <sz val="10"/>
            <color rgb="FF000000"/>
            <rFont val="Tahoma"/>
            <family val="2"/>
          </rPr>
          <t>Ledere har fra det kalenderår de fylder 62 år, ret til en månedlig seniorbonus svarende til 0,8% af de fastpåregnelige løndele. Bonussen er pensionsgivende.</t>
        </r>
      </text>
    </comment>
    <comment ref="H8" authorId="0" shapeId="0" xr:uid="{C2526665-B263-AA4C-A8DD-5AD8EBAB3D07}">
      <text>
        <r>
          <rPr>
            <b/>
            <sz val="10"/>
            <color rgb="FF000000"/>
            <rFont val="Tahoma"/>
            <family val="2"/>
          </rPr>
          <t>Tove Dohn:</t>
        </r>
        <r>
          <rPr>
            <sz val="10"/>
            <color rgb="FF000000"/>
            <rFont val="Tahoma"/>
            <family val="2"/>
          </rPr>
          <t xml:space="preserve">
</t>
        </r>
        <r>
          <rPr>
            <sz val="10"/>
            <color rgb="FF000000"/>
            <rFont val="Tahoma"/>
            <family val="2"/>
          </rPr>
          <t>I OK24 er der aftalt en evt. reguleringsstigning pr. 1. november 2025. Læs herom i skolenyt og ret selv reguleringsprocenten i celle H8.</t>
        </r>
      </text>
    </comment>
    <comment ref="M8" authorId="0" shapeId="0" xr:uid="{9A2DEB4E-3354-AB45-B9CB-9FDED9563299}">
      <text>
        <r>
          <rPr>
            <b/>
            <sz val="10"/>
            <color rgb="FF000000"/>
            <rFont val="Tahoma"/>
            <family val="2"/>
          </rPr>
          <t>Tove Dohn:</t>
        </r>
        <r>
          <rPr>
            <sz val="10"/>
            <color rgb="FF000000"/>
            <rFont val="Tahoma"/>
            <family val="2"/>
          </rPr>
          <t xml:space="preserve">
</t>
        </r>
        <r>
          <rPr>
            <sz val="10"/>
            <color rgb="FF000000"/>
            <rFont val="Geneva"/>
            <family val="2"/>
            <charset val="1"/>
          </rPr>
          <t xml:space="preserve">Pr. 1. april 2026 træder OK26 i kraft. Hold øje med skolenyt og ret selv den gældende reguleringsprocent i celle M8.
</t>
        </r>
      </text>
    </comment>
    <comment ref="P13" authorId="1" shapeId="0" xr:uid="{00000000-0006-0000-1F00-000002000000}">
      <text>
        <t>[Trådet kommentar]
Din version af Excel lader dig læse denne trådede kommentar. Eventuelle ændringer vil dog blive fjernet, hvis filen åbnes i en nyere version af Excel. Få mere at vide: https://go.microsoft.com/fwlink/?linkid=870924
Kommentar:
    Bemærk der kun er 16,64 feriedage til afholdelse i perioden 1. maj 2020 - 31. august 2020. Dette pga. det forkortede optjeningsår 1. jan 2019 - 31. august 2019.</t>
      </text>
    </comment>
    <comment ref="J17" authorId="2" shapeId="0" xr:uid="{00000000-0006-0000-1F00-000003000000}">
      <text>
        <t>[Trådet kommentar]
Din version af Excel lader dig læse denne trådede kommentar. Eventuelle ændringer vil dog blive fjernet, hvis filen åbnes i en nyere version af Excel. Få mere at vide: https://go.microsoft.com/fwlink/?linkid=870924
Kommentar:
    Indtast her ny skatteprocent pr. 1. januar</t>
      </text>
    </comment>
    <comment ref="J18" authorId="3" shapeId="0" xr:uid="{00000000-0006-0000-1F00-000004000000}">
      <text>
        <t>[Trådet kommentar]
Din version af Excel lader dig læse denne trådede kommentar. Eventuelle ændringer vil dog blive fjernet, hvis filen åbnes i en nyere version af Excel. Få mere at vide: https://go.microsoft.com/fwlink/?linkid=870924
Kommentar:
    Indtast her nyt fradrag pr. 1. januar</t>
      </text>
    </comment>
    <comment ref="B19" authorId="4" shapeId="0" xr:uid="{00000000-0006-0000-1F00-000005000000}">
      <text>
        <r>
          <rPr>
            <b/>
            <sz val="10"/>
            <color rgb="FF000000"/>
            <rFont val="Calibri"/>
            <family val="2"/>
          </rPr>
          <t>Bef. godtgøres normalt med den lave takst, med mindre der ved den enkelte ansatte er underskrevet et bemyndigelsesbrev.</t>
        </r>
      </text>
    </comment>
    <comment ref="D19" authorId="5" shapeId="0" xr:uid="{00000000-0006-0000-1F00-000006000000}">
      <text>
        <t>[Trådet kommentar]
Din version af Excel lader dig læse denne trådede kommentar. Eventuelle ændringer vil dog blive fjernet, hvis filen åbnes i en nyere version af Excel. Få mere at vide: https://go.microsoft.com/fwlink/?linkid=870924
Kommentar:
    Indtast her ny sats for km.godtgørelse pr. 1. januar</t>
      </text>
    </comment>
    <comment ref="B20" authorId="4" shapeId="0" xr:uid="{00000000-0006-0000-1F00-000007000000}">
      <text>
        <r>
          <rPr>
            <b/>
            <sz val="10"/>
            <color rgb="FF000000"/>
            <rFont val="Calibri"/>
            <family val="2"/>
          </rPr>
          <t>Må kun udmøntes efter den høje sats såfremt der foreligger et bemyndigelsesbrev.</t>
        </r>
      </text>
    </comment>
    <comment ref="D20" authorId="6" shapeId="0" xr:uid="{00000000-0006-0000-1F00-000008000000}">
      <text>
        <t>[Trådet kommentar]
Din version af Excel lader dig læse denne trådede kommentar. Eventuelle ændringer vil dog blive fjernet, hvis filen åbnes i en nyere version af Excel. Få mere at vide: https://go.microsoft.com/fwlink/?linkid=870924
Kommentar:
    Indtast her ny sats for km. godtgørelse pr. 1. januar</t>
      </text>
    </comment>
    <comment ref="B25" authorId="4" shapeId="0" xr:uid="{00000000-0006-0000-1F00-000009000000}">
      <text>
        <r>
          <rPr>
            <b/>
            <sz val="10"/>
            <color rgb="FF000000"/>
            <rFont val="Calibri"/>
            <family val="2"/>
          </rPr>
          <t>Tast beløbet der skal udbetales(Nu kr.)</t>
        </r>
      </text>
    </comment>
    <comment ref="B26" authorId="4" shapeId="0" xr:uid="{00000000-0006-0000-1F00-00000A000000}">
      <text>
        <r>
          <rPr>
            <b/>
            <sz val="10"/>
            <color rgb="FF000000"/>
            <rFont val="Calibri"/>
            <family val="2"/>
          </rPr>
          <t>Indtast beløbet der skal udbtales(i nu kr).</t>
        </r>
      </text>
    </comment>
    <comment ref="C61" authorId="7" shapeId="0" xr:uid="{00000000-0006-0000-1F00-00000B000000}">
      <text>
        <t>[Trådet kommentar]
Din version af Excel lader dig læse denne trådede kommentar. Eventuelle ændringer vil dog blive fjernet, hvis filen åbnes i en nyere version af Excel. Få mere at vide: https://go.microsoft.com/fwlink/?linkid=870924
Kommentar:
    Indtast her den ferieberettiget løn for perioden juni og juli i det lige afsluttede skolår.</t>
      </text>
    </comment>
    <comment ref="C71" authorId="8" shapeId="0" xr:uid="{00000000-0006-0000-1F00-00000C000000}">
      <text>
        <t>[Trådet kommentar]
Din version af Excel lader dig læse denne trådede kommentar. Eventuelle ændringer vil dog blive fjernet, hvis filen åbnes i en nyere version af Excel. Få mere at vide: https://go.microsoft.com/fwlink/?linkid=870924
Kommentar:
    Indtast her feriepengeberegningsgrundlaget for perioden jan-juli. Grundlaget kan også aflæses i lønberegningsarket for sidste skoleår.</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Tove Dohn</author>
    <author>tc={3AFD5D28-0074-CC4E-992C-5F7A8B0C4054}</author>
    <author>tc={466BB08D-9AB2-504C-800E-2DBD26C41018}</author>
    <author>Microsoft Office-bruger</author>
    <author>tc={00D4F3E8-A94A-D647-84A4-E49FC9FB7D36}</author>
    <author>tc={A97FFC62-A69D-A744-87F7-7FDDDA4619B2}</author>
  </authors>
  <commentList>
    <comment ref="H6" authorId="0" shapeId="0" xr:uid="{B9A69724-A908-144B-B22E-87D270037C76}">
      <text>
        <r>
          <rPr>
            <b/>
            <sz val="10"/>
            <color rgb="FF000000"/>
            <rFont val="Tahoma"/>
            <family val="2"/>
          </rPr>
          <t>Tove Dohn:</t>
        </r>
        <r>
          <rPr>
            <sz val="10"/>
            <color rgb="FF000000"/>
            <rFont val="Tahoma"/>
            <family val="2"/>
          </rPr>
          <t xml:space="preserve">
</t>
        </r>
        <r>
          <rPr>
            <sz val="10"/>
            <color rgb="FF000000"/>
            <rFont val="Tahoma"/>
            <family val="2"/>
          </rPr>
          <t xml:space="preserve">I OK24 er der aftalt en evt. ændring af reguleringsprocenten. Hold øje med skolenyt og ret selv celle H6 med evt. ny gældnedende reguleringsprocent.
</t>
        </r>
      </text>
    </comment>
    <comment ref="M6" authorId="0" shapeId="0" xr:uid="{BF739E98-390F-0A46-9797-B08E50714AC3}">
      <text>
        <r>
          <rPr>
            <b/>
            <sz val="10"/>
            <color rgb="FF000000"/>
            <rFont val="Tahoma"/>
            <family val="2"/>
          </rPr>
          <t>Tove Dohn:</t>
        </r>
        <r>
          <rPr>
            <sz val="10"/>
            <color rgb="FF000000"/>
            <rFont val="Tahoma"/>
            <family val="2"/>
          </rPr>
          <t xml:space="preserve">
</t>
        </r>
        <r>
          <rPr>
            <sz val="10"/>
            <color rgb="FF000000"/>
            <rFont val="Geneva"/>
            <family val="2"/>
            <charset val="1"/>
          </rPr>
          <t>Pr. 1. april 2026 træder OK26 i kraft. Hold øje med skolenyt og tast selv den nye gældende reguleringsprocent i celle M6.</t>
        </r>
      </text>
    </comment>
    <comment ref="B7" authorId="0" shapeId="0" xr:uid="{AC2226D0-95A7-2B4E-B0F7-BFAEAEF0B96D}">
      <text>
        <r>
          <rPr>
            <b/>
            <sz val="10"/>
            <color rgb="FF000000"/>
            <rFont val="Tahoma"/>
            <family val="2"/>
          </rPr>
          <t>Tove Dohn:</t>
        </r>
        <r>
          <rPr>
            <sz val="10"/>
            <color rgb="FF000000"/>
            <rFont val="Tahoma"/>
            <family val="2"/>
          </rPr>
          <t xml:space="preserve">
</t>
        </r>
        <r>
          <rPr>
            <sz val="10"/>
            <color rgb="FF000000"/>
            <rFont val="Geneva"/>
            <family val="2"/>
          </rPr>
          <t>Øvrige ledere har fra det kalenderår de fylder 62 år, ret til en månedlig seniorbonus svarende til 0,8% af de fastpåregnelige løndele. Bonussen er pensionsgivende.</t>
        </r>
        <r>
          <rPr>
            <sz val="10"/>
            <color rgb="FF000000"/>
            <rFont val="Geneva"/>
            <family val="2"/>
          </rPr>
          <t xml:space="preserve">
</t>
        </r>
      </text>
    </comment>
    <comment ref="B11" authorId="1" shapeId="0" xr:uid="{00000000-0006-0000-2200-000002000000}">
      <text>
        <t>[Trådet kommentar]
Din version af Excel lader dig læse denne trådede kommentar. Eventuelle ændringer vil dog blive fjernet, hvis filen åbnes i en nyere version af Excel. Få mere at vide: https://go.microsoft.com/fwlink/?linkid=870924
Kommentar:
    Tillægget blev udregnet til mellemledere der pr. 1. januar 2019 var aflønnet med intervalløn. Tillægget er den daværende difference imellem intervallønnen og den nye basisløn som blev indført med den nye lederaftale 1. januar 2019.</t>
      </text>
    </comment>
    <comment ref="P14" authorId="2" shapeId="0" xr:uid="{00000000-0006-0000-2200-000003000000}">
      <text>
        <t>[Trådet kommentar]
Din version af Excel lader dig læse denne trådede kommentar. Eventuelle ændringer vil dog blive fjernet, hvis filen åbnes i en nyere version af Excel. Få mere at vide: https://go.microsoft.com/fwlink/?linkid=870924
Kommentar:
    Bemærk der kun er optjent 16,64 feriedage i det forkortede ferieår 1. januar 2019 - 31. august 2019</t>
      </text>
    </comment>
    <comment ref="B20" authorId="3" shapeId="0" xr:uid="{00000000-0006-0000-2200-000004000000}">
      <text>
        <r>
          <rPr>
            <b/>
            <sz val="10"/>
            <color rgb="FF000000"/>
            <rFont val="Calibri"/>
            <family val="2"/>
          </rPr>
          <t>Bef. godtgøres normalt med den lave takst, med mindre der ved den enkelte ansatte er underskrevet et bemyndigelsesbrev.</t>
        </r>
      </text>
    </comment>
    <comment ref="D20" authorId="4" shapeId="0" xr:uid="{00000000-0006-0000-2200-000005000000}">
      <text>
        <t>[Trådet kommentar]
Din version af Excel lader dig læse denne trådede kommentar. Eventuelle ændringer vil dog blive fjernet, hvis filen åbnes i en nyere version af Excel. Få mere at vide: https://go.microsoft.com/fwlink/?linkid=870924
Kommentar:
    Indtast her ny sats for km.godtgørelse pr. 1. januar</t>
      </text>
    </comment>
    <comment ref="B21" authorId="3" shapeId="0" xr:uid="{00000000-0006-0000-2200-000006000000}">
      <text>
        <r>
          <rPr>
            <b/>
            <sz val="10"/>
            <color rgb="FF000000"/>
            <rFont val="Calibri"/>
            <family val="2"/>
          </rPr>
          <t>Må kun udmøntes efter den høje sats såfremt der foreligger et bemyndigelsesbrev.</t>
        </r>
      </text>
    </comment>
    <comment ref="D21" authorId="5" shapeId="0" xr:uid="{00000000-0006-0000-2200-000007000000}">
      <text>
        <t>[Trådet kommentar]
Din version af Excel lader dig læse denne trådede kommentar. Eventuelle ændringer vil dog blive fjernet, hvis filen åbnes i en nyere version af Excel. Få mere at vide: https://go.microsoft.com/fwlink/?linkid=870924
Kommentar:
    Indtast her ny sats for km. godtgørelse pr. 1. januar</t>
      </text>
    </comment>
    <comment ref="B27" authorId="0" shapeId="0" xr:uid="{4367FFCB-55C5-BF40-9B72-C889E428617B}">
      <text>
        <r>
          <rPr>
            <b/>
            <sz val="10"/>
            <color rgb="FF000000"/>
            <rFont val="Tahoma"/>
            <family val="2"/>
          </rPr>
          <t>Tove Dohn:</t>
        </r>
        <r>
          <rPr>
            <sz val="10"/>
            <color rgb="FF000000"/>
            <rFont val="Tahoma"/>
            <family val="2"/>
          </rPr>
          <t xml:space="preserve">
</t>
        </r>
        <r>
          <rPr>
            <sz val="10"/>
            <color rgb="FF000000"/>
            <rFont val="Tahoma"/>
            <family val="2"/>
          </rPr>
          <t xml:space="preserve">Skriv det beløb der udbetales pr. mdr.
</t>
        </r>
      </text>
    </comment>
    <comment ref="C27" authorId="0" shapeId="0" xr:uid="{33EF90C4-9AD8-6D4C-B2DF-AE6CF70BE485}">
      <text>
        <r>
          <rPr>
            <b/>
            <sz val="10"/>
            <color rgb="FF000000"/>
            <rFont val="Tahoma"/>
            <family val="2"/>
          </rPr>
          <t>Tove Dohn:</t>
        </r>
        <r>
          <rPr>
            <sz val="10"/>
            <color rgb="FF000000"/>
            <rFont val="Tahoma"/>
            <family val="2"/>
          </rPr>
          <t xml:space="preserve">
</t>
        </r>
        <r>
          <rPr>
            <sz val="10"/>
            <color rgb="FF000000"/>
            <rFont val="Tahoma"/>
            <family val="2"/>
          </rPr>
          <t>Sæt "x" hvis tillægget er pensionsgivende</t>
        </r>
      </text>
    </comment>
    <comment ref="B28" authorId="0" shapeId="0" xr:uid="{7085D4ED-435E-7743-8D45-D5C6E46A470D}">
      <text>
        <r>
          <rPr>
            <b/>
            <sz val="10"/>
            <color rgb="FF000000"/>
            <rFont val="Tahoma"/>
            <family val="2"/>
          </rPr>
          <t>Tove Dohn:</t>
        </r>
        <r>
          <rPr>
            <sz val="10"/>
            <color rgb="FF000000"/>
            <rFont val="Tahoma"/>
            <family val="2"/>
          </rPr>
          <t xml:space="preserve">
</t>
        </r>
        <r>
          <rPr>
            <sz val="10"/>
            <color rgb="FF000000"/>
            <rFont val="Tahoma"/>
            <family val="2"/>
          </rPr>
          <t xml:space="preserve">Skriv det beløb der udbetales pr. mdr.
</t>
        </r>
      </text>
    </comment>
    <comment ref="C28" authorId="0" shapeId="0" xr:uid="{A5F3055B-9278-4A48-B03C-D8763F52A27A}">
      <text>
        <r>
          <rPr>
            <b/>
            <sz val="10"/>
            <color rgb="FF000000"/>
            <rFont val="Tahoma"/>
            <family val="2"/>
          </rPr>
          <t>Tove Dohn:</t>
        </r>
        <r>
          <rPr>
            <sz val="10"/>
            <color rgb="FF000000"/>
            <rFont val="Tahoma"/>
            <family val="2"/>
          </rPr>
          <t xml:space="preserve">
</t>
        </r>
        <r>
          <rPr>
            <sz val="10"/>
            <color rgb="FF000000"/>
            <rFont val="Tahoma"/>
            <family val="2"/>
          </rPr>
          <t>Sæt "X" hvis tillægget er pensionsgivende</t>
        </r>
      </text>
    </comment>
    <comment ref="C63" authorId="0" shapeId="0" xr:uid="{768FB7B8-DEA5-6945-9132-58475CF06BB8}">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den ferieberettiget løn for perioden juni og juli i det lige afsluttede skoleår.
</t>
        </r>
      </text>
    </comment>
    <comment ref="C73" authorId="0" shapeId="0" xr:uid="{28B888B7-7B26-854E-9109-0D7572E40204}">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jan-juli i det lige afsluttede skoleår.Grundlaget kan også aflæses i lønberegningsarket for det sidste skoleår.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tc={D7AD2A34-4904-334D-9B47-62E230041626}</author>
    <author>Tove Dohn</author>
    <author>tc={2563B399-27EF-1245-9F5B-5BBF3A5D3AF2}</author>
    <author>tc={DCF91D4B-BC0E-D145-8FA4-4A2E39D21064}</author>
    <author>tc={5034BCBB-19E1-454F-B40E-25BBAE0F4271}</author>
    <author>tc={6C3072EF-174D-334B-8924-C562B4BCB8E6}</author>
    <author>tc={2DEA3D5E-08A0-1340-9FD0-93F1F01DCECD}</author>
    <author>tc={29D853F1-2DC4-6949-A5DF-6C39218B886E}</author>
  </authors>
  <commentList>
    <comment ref="C1" authorId="0" shapeId="0" xr:uid="{00000000-0006-0000-0800-000001000000}">
      <text>
        <r>
          <rPr>
            <b/>
            <sz val="10"/>
            <color rgb="FF000000"/>
            <rFont val="Calibri"/>
            <family val="2"/>
          </rPr>
          <t xml:space="preserve">Funktionstillæg og kvalifikationstillæg er normalt pensionsgivende.
</t>
        </r>
      </text>
    </comment>
    <comment ref="D1" authorId="0" shapeId="0" xr:uid="{00000000-0006-0000-0800-000002000000}">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00000000-0006-0000-0800-000003000000}">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00000000-0006-0000-0800-000004000000}">
      <text>
        <r>
          <rPr>
            <sz val="10"/>
            <color rgb="FF000000"/>
            <rFont val="Calibri"/>
            <family val="2"/>
          </rPr>
          <t xml:space="preserve">Hvis ikke ansat hel mdr., definer her hvor mange dage ud af hel mdr.
</t>
        </r>
      </text>
    </comment>
    <comment ref="F4" authorId="0" shapeId="0" xr:uid="{00000000-0006-0000-0800-000005000000}">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D7AD2A34-4904-334D-9B47-62E230041626}">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00000000-0006-0000-0800-000006000000}">
      <text>
        <r>
          <rPr>
            <sz val="10"/>
            <color rgb="FF000000"/>
            <rFont val="Calibri"/>
            <family val="2"/>
          </rPr>
          <t xml:space="preserve">Vælg "L" hvis lærernes pension eller P/E samt skalatrin.
</t>
        </r>
      </text>
    </comment>
    <comment ref="F6" authorId="0" shapeId="0" xr:uid="{00000000-0006-0000-0800-000007000000}">
      <text>
        <r>
          <rPr>
            <b/>
            <sz val="10"/>
            <color rgb="FF000000"/>
            <rFont val="Calibri"/>
            <family val="2"/>
          </rPr>
          <t xml:space="preserve">Indsæt ny reguleringsprocent pr. 1. oktober 2021 og 1. april 2022.
</t>
        </r>
      </text>
    </comment>
    <comment ref="J6" authorId="2" shapeId="0" xr:uid="{448D7BBC-7770-3C41-8464-D6C831EF9850}">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6E3AA27B-0F22-1947-B702-5D13AF9BC296}">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C3D6F639-525E-5147-BAFD-BC19EDC8A22F}">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C186842A-4620-B248-8144-922AB25B8BCC}">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00000000-0006-0000-0800-000009000000}">
      <text>
        <r>
          <rPr>
            <sz val="10"/>
            <color rgb="FF000000"/>
            <rFont val="Calibri"/>
            <family val="2"/>
          </rPr>
          <t xml:space="preserve"> Vælg skolens stedtillægsområde
</t>
        </r>
        <r>
          <rPr>
            <sz val="10"/>
            <color rgb="FF000000"/>
            <rFont val="Calibri"/>
            <family val="2"/>
          </rPr>
          <t xml:space="preserve">
</t>
        </r>
      </text>
    </comment>
    <comment ref="G7" authorId="3" shapeId="0" xr:uid="{00000000-0006-0000-0800-00000A000000}">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DCF91D4B-BC0E-D145-8FA4-4A2E39D21064}">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1FEF0A97-E610-E947-A7FE-8E61A5757569}">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00000000-0006-0000-0800-00000B000000}">
      <text>
        <r>
          <rPr>
            <b/>
            <sz val="8"/>
            <color rgb="FF000000"/>
            <rFont val="Calibri"/>
            <family val="2"/>
          </rPr>
          <t>Beskæftigelsesgrad anføres med 1 for 100%. Ændres bg. I løbet af året, tastes ny bg. I den mdr. ændringen sker.</t>
        </r>
      </text>
    </comment>
    <comment ref="F11" authorId="2" shapeId="0" xr:uid="{240CDE2F-9D35-F247-9A34-70F03968EF2F}">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00000000-0006-0000-0800-00000C000000}">
      <text>
        <r>
          <rPr>
            <b/>
            <sz val="10"/>
            <color rgb="FF000000"/>
            <rFont val="Calibri"/>
            <family val="2"/>
          </rPr>
          <t>Altid årlig uv-timetal. Hvis ansat mindre end et skoleår, da opregnes timerne til en fuld årsnorm.</t>
        </r>
      </text>
    </comment>
    <comment ref="F14" authorId="0" shapeId="0" xr:uid="{00000000-0006-0000-0800-00000D000000}">
      <text>
        <r>
          <rPr>
            <b/>
            <sz val="10"/>
            <color rgb="FF000000"/>
            <rFont val="Calibri"/>
            <family val="2"/>
          </rPr>
          <t xml:space="preserve">Oplys i årlig grundbeløb 12.
</t>
        </r>
      </text>
    </comment>
    <comment ref="F15" authorId="0" shapeId="0" xr:uid="{00000000-0006-0000-0800-00000E000000}">
      <text>
        <r>
          <rPr>
            <b/>
            <sz val="10"/>
            <color rgb="FF000000"/>
            <rFont val="Calibri"/>
            <family val="2"/>
          </rPr>
          <t>Oplys i årlig grundbeløb 12.</t>
        </r>
        <r>
          <rPr>
            <sz val="10"/>
            <color rgb="FF000000"/>
            <rFont val="Calibri"/>
            <family val="2"/>
          </rPr>
          <t xml:space="preserve">
</t>
        </r>
      </text>
    </comment>
    <comment ref="F16" authorId="0" shapeId="0" xr:uid="{00000000-0006-0000-0800-00000F000000}">
      <text>
        <r>
          <rPr>
            <b/>
            <sz val="10"/>
            <color rgb="FF000000"/>
            <rFont val="Calibri"/>
            <family val="2"/>
          </rPr>
          <t>Oplys i årlig grundbeløb 12.</t>
        </r>
        <r>
          <rPr>
            <sz val="10"/>
            <color rgb="FF000000"/>
            <rFont val="Calibri"/>
            <family val="2"/>
          </rPr>
          <t xml:space="preserve">
</t>
        </r>
      </text>
    </comment>
    <comment ref="F17" authorId="0" shapeId="0" xr:uid="{00000000-0006-0000-0800-000010000000}">
      <text>
        <r>
          <rPr>
            <b/>
            <sz val="10"/>
            <color rgb="FF000000"/>
            <rFont val="Calibri"/>
            <family val="2"/>
          </rPr>
          <t>Oplys i årlig grundbeløb 12.</t>
        </r>
        <r>
          <rPr>
            <sz val="10"/>
            <color rgb="FF000000"/>
            <rFont val="Calibri"/>
            <family val="2"/>
          </rPr>
          <t xml:space="preserve">
</t>
        </r>
      </text>
    </comment>
    <comment ref="F18" authorId="0" shapeId="0" xr:uid="{00000000-0006-0000-0800-000011000000}">
      <text>
        <r>
          <rPr>
            <b/>
            <sz val="10"/>
            <color rgb="FF000000"/>
            <rFont val="Calibri"/>
            <family val="2"/>
          </rPr>
          <t>Oplys i årlig grundbeløb 12.</t>
        </r>
      </text>
    </comment>
    <comment ref="F19" authorId="0" shapeId="0" xr:uid="{00000000-0006-0000-0800-000012000000}">
      <text>
        <r>
          <rPr>
            <b/>
            <sz val="10"/>
            <color rgb="FF000000"/>
            <rFont val="Calibri"/>
            <family val="2"/>
          </rPr>
          <t>Oplys i årlig grundbeløb 12.</t>
        </r>
        <r>
          <rPr>
            <sz val="10"/>
            <color rgb="FF000000"/>
            <rFont val="Calibri"/>
            <family val="2"/>
          </rPr>
          <t xml:space="preserve">
</t>
        </r>
      </text>
    </comment>
    <comment ref="F20" authorId="0" shapeId="0" xr:uid="{00000000-0006-0000-0800-000013000000}">
      <text>
        <r>
          <rPr>
            <sz val="9"/>
            <color rgb="FF000000"/>
            <rFont val="Calibri"/>
            <family val="2"/>
          </rPr>
          <t xml:space="preserve">Kun for lærere der var ansat på skolen marts 2013 og som på det tidspunkt havde mere end 12 års anciennitet.
</t>
        </r>
      </text>
    </comment>
    <comment ref="F21" authorId="0" shapeId="0" xr:uid="{00000000-0006-0000-0800-000014000000}">
      <text>
        <r>
          <rPr>
            <b/>
            <sz val="10"/>
            <color rgb="FF000000"/>
            <rFont val="Calibri"/>
            <family val="2"/>
          </rPr>
          <t xml:space="preserve">Tillæg beregnet da lønsystemet overgik fra skalaløn til basisløn. </t>
        </r>
      </text>
    </comment>
    <comment ref="F22" authorId="0" shapeId="0" xr:uid="{00000000-0006-0000-0800-000015000000}">
      <text>
        <r>
          <rPr>
            <b/>
            <sz val="10"/>
            <color rgb="FF000000"/>
            <rFont val="Calibri"/>
            <family val="2"/>
          </rPr>
          <t>For medlemmer i efterlønskassen. Er der for decentrale lønaftaler aftalt sup.pension?</t>
        </r>
      </text>
    </comment>
    <comment ref="F23" authorId="0" shapeId="0" xr:uid="{00000000-0006-0000-0800-000016000000}">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00000000-0006-0000-0800-000017000000}">
      <text>
        <r>
          <rPr>
            <b/>
            <sz val="10"/>
            <color rgb="FF000000"/>
            <rFont val="Calibri"/>
            <family val="2"/>
          </rPr>
          <t>Følges organisationsaftalens ferieregler afvikles der ferie i de to førse hverdage i august, 5 dages ferie i uge 42, og de sidste 18 hverdage i juli.</t>
        </r>
      </text>
    </comment>
    <comment ref="F25" authorId="0" shapeId="0" xr:uid="{00000000-0006-0000-0800-000018000000}">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00000000-0006-0000-0800-000019000000}">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00000000-0006-0000-0800-00001A000000}">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00000000-0006-0000-0800-00001B000000}">
      <text>
        <r>
          <rPr>
            <b/>
            <sz val="10"/>
            <color rgb="FF000000"/>
            <rFont val="Calibri"/>
            <family val="2"/>
          </rPr>
          <t>Oplys antal selvbetalte fridage.</t>
        </r>
      </text>
    </comment>
    <comment ref="F29" authorId="0" shapeId="0" xr:uid="{00000000-0006-0000-0800-00001C000000}">
      <text>
        <r>
          <rPr>
            <b/>
            <sz val="10"/>
            <color rgb="FF000000"/>
            <rFont val="Calibri"/>
            <family val="2"/>
          </rPr>
          <t>Bemærk: Evt. ny skatteprocent januar mdr.</t>
        </r>
      </text>
    </comment>
    <comment ref="L29" authorId="5" shapeId="0" xr:uid="{00000000-0006-0000-0800-00001D000000}">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6C3072EF-174D-334B-8924-C562B4BCB8E6}">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00000000-0006-0000-0800-00001E000000}">
      <text>
        <r>
          <rPr>
            <b/>
            <sz val="10"/>
            <color rgb="FF000000"/>
            <rFont val="Calibri"/>
            <family val="2"/>
          </rPr>
          <t xml:space="preserve">Bemærk: Evt. nyt skattefradrag januar mdr. </t>
        </r>
      </text>
    </comment>
    <comment ref="L30" authorId="7" shapeId="0" xr:uid="{00000000-0006-0000-0800-00001F000000}">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29D853F1-2DC4-6949-A5DF-6C39218B886E}">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00000000-0006-0000-0800-000020000000}">
      <text>
        <r>
          <rPr>
            <b/>
            <sz val="10"/>
            <color rgb="FF000000"/>
            <rFont val="Calibri"/>
            <family val="2"/>
          </rPr>
          <t>Tast selv taksten når de nye satser offentliggøres. Se løntabel og følg med i skolenyt.</t>
        </r>
      </text>
    </comment>
    <comment ref="F31" authorId="0" shapeId="0" xr:uid="{00000000-0006-0000-0800-000021000000}">
      <text>
        <r>
          <rPr>
            <b/>
            <sz val="10"/>
            <color rgb="FF000000"/>
            <rFont val="Calibri"/>
            <family val="2"/>
          </rPr>
          <t>Bef. godtgøres normalt med den lave takst, med mindre der ved den enkelte ansatte er underskrevet et bemyndigelsesbrev.</t>
        </r>
      </text>
    </comment>
    <comment ref="E32" authorId="0" shapeId="0" xr:uid="{00000000-0006-0000-0800-000022000000}">
      <text>
        <r>
          <rPr>
            <b/>
            <sz val="10"/>
            <color rgb="FF000000"/>
            <rFont val="Calibri"/>
            <family val="2"/>
          </rPr>
          <t xml:space="preserve">Tast selv taksten når de nye satser offentliggøres. Se løntabel og følg med i skolenyt.
</t>
        </r>
      </text>
    </comment>
    <comment ref="F32" authorId="0" shapeId="0" xr:uid="{00000000-0006-0000-0800-000023000000}">
      <text>
        <r>
          <rPr>
            <b/>
            <sz val="10"/>
            <color rgb="FF000000"/>
            <rFont val="Calibri"/>
            <family val="2"/>
          </rPr>
          <t>Må kun udmøntes efter den høje sats såfremt der foreligger et bemyndigelsesbrev.</t>
        </r>
      </text>
    </comment>
    <comment ref="F33" authorId="0" shapeId="0" xr:uid="{00000000-0006-0000-0800-000024000000}">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00000000-0006-0000-0800-000025000000}">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00000000-0006-0000-0800-000026000000}">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C8A44A6C-46CB-904A-9D30-F306720A19F6}">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D907CEC1-FFF9-5948-8CE8-6CC3719457D5}">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00000000-0006-0000-0800-000027000000}">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00000000-0006-0000-0800-000028000000}">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00000000-0006-0000-0800-000029000000}">
      <text>
        <r>
          <rPr>
            <b/>
            <sz val="10"/>
            <color rgb="FF000000"/>
            <rFont val="Calibri"/>
            <family val="2"/>
          </rPr>
          <t>Er weekendtimerne ikke indregnet i årsnormen og skal udbetales oplyses her antal timer.</t>
        </r>
      </text>
    </comment>
    <comment ref="F41" authorId="0" shapeId="0" xr:uid="{114A03D3-5D7E-EA4B-8423-CC0E99ACE2CE}">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00000000-0006-0000-0800-00002A000000}">
      <text>
        <r>
          <rPr>
            <b/>
            <sz val="10"/>
            <color rgb="FF000000"/>
            <rFont val="Calibri"/>
            <family val="2"/>
          </rPr>
          <t>Udregn selv og indtast beløb for mer/overtidsbetaling. Benyt evt. Friskolernes  nettotimelønsberegner.</t>
        </r>
      </text>
    </comment>
    <comment ref="F43" authorId="0" shapeId="0" xr:uid="{00000000-0006-0000-0800-00002B000000}">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00000000-0006-0000-0800-00002C000000}">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660FDC77-0420-E94A-A4AD-3CCC7035A435}">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FB0CA36F-2007-8948-A050-7FAB2E53199C}">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3A3A1866-E873-F347-B2C1-D147977AB3C2}">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F5927CF3-ADE6-0A40-B1AB-EC3F15BF665B}">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00000000-0006-0000-0800-00002D000000}">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00000000-0006-0000-0800-00002E000000}">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00000000-0006-0000-0800-00002F000000}">
      <text>
        <r>
          <rPr>
            <b/>
            <sz val="10"/>
            <color rgb="FF000000"/>
            <rFont val="Calibri"/>
            <family val="2"/>
          </rPr>
          <t>Beregn selv praktikvederlaget og oplys dette.</t>
        </r>
      </text>
    </comment>
    <comment ref="A117" authorId="2" shapeId="0" xr:uid="{AA7538ED-22EC-7647-9C44-AC5742381F33}">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8E0846C1-642A-8349-8A3A-118B99B9001E}">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tc={E2964DDF-55D5-F94E-89DE-22915D2A6A5E}</author>
    <author>Tove Dohn</author>
    <author>tc={8B4E5A0D-9FDA-D046-A2D9-F42F6EAC504E}</author>
    <author>tc={556CD247-34E5-764A-9C9B-8247F6DD2CE3}</author>
    <author>tc={07F87323-C143-F64B-8E65-50F7513AF7F2}</author>
    <author>tc={2D576934-3602-D94B-8BAD-2E9C994C26F9}</author>
    <author>tc={545ACA37-329E-1E41-9CC8-7308AD93012E}</author>
    <author>tc={74521D63-6AE8-334C-9616-437B2A2BBEBC}</author>
  </authors>
  <commentList>
    <comment ref="C1" authorId="0" shapeId="0" xr:uid="{D8E7A094-46BF-5044-B384-D4955176CC67}">
      <text>
        <r>
          <rPr>
            <b/>
            <sz val="10"/>
            <color rgb="FF000000"/>
            <rFont val="Calibri"/>
            <family val="2"/>
          </rPr>
          <t xml:space="preserve">Funktionstillæg og kvalifikationstillæg er normalt pensionsgivende.
</t>
        </r>
      </text>
    </comment>
    <comment ref="D1" authorId="0" shapeId="0" xr:uid="{D75DC90B-741A-0F4E-9161-C19903982A94}">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744AAA63-2278-F94F-A681-5A349704BDC8}">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47332CE8-31C1-9040-810A-1D73CBEF08D4}">
      <text>
        <r>
          <rPr>
            <sz val="10"/>
            <color rgb="FF000000"/>
            <rFont val="Calibri"/>
            <family val="2"/>
          </rPr>
          <t xml:space="preserve">Hvis ikke ansat hel mdr., definer her hvor mange dage ud af hel mdr.
</t>
        </r>
      </text>
    </comment>
    <comment ref="F4" authorId="0" shapeId="0" xr:uid="{88B3A12A-2493-1F42-8253-C192013ADF99}">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E2964DDF-55D5-F94E-89DE-22915D2A6A5E}">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A1515A97-0480-D44A-A218-786DA96CBC2C}">
      <text>
        <r>
          <rPr>
            <sz val="10"/>
            <color rgb="FF000000"/>
            <rFont val="Calibri"/>
            <family val="2"/>
          </rPr>
          <t xml:space="preserve">Vælg "L" hvis lærernes pension eller P/E samt skalatrin.
</t>
        </r>
      </text>
    </comment>
    <comment ref="F6" authorId="0" shapeId="0" xr:uid="{DEF61265-3EDC-3047-AD35-E525E920FD26}">
      <text>
        <r>
          <rPr>
            <b/>
            <sz val="10"/>
            <color rgb="FF000000"/>
            <rFont val="Calibri"/>
            <family val="2"/>
          </rPr>
          <t xml:space="preserve">Indsæt ny reguleringsprocent pr. 1. oktober 2021 og 1. april 2022.
</t>
        </r>
      </text>
    </comment>
    <comment ref="J6" authorId="2" shapeId="0" xr:uid="{1E62EA58-3282-0842-B8E0-EFEA0F0F3F30}">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149DFED2-EEE6-EE40-A748-317724241AE7}">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2CAFC4B7-361F-9C43-ADEE-C8097A9125EE}">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28A3D7FD-B2F6-0B4B-80FE-65FF2486C8FE}">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19D61ED0-A5A7-F046-8CC6-4AFC71BFB491}">
      <text>
        <r>
          <rPr>
            <sz val="10"/>
            <color rgb="FF000000"/>
            <rFont val="Calibri"/>
            <family val="2"/>
          </rPr>
          <t xml:space="preserve"> Vælg skolens stedtillægsområde
</t>
        </r>
        <r>
          <rPr>
            <sz val="10"/>
            <color rgb="FF000000"/>
            <rFont val="Calibri"/>
            <family val="2"/>
          </rPr>
          <t xml:space="preserve">
</t>
        </r>
      </text>
    </comment>
    <comment ref="G7" authorId="3" shapeId="0" xr:uid="{8B4E5A0D-9FDA-D046-A2D9-F42F6EAC504E}">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556CD247-34E5-764A-9C9B-8247F6DD2CE3}">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BD1BCB7B-8B57-4E4C-8F6F-1A806458766F}">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5D9B6064-AEDC-FF45-BBF5-A398D1201009}">
      <text>
        <r>
          <rPr>
            <b/>
            <sz val="8"/>
            <color rgb="FF000000"/>
            <rFont val="Calibri"/>
            <family val="2"/>
          </rPr>
          <t>Beskæftigelsesgrad anføres med 1 for 100%. Ændres bg. I løbet af året, tastes ny bg. I den mdr. ændringen sker.</t>
        </r>
      </text>
    </comment>
    <comment ref="F11" authorId="2" shapeId="0" xr:uid="{6C41565D-D2EF-C944-B0C3-33A49269D927}">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53476990-C27C-D247-8096-84C1686000CC}">
      <text>
        <r>
          <rPr>
            <b/>
            <sz val="10"/>
            <color rgb="FF000000"/>
            <rFont val="Calibri"/>
            <family val="2"/>
          </rPr>
          <t>Altid årlig uv-timetal. Hvis ansat mindre end et skoleår, da opregnes timerne til en fuld årsnorm.</t>
        </r>
      </text>
    </comment>
    <comment ref="F14" authorId="0" shapeId="0" xr:uid="{9293423E-1D18-6E42-B7A3-5C1DE36718BD}">
      <text>
        <r>
          <rPr>
            <b/>
            <sz val="10"/>
            <color rgb="FF000000"/>
            <rFont val="Calibri"/>
            <family val="2"/>
          </rPr>
          <t xml:space="preserve">Oplys i årlig grundbeløb 12.
</t>
        </r>
      </text>
    </comment>
    <comment ref="F15" authorId="0" shapeId="0" xr:uid="{83C3E974-0F86-2A45-9B10-97F5F11FF361}">
      <text>
        <r>
          <rPr>
            <b/>
            <sz val="10"/>
            <color rgb="FF000000"/>
            <rFont val="Calibri"/>
            <family val="2"/>
          </rPr>
          <t>Oplys i årlig grundbeløb 12.</t>
        </r>
        <r>
          <rPr>
            <sz val="10"/>
            <color rgb="FF000000"/>
            <rFont val="Calibri"/>
            <family val="2"/>
          </rPr>
          <t xml:space="preserve">
</t>
        </r>
      </text>
    </comment>
    <comment ref="F16" authorId="0" shapeId="0" xr:uid="{B2F3A2E9-CCB9-B74E-8FF6-02B1ECD4D752}">
      <text>
        <r>
          <rPr>
            <b/>
            <sz val="10"/>
            <color rgb="FF000000"/>
            <rFont val="Calibri"/>
            <family val="2"/>
          </rPr>
          <t>Oplys i årlig grundbeløb 12.</t>
        </r>
        <r>
          <rPr>
            <sz val="10"/>
            <color rgb="FF000000"/>
            <rFont val="Calibri"/>
            <family val="2"/>
          </rPr>
          <t xml:space="preserve">
</t>
        </r>
      </text>
    </comment>
    <comment ref="F17" authorId="0" shapeId="0" xr:uid="{90560A69-4609-4F47-A057-76C1D986B86F}">
      <text>
        <r>
          <rPr>
            <b/>
            <sz val="10"/>
            <color rgb="FF000000"/>
            <rFont val="Calibri"/>
            <family val="2"/>
          </rPr>
          <t>Oplys i årlig grundbeløb 12.</t>
        </r>
        <r>
          <rPr>
            <sz val="10"/>
            <color rgb="FF000000"/>
            <rFont val="Calibri"/>
            <family val="2"/>
          </rPr>
          <t xml:space="preserve">
</t>
        </r>
      </text>
    </comment>
    <comment ref="F18" authorId="0" shapeId="0" xr:uid="{DA68B35F-E1B3-0942-99B8-68D1FF58D643}">
      <text>
        <r>
          <rPr>
            <b/>
            <sz val="10"/>
            <color rgb="FF000000"/>
            <rFont val="Calibri"/>
            <family val="2"/>
          </rPr>
          <t>Oplys i årlig grundbeløb 12.</t>
        </r>
      </text>
    </comment>
    <comment ref="F19" authorId="0" shapeId="0" xr:uid="{57333CEF-152E-D646-B7C1-13F207DC804F}">
      <text>
        <r>
          <rPr>
            <b/>
            <sz val="10"/>
            <color rgb="FF000000"/>
            <rFont val="Calibri"/>
            <family val="2"/>
          </rPr>
          <t>Oplys i årlig grundbeløb 12.</t>
        </r>
        <r>
          <rPr>
            <sz val="10"/>
            <color rgb="FF000000"/>
            <rFont val="Calibri"/>
            <family val="2"/>
          </rPr>
          <t xml:space="preserve">
</t>
        </r>
      </text>
    </comment>
    <comment ref="F20" authorId="0" shapeId="0" xr:uid="{AD5FA080-F1BC-734A-BC19-9C0AFE301373}">
      <text>
        <r>
          <rPr>
            <sz val="9"/>
            <color rgb="FF000000"/>
            <rFont val="Calibri"/>
            <family val="2"/>
          </rPr>
          <t xml:space="preserve">Kun for lærere der var ansat på skolen marts 2013 og som på det tidspunkt havde mere end 12 års anciennitet.
</t>
        </r>
      </text>
    </comment>
    <comment ref="F21" authorId="0" shapeId="0" xr:uid="{8D75C908-F83A-A04B-8102-0FF8D615A129}">
      <text>
        <r>
          <rPr>
            <b/>
            <sz val="10"/>
            <color rgb="FF000000"/>
            <rFont val="Calibri"/>
            <family val="2"/>
          </rPr>
          <t xml:space="preserve">Tillæg beregnet da lønsystemet overgik fra skalaløn til basisløn. </t>
        </r>
      </text>
    </comment>
    <comment ref="F22" authorId="0" shapeId="0" xr:uid="{323BDC17-1690-2340-B454-CC402530C461}">
      <text>
        <r>
          <rPr>
            <b/>
            <sz val="10"/>
            <color rgb="FF000000"/>
            <rFont val="Calibri"/>
            <family val="2"/>
          </rPr>
          <t>For medlemmer i efterlønskassen. Er der for decentrale lønaftaler aftalt sup.pension?</t>
        </r>
      </text>
    </comment>
    <comment ref="F23" authorId="0" shapeId="0" xr:uid="{D9EFD7C9-87A0-334B-8C7A-081A1AD312E1}">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746F40E1-42EB-D145-A5C9-064236A7432D}">
      <text>
        <r>
          <rPr>
            <b/>
            <sz val="10"/>
            <color rgb="FF000000"/>
            <rFont val="Calibri"/>
            <family val="2"/>
          </rPr>
          <t>Følges organisationsaftalens ferieregler afvikles der ferie i de to førse hverdage i august, 5 dages ferie i uge 42, og de sidste 18 hverdage i juli.</t>
        </r>
      </text>
    </comment>
    <comment ref="F25" authorId="0" shapeId="0" xr:uid="{83D6BB8E-6FC0-F54E-B0EA-F82D900E2AEF}">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39BCC3CB-901F-B14F-8405-33E1E4869E08}">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C0AA9695-934F-8549-A57A-FD9801BF9B0B}">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36DE9F41-55A2-014B-86BF-16CE83C31A5A}">
      <text>
        <r>
          <rPr>
            <b/>
            <sz val="10"/>
            <color rgb="FF000000"/>
            <rFont val="Calibri"/>
            <family val="2"/>
          </rPr>
          <t>Oplys antal selvbetalte fridage.</t>
        </r>
      </text>
    </comment>
    <comment ref="F29" authorId="0" shapeId="0" xr:uid="{F6F0E337-F65F-F545-9061-B8646031E058}">
      <text>
        <r>
          <rPr>
            <b/>
            <sz val="10"/>
            <color rgb="FF000000"/>
            <rFont val="Calibri"/>
            <family val="2"/>
          </rPr>
          <t>Bemærk: Evt. ny skatteprocent januar mdr.</t>
        </r>
      </text>
    </comment>
    <comment ref="L29" authorId="5" shapeId="0" xr:uid="{07F87323-C143-F64B-8E65-50F7513AF7F2}">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2D576934-3602-D94B-8BAD-2E9C994C26F9}">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429817BC-2902-9B4D-BD57-795CCCE07884}">
      <text>
        <r>
          <rPr>
            <b/>
            <sz val="10"/>
            <color rgb="FF000000"/>
            <rFont val="Calibri"/>
            <family val="2"/>
          </rPr>
          <t xml:space="preserve">Bemærk: Evt. nyt skattefradrag januar mdr. </t>
        </r>
      </text>
    </comment>
    <comment ref="L30" authorId="7" shapeId="0" xr:uid="{545ACA37-329E-1E41-9CC8-7308AD93012E}">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74521D63-6AE8-334C-9616-437B2A2BBEBC}">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6145AB6C-C117-DF4E-BCA5-932E9EC41031}">
      <text>
        <r>
          <rPr>
            <b/>
            <sz val="10"/>
            <color rgb="FF000000"/>
            <rFont val="Calibri"/>
            <family val="2"/>
          </rPr>
          <t>Tast selv taksten når de nye satser offentliggøres. Se løntabel og følg med i skolenyt.</t>
        </r>
      </text>
    </comment>
    <comment ref="F31" authorId="0" shapeId="0" xr:uid="{1A535189-8BA3-3844-A172-631845DD72E4}">
      <text>
        <r>
          <rPr>
            <b/>
            <sz val="10"/>
            <color rgb="FF000000"/>
            <rFont val="Calibri"/>
            <family val="2"/>
          </rPr>
          <t>Bef. godtgøres normalt med den lave takst, med mindre der ved den enkelte ansatte er underskrevet et bemyndigelsesbrev.</t>
        </r>
      </text>
    </comment>
    <comment ref="E32" authorId="0" shapeId="0" xr:uid="{7A6369B9-6DCA-6448-9B37-8BB794AFC36C}">
      <text>
        <r>
          <rPr>
            <b/>
            <sz val="10"/>
            <color rgb="FF000000"/>
            <rFont val="Calibri"/>
            <family val="2"/>
          </rPr>
          <t xml:space="preserve">Tast selv taksten når de nye satser offentliggøres. Se løntabel og følg med i skolenyt.
</t>
        </r>
      </text>
    </comment>
    <comment ref="F32" authorId="0" shapeId="0" xr:uid="{E080348A-0F89-F647-98E8-CA7CE496D959}">
      <text>
        <r>
          <rPr>
            <b/>
            <sz val="10"/>
            <color rgb="FF000000"/>
            <rFont val="Calibri"/>
            <family val="2"/>
          </rPr>
          <t>Må kun udmøntes efter den høje sats såfremt der foreligger et bemyndigelsesbrev.</t>
        </r>
      </text>
    </comment>
    <comment ref="F33" authorId="0" shapeId="0" xr:uid="{0F6B2743-546A-8349-87D3-21719BCF705D}">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AA64341E-F215-7643-8A48-6D2E820AF88D}">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34F7CC4B-C8C2-6B42-A0F4-895A0CC54993}">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9E08B093-E65C-8D4B-8570-3D7C05D775CE}">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BB876076-BB60-1C4A-8C54-9E0456B86118}">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8D2EE69F-4D0A-9048-AA7E-2BE0323EFB3D}">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610CA84B-E77D-7B40-92FF-CCE0E8DF5B76}">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47A56364-7919-F641-8056-0FB8B3600FF2}">
      <text>
        <r>
          <rPr>
            <b/>
            <sz val="10"/>
            <color rgb="FF000000"/>
            <rFont val="Calibri"/>
            <family val="2"/>
          </rPr>
          <t>Er weekendtimerne ikke indregnet i årsnormen og skal udbetales oplyses her antal timer.</t>
        </r>
      </text>
    </comment>
    <comment ref="F41" authorId="0" shapeId="0" xr:uid="{22D32237-1DFC-AA40-A60C-F7B1471ACE1B}">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AC9A1201-699F-A049-86E3-F60BB83602EB}">
      <text>
        <r>
          <rPr>
            <b/>
            <sz val="10"/>
            <color rgb="FF000000"/>
            <rFont val="Calibri"/>
            <family val="2"/>
          </rPr>
          <t>Udregn selv og indtast beløb for mer/overtidsbetaling. Benyt evt. Friskolernes  nettotimelønsberegner.</t>
        </r>
      </text>
    </comment>
    <comment ref="F43" authorId="0" shapeId="0" xr:uid="{4E8DB071-7164-444B-B4BD-221372DDA718}">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7EA3F345-4941-A94E-A742-1D507D70FF78}">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563BD633-B054-414E-B25E-E64B2FE47BF3}">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B32C6B21-CAB9-E94A-9EA4-99BA2BD5C934}">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5D9F1D1C-2CB4-504B-BA99-ED3218C7535F}">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E0972D7C-07B6-7349-B8F3-70ED7921E6A3}">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B79CF553-8903-BC4A-A8B8-049BFACEE0A7}">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90BB8F34-19ED-6C47-B6AA-86EA5C3B271B}">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41BE243E-B28F-3644-9C15-388C2D5F86F9}">
      <text>
        <r>
          <rPr>
            <b/>
            <sz val="10"/>
            <color rgb="FF000000"/>
            <rFont val="Calibri"/>
            <family val="2"/>
          </rPr>
          <t>Beregn selv praktikvederlaget og oplys dette.</t>
        </r>
      </text>
    </comment>
    <comment ref="A117" authorId="2" shapeId="0" xr:uid="{1B4EA118-BB1A-5540-A500-11D52E88D137}">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6A18B3E6-8EB8-174C-8EBC-DF628FCD8B3E}">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tc={1C9B0F54-C403-EF42-9DD8-B0D5A86C962A}</author>
    <author>Tove Dohn</author>
    <author>tc={079F2868-7915-7C4F-A3F8-7E904D012C58}</author>
    <author>tc={DA8BA326-7679-D44C-A6AD-5BA416CC953E}</author>
    <author>tc={B3F80CF3-46EB-4C47-A4BC-344F563BCD5D}</author>
    <author>tc={D36ECA00-684F-D54A-9491-8FDBF1965E05}</author>
    <author>tc={81C96E1A-9841-E740-AD2C-5A6E04496D21}</author>
    <author>tc={732BAB21-66FF-1240-B38D-EDED0D04635C}</author>
  </authors>
  <commentList>
    <comment ref="C1" authorId="0" shapeId="0" xr:uid="{D0FF8674-6566-BA4E-A311-A4AA91D54C5A}">
      <text>
        <r>
          <rPr>
            <b/>
            <sz val="10"/>
            <color rgb="FF000000"/>
            <rFont val="Calibri"/>
            <family val="2"/>
          </rPr>
          <t xml:space="preserve">Funktionstillæg og kvalifikationstillæg er normalt pensionsgivende.
</t>
        </r>
      </text>
    </comment>
    <comment ref="D1" authorId="0" shapeId="0" xr:uid="{BC06518A-AF58-E14F-966B-60DF91C40516}">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904BCAF6-3A98-DB49-8AEA-1BC55E4C309B}">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AA99B69B-B3EF-AB47-99DD-8029884BF4A9}">
      <text>
        <r>
          <rPr>
            <sz val="10"/>
            <color rgb="FF000000"/>
            <rFont val="Calibri"/>
            <family val="2"/>
          </rPr>
          <t xml:space="preserve">Hvis ikke ansat hel mdr., definer her hvor mange dage ud af hel mdr.
</t>
        </r>
      </text>
    </comment>
    <comment ref="F4" authorId="0" shapeId="0" xr:uid="{CB8963F7-9435-1A41-A4E4-E5DDAC87E993}">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1C9B0F54-C403-EF42-9DD8-B0D5A86C962A}">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7BCF4BC1-9B57-0343-8E09-EB7F84AB4318}">
      <text>
        <r>
          <rPr>
            <sz val="10"/>
            <color rgb="FF000000"/>
            <rFont val="Calibri"/>
            <family val="2"/>
          </rPr>
          <t xml:space="preserve">Vælg "L" hvis lærernes pension eller P/E samt skalatrin.
</t>
        </r>
      </text>
    </comment>
    <comment ref="F6" authorId="0" shapeId="0" xr:uid="{55B2EEB3-4790-A14C-AE3D-06006AF527E5}">
      <text>
        <r>
          <rPr>
            <b/>
            <sz val="10"/>
            <color rgb="FF000000"/>
            <rFont val="Calibri"/>
            <family val="2"/>
          </rPr>
          <t xml:space="preserve">Indsæt ny reguleringsprocent pr. 1. oktober 2021 og 1. april 2022.
</t>
        </r>
      </text>
    </comment>
    <comment ref="J6" authorId="2" shapeId="0" xr:uid="{CA768418-D3A0-BC40-9412-A6494A62EE67}">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D0A4079C-9B6E-7644-A9A3-7B8E2FFFCBE6}">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92848999-F5CF-D543-B638-09492F79B317}">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5B6689BE-CDE9-8449-9B6B-3886832D6EEB}">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B5838007-5973-374E-B065-47944FF8B349}">
      <text>
        <r>
          <rPr>
            <sz val="10"/>
            <color rgb="FF000000"/>
            <rFont val="Calibri"/>
            <family val="2"/>
          </rPr>
          <t xml:space="preserve"> Vælg skolens stedtillægsområde
</t>
        </r>
        <r>
          <rPr>
            <sz val="10"/>
            <color rgb="FF000000"/>
            <rFont val="Calibri"/>
            <family val="2"/>
          </rPr>
          <t xml:space="preserve">
</t>
        </r>
      </text>
    </comment>
    <comment ref="G7" authorId="3" shapeId="0" xr:uid="{079F2868-7915-7C4F-A3F8-7E904D012C58}">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DA8BA326-7679-D44C-A6AD-5BA416CC953E}">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3172BB03-5097-E040-B229-7F000F650287}">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90463C15-3BB1-754F-8119-DE8BF198196B}">
      <text>
        <r>
          <rPr>
            <b/>
            <sz val="8"/>
            <color rgb="FF000000"/>
            <rFont val="Calibri"/>
            <family val="2"/>
          </rPr>
          <t>Beskæftigelsesgrad anføres med 1 for 100%. Ændres bg. I løbet af året, tastes ny bg. I den mdr. ændringen sker.</t>
        </r>
      </text>
    </comment>
    <comment ref="F11" authorId="2" shapeId="0" xr:uid="{CFE52812-F6AD-604E-A46B-B13118C858A5}">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EBEB8A27-FB4B-714D-825B-9F125F606280}">
      <text>
        <r>
          <rPr>
            <b/>
            <sz val="10"/>
            <color rgb="FF000000"/>
            <rFont val="Calibri"/>
            <family val="2"/>
          </rPr>
          <t>Altid årlig uv-timetal. Hvis ansat mindre end et skoleår, da opregnes timerne til en fuld årsnorm.</t>
        </r>
      </text>
    </comment>
    <comment ref="F14" authorId="0" shapeId="0" xr:uid="{1832C9A7-A7C1-C049-AFF7-E0E62A1DB8EE}">
      <text>
        <r>
          <rPr>
            <b/>
            <sz val="10"/>
            <color rgb="FF000000"/>
            <rFont val="Calibri"/>
            <family val="2"/>
          </rPr>
          <t xml:space="preserve">Oplys i årlig grundbeløb 12.
</t>
        </r>
      </text>
    </comment>
    <comment ref="F15" authorId="0" shapeId="0" xr:uid="{EEB29F73-3F7B-AE45-ACBD-F174AA88192C}">
      <text>
        <r>
          <rPr>
            <b/>
            <sz val="10"/>
            <color rgb="FF000000"/>
            <rFont val="Calibri"/>
            <family val="2"/>
          </rPr>
          <t>Oplys i årlig grundbeløb 12.</t>
        </r>
        <r>
          <rPr>
            <sz val="10"/>
            <color rgb="FF000000"/>
            <rFont val="Calibri"/>
            <family val="2"/>
          </rPr>
          <t xml:space="preserve">
</t>
        </r>
      </text>
    </comment>
    <comment ref="F16" authorId="0" shapeId="0" xr:uid="{B3F7C15B-B2B6-CD45-A07F-22404A9E8CB3}">
      <text>
        <r>
          <rPr>
            <b/>
            <sz val="10"/>
            <color rgb="FF000000"/>
            <rFont val="Calibri"/>
            <family val="2"/>
          </rPr>
          <t>Oplys i årlig grundbeløb 12.</t>
        </r>
        <r>
          <rPr>
            <sz val="10"/>
            <color rgb="FF000000"/>
            <rFont val="Calibri"/>
            <family val="2"/>
          </rPr>
          <t xml:space="preserve">
</t>
        </r>
      </text>
    </comment>
    <comment ref="F17" authorId="0" shapeId="0" xr:uid="{C4BC58D4-BEA9-2044-9D2A-FE32E30129A3}">
      <text>
        <r>
          <rPr>
            <b/>
            <sz val="10"/>
            <color rgb="FF000000"/>
            <rFont val="Calibri"/>
            <family val="2"/>
          </rPr>
          <t>Oplys i årlig grundbeløb 12.</t>
        </r>
        <r>
          <rPr>
            <sz val="10"/>
            <color rgb="FF000000"/>
            <rFont val="Calibri"/>
            <family val="2"/>
          </rPr>
          <t xml:space="preserve">
</t>
        </r>
      </text>
    </comment>
    <comment ref="F18" authorId="0" shapeId="0" xr:uid="{D8E4BD6E-5963-E64B-B2BB-9D15970E9078}">
      <text>
        <r>
          <rPr>
            <b/>
            <sz val="10"/>
            <color rgb="FF000000"/>
            <rFont val="Calibri"/>
            <family val="2"/>
          </rPr>
          <t>Oplys i årlig grundbeløb 12.</t>
        </r>
      </text>
    </comment>
    <comment ref="F19" authorId="0" shapeId="0" xr:uid="{C3493FF1-3D6C-494B-B913-543EEA57A972}">
      <text>
        <r>
          <rPr>
            <b/>
            <sz val="10"/>
            <color rgb="FF000000"/>
            <rFont val="Calibri"/>
            <family val="2"/>
          </rPr>
          <t>Oplys i årlig grundbeløb 12.</t>
        </r>
        <r>
          <rPr>
            <sz val="10"/>
            <color rgb="FF000000"/>
            <rFont val="Calibri"/>
            <family val="2"/>
          </rPr>
          <t xml:space="preserve">
</t>
        </r>
      </text>
    </comment>
    <comment ref="F20" authorId="0" shapeId="0" xr:uid="{824078D8-BA95-F14B-AEAC-3AB9B01EC401}">
      <text>
        <r>
          <rPr>
            <sz val="9"/>
            <color rgb="FF000000"/>
            <rFont val="Calibri"/>
            <family val="2"/>
          </rPr>
          <t xml:space="preserve">Kun for lærere der var ansat på skolen marts 2013 og som på det tidspunkt havde mere end 12 års anciennitet.
</t>
        </r>
      </text>
    </comment>
    <comment ref="F21" authorId="0" shapeId="0" xr:uid="{59C4710D-54C4-DE4A-A216-685B9C8A1AD3}">
      <text>
        <r>
          <rPr>
            <b/>
            <sz val="10"/>
            <color rgb="FF000000"/>
            <rFont val="Calibri"/>
            <family val="2"/>
          </rPr>
          <t xml:space="preserve">Tillæg beregnet da lønsystemet overgik fra skalaløn til basisløn. </t>
        </r>
      </text>
    </comment>
    <comment ref="F22" authorId="0" shapeId="0" xr:uid="{94B31B09-7A4F-5B4C-817D-025C9F3E32A7}">
      <text>
        <r>
          <rPr>
            <b/>
            <sz val="10"/>
            <color rgb="FF000000"/>
            <rFont val="Calibri"/>
            <family val="2"/>
          </rPr>
          <t>For medlemmer i efterlønskassen. Er der for decentrale lønaftaler aftalt sup.pension?</t>
        </r>
      </text>
    </comment>
    <comment ref="F23" authorId="0" shapeId="0" xr:uid="{823F5AA6-6B02-3C40-806A-F3905BF88BCF}">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7ED99B1D-4945-CA43-A840-6C7DCFA22291}">
      <text>
        <r>
          <rPr>
            <b/>
            <sz val="10"/>
            <color rgb="FF000000"/>
            <rFont val="Calibri"/>
            <family val="2"/>
          </rPr>
          <t>Følges organisationsaftalens ferieregler afvikles der ferie i de to førse hverdage i august, 5 dages ferie i uge 42, og de sidste 18 hverdage i juli.</t>
        </r>
      </text>
    </comment>
    <comment ref="F25" authorId="0" shapeId="0" xr:uid="{694C4F52-D9D1-4049-A122-C3617C441BC4}">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8715F788-3CE1-0543-87B4-0291A2E945BC}">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61951B07-BEF1-8345-9C29-AB731958E70C}">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1ECCF738-BE00-0048-9AC5-BE6796B5089D}">
      <text>
        <r>
          <rPr>
            <b/>
            <sz val="10"/>
            <color rgb="FF000000"/>
            <rFont val="Calibri"/>
            <family val="2"/>
          </rPr>
          <t>Oplys antal selvbetalte fridage.</t>
        </r>
      </text>
    </comment>
    <comment ref="F29" authorId="0" shapeId="0" xr:uid="{E335B8A4-3006-CD41-8663-17255548EE65}">
      <text>
        <r>
          <rPr>
            <b/>
            <sz val="10"/>
            <color rgb="FF000000"/>
            <rFont val="Calibri"/>
            <family val="2"/>
          </rPr>
          <t>Bemærk: Evt. ny skatteprocent januar mdr.</t>
        </r>
      </text>
    </comment>
    <comment ref="L29" authorId="5" shapeId="0" xr:uid="{B3F80CF3-46EB-4C47-A4BC-344F563BCD5D}">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D36ECA00-684F-D54A-9491-8FDBF1965E05}">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DC46CBEE-2B40-8843-9318-67B779D893A0}">
      <text>
        <r>
          <rPr>
            <b/>
            <sz val="10"/>
            <color rgb="FF000000"/>
            <rFont val="Calibri"/>
            <family val="2"/>
          </rPr>
          <t xml:space="preserve">Bemærk: Evt. nyt skattefradrag januar mdr. </t>
        </r>
      </text>
    </comment>
    <comment ref="L30" authorId="7" shapeId="0" xr:uid="{81C96E1A-9841-E740-AD2C-5A6E04496D21}">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732BAB21-66FF-1240-B38D-EDED0D04635C}">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565D08D5-92F1-B240-AA4B-FAB2393BDC92}">
      <text>
        <r>
          <rPr>
            <b/>
            <sz val="10"/>
            <color rgb="FF000000"/>
            <rFont val="Calibri"/>
            <family val="2"/>
          </rPr>
          <t>Tast selv taksten når de nye satser offentliggøres. Se løntabel og følg med i skolenyt.</t>
        </r>
      </text>
    </comment>
    <comment ref="F31" authorId="0" shapeId="0" xr:uid="{9C8FB345-0923-2A4E-A18D-3BC45AD93F95}">
      <text>
        <r>
          <rPr>
            <b/>
            <sz val="10"/>
            <color rgb="FF000000"/>
            <rFont val="Calibri"/>
            <family val="2"/>
          </rPr>
          <t>Bef. godtgøres normalt med den lave takst, med mindre der ved den enkelte ansatte er underskrevet et bemyndigelsesbrev.</t>
        </r>
      </text>
    </comment>
    <comment ref="E32" authorId="0" shapeId="0" xr:uid="{F236BA65-F592-D544-8A00-AA5424DAFB4A}">
      <text>
        <r>
          <rPr>
            <b/>
            <sz val="10"/>
            <color rgb="FF000000"/>
            <rFont val="Calibri"/>
            <family val="2"/>
          </rPr>
          <t xml:space="preserve">Tast selv taksten når de nye satser offentliggøres. Se løntabel og følg med i skolenyt.
</t>
        </r>
      </text>
    </comment>
    <comment ref="F32" authorId="0" shapeId="0" xr:uid="{570C491A-898B-2E45-91F6-A6EDAC137CFB}">
      <text>
        <r>
          <rPr>
            <b/>
            <sz val="10"/>
            <color rgb="FF000000"/>
            <rFont val="Calibri"/>
            <family val="2"/>
          </rPr>
          <t>Må kun udmøntes efter den høje sats såfremt der foreligger et bemyndigelsesbrev.</t>
        </r>
      </text>
    </comment>
    <comment ref="F33" authorId="0" shapeId="0" xr:uid="{2DB024B8-7B98-AB41-8726-34EAF8FBFEDA}">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BB732DD1-8878-0B42-A14C-A4A890DD6A51}">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8CD7A17F-2B29-C842-AA9D-0CAEB9C4D900}">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B5E6CDA2-26AB-2344-8058-A943ACBC91EB}">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980C1131-4FA1-FF40-9A9C-02310B323A0E}">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783F254A-AAEC-9646-B3C2-C1A095AE1942}">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BA2EB69E-8CF8-C847-A8E4-A75FADBD99BB}">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CCAB567A-3295-DB4A-A0EF-EB22187B8379}">
      <text>
        <r>
          <rPr>
            <b/>
            <sz val="10"/>
            <color rgb="FF000000"/>
            <rFont val="Calibri"/>
            <family val="2"/>
          </rPr>
          <t>Er weekendtimerne ikke indregnet i årsnormen og skal udbetales oplyses her antal timer.</t>
        </r>
      </text>
    </comment>
    <comment ref="F41" authorId="0" shapeId="0" xr:uid="{3773EFD6-1274-5344-8185-06E72FF5FE73}">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60F8E4BC-678C-AD49-83A8-3A13D6AE94C1}">
      <text>
        <r>
          <rPr>
            <b/>
            <sz val="10"/>
            <color rgb="FF000000"/>
            <rFont val="Calibri"/>
            <family val="2"/>
          </rPr>
          <t>Udregn selv og indtast beløb for mer/overtidsbetaling. Benyt evt. Friskolernes  nettotimelønsberegner.</t>
        </r>
      </text>
    </comment>
    <comment ref="F43" authorId="0" shapeId="0" xr:uid="{426ADDBB-8303-1F49-974F-59E1FC334389}">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EBD3FC23-02E8-E545-AB6A-17050A10C356}">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06B70E67-420B-0A42-B687-DDC39255F372}">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AE072637-3BB7-C64A-B1B9-2A696E37959F}">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A088B05D-1A41-674E-9589-76EA1D7491D6}">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8432E433-DF03-FB4E-BE0F-EDCC49DD05F2}">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AF27B761-1A1B-5748-9596-66A137123663}">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872FCAC5-40E6-4E41-9589-751EFF212883}">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80CD1B4A-771B-4743-8494-027D59151901}">
      <text>
        <r>
          <rPr>
            <b/>
            <sz val="10"/>
            <color rgb="FF000000"/>
            <rFont val="Calibri"/>
            <family val="2"/>
          </rPr>
          <t>Beregn selv praktikvederlaget og oplys dette.</t>
        </r>
      </text>
    </comment>
    <comment ref="A117" authorId="2" shapeId="0" xr:uid="{17CEF95A-2BA9-674B-8EA3-74C47C1F6B9B}">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59B63BC7-9B02-9540-9D41-B548AD103DA0}">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tc={A81212A9-13E8-AE4F-AFA7-0D71995213E9}</author>
    <author>Tove Dohn</author>
    <author>tc={1A47A9FE-B5D1-974D-82F3-EF086CF3031A}</author>
    <author>tc={19A84F3D-21C1-2A4D-B527-56C22085E815}</author>
    <author>tc={C87DDF4D-967A-CB4C-817A-ACFD6C50AB65}</author>
    <author>tc={EC0E6FE0-9C27-454C-A981-86C1D0790446}</author>
    <author>tc={A0951AE9-40C9-3B46-921D-26FA42D0251F}</author>
    <author>tc={7D3C10DF-AFAA-4C47-BA9E-98AB6E414F6E}</author>
  </authors>
  <commentList>
    <comment ref="C1" authorId="0" shapeId="0" xr:uid="{1D0948DF-DD24-4241-8FC5-407D46CE74D7}">
      <text>
        <r>
          <rPr>
            <b/>
            <sz val="10"/>
            <color rgb="FF000000"/>
            <rFont val="Calibri"/>
            <family val="2"/>
          </rPr>
          <t xml:space="preserve">Funktionstillæg og kvalifikationstillæg er normalt pensionsgivende.
</t>
        </r>
      </text>
    </comment>
    <comment ref="D1" authorId="0" shapeId="0" xr:uid="{A6FCB8F5-8E67-F542-AF0B-461954DA0723}">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1DB753CD-B2D9-4A4C-93AF-D4B45B10508F}">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4DE7DFE6-EC5D-6C49-9EBE-6515BE874046}">
      <text>
        <r>
          <rPr>
            <sz val="10"/>
            <color rgb="FF000000"/>
            <rFont val="Calibri"/>
            <family val="2"/>
          </rPr>
          <t xml:space="preserve">Hvis ikke ansat hel mdr., definer her hvor mange dage ud af hel mdr.
</t>
        </r>
      </text>
    </comment>
    <comment ref="F4" authorId="0" shapeId="0" xr:uid="{C54D1EBC-A206-0D42-8440-D220A24D9E83}">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A81212A9-13E8-AE4F-AFA7-0D71995213E9}">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755745AF-4E1C-9C43-AB97-DB2003D4D3C1}">
      <text>
        <r>
          <rPr>
            <sz val="10"/>
            <color rgb="FF000000"/>
            <rFont val="Calibri"/>
            <family val="2"/>
          </rPr>
          <t xml:space="preserve">Vælg "L" hvis lærernes pension eller P/E samt skalatrin.
</t>
        </r>
      </text>
    </comment>
    <comment ref="F6" authorId="0" shapeId="0" xr:uid="{22C8A38C-BB60-284C-BD4B-5E0EF1BE9A0B}">
      <text>
        <r>
          <rPr>
            <b/>
            <sz val="10"/>
            <color rgb="FF000000"/>
            <rFont val="Calibri"/>
            <family val="2"/>
          </rPr>
          <t xml:space="preserve">Indsæt ny reguleringsprocent pr. 1. oktober 2021 og 1. april 2022.
</t>
        </r>
      </text>
    </comment>
    <comment ref="J6" authorId="2" shapeId="0" xr:uid="{00656384-249E-1F4B-8AEB-623D21186E1C}">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9DD09CF1-0E6D-1445-9C36-24D2CF321906}">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6862F6C3-A942-A445-8BFC-6799B101022D}">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5480598F-F074-4945-A2E0-49C26171471F}">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2BFEE82A-B56A-8A4F-A7C0-3594D15B4DC2}">
      <text>
        <r>
          <rPr>
            <sz val="10"/>
            <color rgb="FF000000"/>
            <rFont val="Calibri"/>
            <family val="2"/>
          </rPr>
          <t xml:space="preserve"> Vælg skolens stedtillægsområde
</t>
        </r>
        <r>
          <rPr>
            <sz val="10"/>
            <color rgb="FF000000"/>
            <rFont val="Calibri"/>
            <family val="2"/>
          </rPr>
          <t xml:space="preserve">
</t>
        </r>
      </text>
    </comment>
    <comment ref="G7" authorId="3" shapeId="0" xr:uid="{1A47A9FE-B5D1-974D-82F3-EF086CF3031A}">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19A84F3D-21C1-2A4D-B527-56C22085E815}">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0A754576-651D-ED4A-9C1A-A414C3D070CF}">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EBA70EE0-3C38-5B43-9D51-411595654DD0}">
      <text>
        <r>
          <rPr>
            <b/>
            <sz val="8"/>
            <color rgb="FF000000"/>
            <rFont val="Calibri"/>
            <family val="2"/>
          </rPr>
          <t>Beskæftigelsesgrad anføres med 1 for 100%. Ændres bg. I løbet af året, tastes ny bg. I den mdr. ændringen sker.</t>
        </r>
      </text>
    </comment>
    <comment ref="F11" authorId="2" shapeId="0" xr:uid="{D8A1A3CA-4468-5F4B-9611-E1CB248954A4}">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E0B24336-5195-554E-B302-D3ADB980FE99}">
      <text>
        <r>
          <rPr>
            <b/>
            <sz val="10"/>
            <color rgb="FF000000"/>
            <rFont val="Calibri"/>
            <family val="2"/>
          </rPr>
          <t>Altid årlig uv-timetal. Hvis ansat mindre end et skoleår, da opregnes timerne til en fuld årsnorm.</t>
        </r>
      </text>
    </comment>
    <comment ref="F14" authorId="0" shapeId="0" xr:uid="{A32CDCFD-012E-9F44-8ECD-CEEC3C174892}">
      <text>
        <r>
          <rPr>
            <b/>
            <sz val="10"/>
            <color rgb="FF000000"/>
            <rFont val="Calibri"/>
            <family val="2"/>
          </rPr>
          <t xml:space="preserve">Oplys i årlig grundbeløb 12.
</t>
        </r>
      </text>
    </comment>
    <comment ref="F15" authorId="0" shapeId="0" xr:uid="{9754F0EB-AC52-654A-A02C-1AF7FB0C509F}">
      <text>
        <r>
          <rPr>
            <b/>
            <sz val="10"/>
            <color rgb="FF000000"/>
            <rFont val="Calibri"/>
            <family val="2"/>
          </rPr>
          <t>Oplys i årlig grundbeløb 12.</t>
        </r>
        <r>
          <rPr>
            <sz val="10"/>
            <color rgb="FF000000"/>
            <rFont val="Calibri"/>
            <family val="2"/>
          </rPr>
          <t xml:space="preserve">
</t>
        </r>
      </text>
    </comment>
    <comment ref="F16" authorId="0" shapeId="0" xr:uid="{7A58074E-F350-EA40-9732-F42FE4F04F54}">
      <text>
        <r>
          <rPr>
            <b/>
            <sz val="10"/>
            <color rgb="FF000000"/>
            <rFont val="Calibri"/>
            <family val="2"/>
          </rPr>
          <t>Oplys i årlig grundbeløb 12.</t>
        </r>
        <r>
          <rPr>
            <sz val="10"/>
            <color rgb="FF000000"/>
            <rFont val="Calibri"/>
            <family val="2"/>
          </rPr>
          <t xml:space="preserve">
</t>
        </r>
      </text>
    </comment>
    <comment ref="F17" authorId="0" shapeId="0" xr:uid="{B0DE683A-02C3-3D46-98FE-6806D27F5BA1}">
      <text>
        <r>
          <rPr>
            <b/>
            <sz val="10"/>
            <color rgb="FF000000"/>
            <rFont val="Calibri"/>
            <family val="2"/>
          </rPr>
          <t>Oplys i årlig grundbeløb 12.</t>
        </r>
        <r>
          <rPr>
            <sz val="10"/>
            <color rgb="FF000000"/>
            <rFont val="Calibri"/>
            <family val="2"/>
          </rPr>
          <t xml:space="preserve">
</t>
        </r>
      </text>
    </comment>
    <comment ref="F18" authorId="0" shapeId="0" xr:uid="{99E8193F-C97A-5547-9880-8350FC33B0AC}">
      <text>
        <r>
          <rPr>
            <b/>
            <sz val="10"/>
            <color rgb="FF000000"/>
            <rFont val="Calibri"/>
            <family val="2"/>
          </rPr>
          <t>Oplys i årlig grundbeløb 12.</t>
        </r>
      </text>
    </comment>
    <comment ref="F19" authorId="0" shapeId="0" xr:uid="{4D8B05B6-BCBF-BE48-8AE8-C8B7088D924C}">
      <text>
        <r>
          <rPr>
            <b/>
            <sz val="10"/>
            <color rgb="FF000000"/>
            <rFont val="Calibri"/>
            <family val="2"/>
          </rPr>
          <t>Oplys i årlig grundbeløb 12.</t>
        </r>
        <r>
          <rPr>
            <sz val="10"/>
            <color rgb="FF000000"/>
            <rFont val="Calibri"/>
            <family val="2"/>
          </rPr>
          <t xml:space="preserve">
</t>
        </r>
      </text>
    </comment>
    <comment ref="F20" authorId="0" shapeId="0" xr:uid="{D9744F2A-F08E-9A44-B2B1-CB5E8E4973E4}">
      <text>
        <r>
          <rPr>
            <sz val="9"/>
            <color rgb="FF000000"/>
            <rFont val="Calibri"/>
            <family val="2"/>
          </rPr>
          <t xml:space="preserve">Kun for lærere der var ansat på skolen marts 2013 og som på det tidspunkt havde mere end 12 års anciennitet.
</t>
        </r>
      </text>
    </comment>
    <comment ref="F21" authorId="0" shapeId="0" xr:uid="{C3542893-66FB-E443-9AD9-FB4997BC1D64}">
      <text>
        <r>
          <rPr>
            <b/>
            <sz val="10"/>
            <color rgb="FF000000"/>
            <rFont val="Calibri"/>
            <family val="2"/>
          </rPr>
          <t xml:space="preserve">Tillæg beregnet da lønsystemet overgik fra skalaløn til basisløn. </t>
        </r>
      </text>
    </comment>
    <comment ref="F22" authorId="0" shapeId="0" xr:uid="{E207D4B8-E023-B747-84EB-A90B90921FAC}">
      <text>
        <r>
          <rPr>
            <b/>
            <sz val="10"/>
            <color rgb="FF000000"/>
            <rFont val="Calibri"/>
            <family val="2"/>
          </rPr>
          <t>For medlemmer i efterlønskassen. Er der for decentrale lønaftaler aftalt sup.pension?</t>
        </r>
      </text>
    </comment>
    <comment ref="F23" authorId="0" shapeId="0" xr:uid="{A40ABBAC-C812-854B-A095-4D2B5C2CF1CB}">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70D54A21-908C-6F46-B663-6D131B39BFF1}">
      <text>
        <r>
          <rPr>
            <b/>
            <sz val="10"/>
            <color rgb="FF000000"/>
            <rFont val="Calibri"/>
            <family val="2"/>
          </rPr>
          <t>Følges organisationsaftalens ferieregler afvikles der ferie i de to førse hverdage i august, 5 dages ferie i uge 42, og de sidste 18 hverdage i juli.</t>
        </r>
      </text>
    </comment>
    <comment ref="F25" authorId="0" shapeId="0" xr:uid="{C6F02C8D-33E4-B444-84A3-1ADEB7D59B33}">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C2C2E3D0-9363-FB47-8AFC-F83777202D77}">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71665D95-3E4C-6C4F-A674-19B50D7E1A3E}">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BF3CB8DF-6862-5548-B9C8-45E64CA7E90F}">
      <text>
        <r>
          <rPr>
            <b/>
            <sz val="10"/>
            <color rgb="FF000000"/>
            <rFont val="Calibri"/>
            <family val="2"/>
          </rPr>
          <t>Oplys antal selvbetalte fridage.</t>
        </r>
      </text>
    </comment>
    <comment ref="F29" authorId="0" shapeId="0" xr:uid="{8174A554-9FCA-984F-86CD-77115F205DF9}">
      <text>
        <r>
          <rPr>
            <b/>
            <sz val="10"/>
            <color rgb="FF000000"/>
            <rFont val="Calibri"/>
            <family val="2"/>
          </rPr>
          <t>Bemærk: Evt. ny skatteprocent januar mdr.</t>
        </r>
      </text>
    </comment>
    <comment ref="L29" authorId="5" shapeId="0" xr:uid="{C87DDF4D-967A-CB4C-817A-ACFD6C50AB65}">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EC0E6FE0-9C27-454C-A981-86C1D0790446}">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93A9B259-67B5-7547-81C5-01B3560C8428}">
      <text>
        <r>
          <rPr>
            <b/>
            <sz val="10"/>
            <color rgb="FF000000"/>
            <rFont val="Calibri"/>
            <family val="2"/>
          </rPr>
          <t xml:space="preserve">Bemærk: Evt. nyt skattefradrag januar mdr. </t>
        </r>
      </text>
    </comment>
    <comment ref="L30" authorId="7" shapeId="0" xr:uid="{A0951AE9-40C9-3B46-921D-26FA42D0251F}">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7D3C10DF-AFAA-4C47-BA9E-98AB6E414F6E}">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E592C330-F3FC-3147-9F56-18A931A09DBE}">
      <text>
        <r>
          <rPr>
            <b/>
            <sz val="10"/>
            <color rgb="FF000000"/>
            <rFont val="Calibri"/>
            <family val="2"/>
          </rPr>
          <t>Tast selv taksten når de nye satser offentliggøres. Se løntabel og følg med i skolenyt.</t>
        </r>
      </text>
    </comment>
    <comment ref="F31" authorId="0" shapeId="0" xr:uid="{A67262D7-6858-9A4F-B239-17C33A4DB0BD}">
      <text>
        <r>
          <rPr>
            <b/>
            <sz val="10"/>
            <color rgb="FF000000"/>
            <rFont val="Calibri"/>
            <family val="2"/>
          </rPr>
          <t>Bef. godtgøres normalt med den lave takst, med mindre der ved den enkelte ansatte er underskrevet et bemyndigelsesbrev.</t>
        </r>
      </text>
    </comment>
    <comment ref="E32" authorId="0" shapeId="0" xr:uid="{DE3FA672-7A7D-E84A-A1A6-6EDB78D041E4}">
      <text>
        <r>
          <rPr>
            <b/>
            <sz val="10"/>
            <color rgb="FF000000"/>
            <rFont val="Calibri"/>
            <family val="2"/>
          </rPr>
          <t xml:space="preserve">Tast selv taksten når de nye satser offentliggøres. Se løntabel og følg med i skolenyt.
</t>
        </r>
      </text>
    </comment>
    <comment ref="F32" authorId="0" shapeId="0" xr:uid="{F95555CF-4FF4-B04C-B5A1-9D79525D4361}">
      <text>
        <r>
          <rPr>
            <b/>
            <sz val="10"/>
            <color rgb="FF000000"/>
            <rFont val="Calibri"/>
            <family val="2"/>
          </rPr>
          <t>Må kun udmøntes efter den høje sats såfremt der foreligger et bemyndigelsesbrev.</t>
        </r>
      </text>
    </comment>
    <comment ref="F33" authorId="0" shapeId="0" xr:uid="{427795D6-D7D0-3841-AAF2-ECD342124550}">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EC391255-48A2-1E47-A7FB-783EBCBDA97D}">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679E23F7-CBC8-C848-8ED7-9A44F53E8F12}">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54F14FB8-B0EF-CA41-93C3-DEBAD32F5ECD}">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AF434A33-2F6D-A645-8846-627D44AA3BA4}">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7285F312-0D00-324E-884D-94ED01A02815}">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B2839968-2F6F-184B-917D-ADC72477F921}">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2B4326E7-8ACD-A148-ABBB-9B805A70287E}">
      <text>
        <r>
          <rPr>
            <b/>
            <sz val="10"/>
            <color rgb="FF000000"/>
            <rFont val="Calibri"/>
            <family val="2"/>
          </rPr>
          <t>Er weekendtimerne ikke indregnet i årsnormen og skal udbetales oplyses her antal timer.</t>
        </r>
      </text>
    </comment>
    <comment ref="F41" authorId="0" shapeId="0" xr:uid="{A3630A23-81B1-7E4A-B9FC-804AEA1ED0CE}">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F9CF1AC5-D692-974D-8DA4-DE0D9B2565C7}">
      <text>
        <r>
          <rPr>
            <b/>
            <sz val="10"/>
            <color rgb="FF000000"/>
            <rFont val="Calibri"/>
            <family val="2"/>
          </rPr>
          <t>Udregn selv og indtast beløb for mer/overtidsbetaling. Benyt evt. Friskolernes  nettotimelønsberegner.</t>
        </r>
      </text>
    </comment>
    <comment ref="F43" authorId="0" shapeId="0" xr:uid="{2810D78C-C30E-534F-8C0B-52FCD102A320}">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9F9AA61F-95FB-FF45-A9A1-62E3E245FE29}">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07BF8B4E-D658-8045-A53F-E8594933D925}">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1928DC4E-34F0-5047-BA5B-7BCF96B0CBB0}">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5477BF16-4495-F54C-97CE-77E2879989A8}">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93E2848F-F8C4-6048-B5D7-0365552BEDF5}">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43E0EB05-DC48-8A4A-BE24-6397D529ECA3}">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65C4B119-18E3-CB4C-B555-753E0EC57B47}">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0FFF8444-92BA-BD45-A3C3-91858CAFE96E}">
      <text>
        <r>
          <rPr>
            <b/>
            <sz val="10"/>
            <color rgb="FF000000"/>
            <rFont val="Calibri"/>
            <family val="2"/>
          </rPr>
          <t>Beregn selv praktikvederlaget og oplys dette.</t>
        </r>
      </text>
    </comment>
    <comment ref="A117" authorId="2" shapeId="0" xr:uid="{0B672F7D-C092-A847-A9F8-0F8A62273D11}">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9CBAA55B-8CF5-494D-BC5F-AD8695B3375A}">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tc={4917A5C9-CA98-D043-97DA-87AC5C697BA3}</author>
    <author>Tove Dohn</author>
    <author>tc={9F090795-F3CF-D14E-ADDA-377F19AEF484}</author>
    <author>tc={ECCDDB88-628A-1347-B657-09C2A5F28134}</author>
    <author>tc={FD1CCACB-9C01-5E45-B5AD-6396ABDB3C44}</author>
    <author>tc={23C30250-9F24-9846-B00C-33C01154F02A}</author>
    <author>tc={254A7484-708F-4848-AF88-8FEB87D81C77}</author>
    <author>tc={48720B89-CD51-7C41-93F6-09A3677DE8B2}</author>
  </authors>
  <commentList>
    <comment ref="C1" authorId="0" shapeId="0" xr:uid="{D28EBFDE-138A-B146-A5FC-CCDD4F467390}">
      <text>
        <r>
          <rPr>
            <b/>
            <sz val="10"/>
            <color rgb="FF000000"/>
            <rFont val="Calibri"/>
            <family val="2"/>
          </rPr>
          <t xml:space="preserve">Funktionstillæg og kvalifikationstillæg er normalt pensionsgivende.
</t>
        </r>
      </text>
    </comment>
    <comment ref="D1" authorId="0" shapeId="0" xr:uid="{39256BB2-4D1A-C445-9E36-5F1331980A57}">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2E16ED3B-B921-1248-80B9-15A81373309D}">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2DE57E79-927A-C048-B00B-138FC458052C}">
      <text>
        <r>
          <rPr>
            <sz val="10"/>
            <color rgb="FF000000"/>
            <rFont val="Calibri"/>
            <family val="2"/>
          </rPr>
          <t xml:space="preserve">Hvis ikke ansat hel mdr., definer her hvor mange dage ud af hel mdr.
</t>
        </r>
      </text>
    </comment>
    <comment ref="F4" authorId="0" shapeId="0" xr:uid="{349C3315-511A-E14B-805C-A5C24841E36E}">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4917A5C9-CA98-D043-97DA-87AC5C697BA3}">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C6B45E58-20E7-9547-AE7A-30F2DB68603A}">
      <text>
        <r>
          <rPr>
            <sz val="10"/>
            <color rgb="FF000000"/>
            <rFont val="Calibri"/>
            <family val="2"/>
          </rPr>
          <t xml:space="preserve">Vælg "L" hvis lærernes pension eller P/E samt skalatrin.
</t>
        </r>
      </text>
    </comment>
    <comment ref="F6" authorId="0" shapeId="0" xr:uid="{F48CFD43-F267-6141-9678-F29050EA7D70}">
      <text>
        <r>
          <rPr>
            <b/>
            <sz val="10"/>
            <color rgb="FF000000"/>
            <rFont val="Calibri"/>
            <family val="2"/>
          </rPr>
          <t xml:space="preserve">Indsæt ny reguleringsprocent pr. 1. oktober 2021 og 1. april 2022.
</t>
        </r>
      </text>
    </comment>
    <comment ref="J6" authorId="2" shapeId="0" xr:uid="{CFB40745-F204-4A46-ACC1-41128F42552D}">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56AC9F0A-17A5-F94B-BDE9-2D8DD7320D8C}">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B6244519-6E9D-FA4F-BC4F-DA156143FDFB}">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DD713A0E-C63D-7843-B116-B70D7C397559}">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303D7532-62FA-AE47-9523-1168085758C9}">
      <text>
        <r>
          <rPr>
            <sz val="10"/>
            <color rgb="FF000000"/>
            <rFont val="Calibri"/>
            <family val="2"/>
          </rPr>
          <t xml:space="preserve"> Vælg skolens stedtillægsområde
</t>
        </r>
        <r>
          <rPr>
            <sz val="10"/>
            <color rgb="FF000000"/>
            <rFont val="Calibri"/>
            <family val="2"/>
          </rPr>
          <t xml:space="preserve">
</t>
        </r>
      </text>
    </comment>
    <comment ref="G7" authorId="3" shapeId="0" xr:uid="{9F090795-F3CF-D14E-ADDA-377F19AEF484}">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ECCDDB88-628A-1347-B657-09C2A5F28134}">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BC3B0487-58F8-DE46-A2F5-C8EDCDCEBD7F}">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C1F50B4D-7EDF-CE4A-AC2B-A8014FC9D73B}">
      <text>
        <r>
          <rPr>
            <b/>
            <sz val="8"/>
            <color rgb="FF000000"/>
            <rFont val="Calibri"/>
            <family val="2"/>
          </rPr>
          <t>Beskæftigelsesgrad anføres med 1 for 100%. Ændres bg. I løbet af året, tastes ny bg. I den mdr. ændringen sker.</t>
        </r>
      </text>
    </comment>
    <comment ref="F11" authorId="2" shapeId="0" xr:uid="{47E4B3D9-43D6-C74E-9513-A1B6FAC028E9}">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1370314E-CD70-A146-A09E-A08D9B1ADD60}">
      <text>
        <r>
          <rPr>
            <b/>
            <sz val="10"/>
            <color rgb="FF000000"/>
            <rFont val="Calibri"/>
            <family val="2"/>
          </rPr>
          <t>Altid årlig uv-timetal. Hvis ansat mindre end et skoleår, da opregnes timerne til en fuld årsnorm.</t>
        </r>
      </text>
    </comment>
    <comment ref="F14" authorId="0" shapeId="0" xr:uid="{059B52A4-5DA3-594A-945F-30A38944ABD3}">
      <text>
        <r>
          <rPr>
            <b/>
            <sz val="10"/>
            <color rgb="FF000000"/>
            <rFont val="Calibri"/>
            <family val="2"/>
          </rPr>
          <t xml:space="preserve">Oplys i årlig grundbeløb 12.
</t>
        </r>
      </text>
    </comment>
    <comment ref="F15" authorId="0" shapeId="0" xr:uid="{0F315DBE-E205-B043-B670-01267A41F2ED}">
      <text>
        <r>
          <rPr>
            <b/>
            <sz val="10"/>
            <color rgb="FF000000"/>
            <rFont val="Calibri"/>
            <family val="2"/>
          </rPr>
          <t>Oplys i årlig grundbeløb 12.</t>
        </r>
        <r>
          <rPr>
            <sz val="10"/>
            <color rgb="FF000000"/>
            <rFont val="Calibri"/>
            <family val="2"/>
          </rPr>
          <t xml:space="preserve">
</t>
        </r>
      </text>
    </comment>
    <comment ref="F16" authorId="0" shapeId="0" xr:uid="{FA4575CC-0945-8341-A05E-3012CAA3B09D}">
      <text>
        <r>
          <rPr>
            <b/>
            <sz val="10"/>
            <color rgb="FF000000"/>
            <rFont val="Calibri"/>
            <family val="2"/>
          </rPr>
          <t>Oplys i årlig grundbeløb 12.</t>
        </r>
        <r>
          <rPr>
            <sz val="10"/>
            <color rgb="FF000000"/>
            <rFont val="Calibri"/>
            <family val="2"/>
          </rPr>
          <t xml:space="preserve">
</t>
        </r>
      </text>
    </comment>
    <comment ref="F17" authorId="0" shapeId="0" xr:uid="{BEF8C8A9-964B-6B49-B6A0-089A7568FE54}">
      <text>
        <r>
          <rPr>
            <b/>
            <sz val="10"/>
            <color rgb="FF000000"/>
            <rFont val="Calibri"/>
            <family val="2"/>
          </rPr>
          <t>Oplys i årlig grundbeløb 12.</t>
        </r>
        <r>
          <rPr>
            <sz val="10"/>
            <color rgb="FF000000"/>
            <rFont val="Calibri"/>
            <family val="2"/>
          </rPr>
          <t xml:space="preserve">
</t>
        </r>
      </text>
    </comment>
    <comment ref="F18" authorId="0" shapeId="0" xr:uid="{F98FCC4C-557D-7A46-B626-BCEE9AE65693}">
      <text>
        <r>
          <rPr>
            <b/>
            <sz val="10"/>
            <color rgb="FF000000"/>
            <rFont val="Calibri"/>
            <family val="2"/>
          </rPr>
          <t>Oplys i årlig grundbeløb 12.</t>
        </r>
      </text>
    </comment>
    <comment ref="F19" authorId="0" shapeId="0" xr:uid="{EC51D089-CB68-5545-8E18-39CBA538F9E9}">
      <text>
        <r>
          <rPr>
            <b/>
            <sz val="10"/>
            <color rgb="FF000000"/>
            <rFont val="Calibri"/>
            <family val="2"/>
          </rPr>
          <t>Oplys i årlig grundbeløb 12.</t>
        </r>
        <r>
          <rPr>
            <sz val="10"/>
            <color rgb="FF000000"/>
            <rFont val="Calibri"/>
            <family val="2"/>
          </rPr>
          <t xml:space="preserve">
</t>
        </r>
      </text>
    </comment>
    <comment ref="F20" authorId="0" shapeId="0" xr:uid="{C93E5B4B-DA84-B641-9F0A-8A993AACE565}">
      <text>
        <r>
          <rPr>
            <sz val="9"/>
            <color rgb="FF000000"/>
            <rFont val="Calibri"/>
            <family val="2"/>
          </rPr>
          <t xml:space="preserve">Kun for lærere der var ansat på skolen marts 2013 og som på det tidspunkt havde mere end 12 års anciennitet.
</t>
        </r>
      </text>
    </comment>
    <comment ref="F21" authorId="0" shapeId="0" xr:uid="{FF8BA684-D619-F040-8DE1-05804598D130}">
      <text>
        <r>
          <rPr>
            <b/>
            <sz val="10"/>
            <color rgb="FF000000"/>
            <rFont val="Calibri"/>
            <family val="2"/>
          </rPr>
          <t xml:space="preserve">Tillæg beregnet da lønsystemet overgik fra skalaløn til basisløn. </t>
        </r>
      </text>
    </comment>
    <comment ref="F22" authorId="0" shapeId="0" xr:uid="{8C93B798-431A-0B45-A137-FF5094A3B69A}">
      <text>
        <r>
          <rPr>
            <b/>
            <sz val="10"/>
            <color rgb="FF000000"/>
            <rFont val="Calibri"/>
            <family val="2"/>
          </rPr>
          <t>For medlemmer i efterlønskassen. Er der for decentrale lønaftaler aftalt sup.pension?</t>
        </r>
      </text>
    </comment>
    <comment ref="F23" authorId="0" shapeId="0" xr:uid="{10A5859A-CAB9-B84E-A53E-58EDA3E3BF50}">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129DB3DA-3B8B-C54F-AE08-564D33E9E69E}">
      <text>
        <r>
          <rPr>
            <b/>
            <sz val="10"/>
            <color rgb="FF000000"/>
            <rFont val="Calibri"/>
            <family val="2"/>
          </rPr>
          <t>Følges organisationsaftalens ferieregler afvikles der ferie i de to førse hverdage i august, 5 dages ferie i uge 42, og de sidste 18 hverdage i juli.</t>
        </r>
      </text>
    </comment>
    <comment ref="F25" authorId="0" shapeId="0" xr:uid="{1273D09A-533A-5F4F-B155-D1A39372D88F}">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BC2C4747-5EB0-034A-8FC9-E2C97C64B475}">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E4F2F131-4486-E648-BC4C-CFB6A9467749}">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F0010978-339E-2847-9463-075420AEBA81}">
      <text>
        <r>
          <rPr>
            <b/>
            <sz val="10"/>
            <color rgb="FF000000"/>
            <rFont val="Calibri"/>
            <family val="2"/>
          </rPr>
          <t>Oplys antal selvbetalte fridage.</t>
        </r>
      </text>
    </comment>
    <comment ref="F29" authorId="0" shapeId="0" xr:uid="{7DEF698E-FEAD-C34C-86FA-BB5C1B9E84C6}">
      <text>
        <r>
          <rPr>
            <b/>
            <sz val="10"/>
            <color rgb="FF000000"/>
            <rFont val="Calibri"/>
            <family val="2"/>
          </rPr>
          <t>Bemærk: Evt. ny skatteprocent januar mdr.</t>
        </r>
      </text>
    </comment>
    <comment ref="L29" authorId="5" shapeId="0" xr:uid="{FD1CCACB-9C01-5E45-B5AD-6396ABDB3C44}">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23C30250-9F24-9846-B00C-33C01154F02A}">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96EB0834-9A09-1743-A894-1F5F3D12A535}">
      <text>
        <r>
          <rPr>
            <b/>
            <sz val="10"/>
            <color rgb="FF000000"/>
            <rFont val="Calibri"/>
            <family val="2"/>
          </rPr>
          <t xml:space="preserve">Bemærk: Evt. nyt skattefradrag januar mdr. </t>
        </r>
      </text>
    </comment>
    <comment ref="L30" authorId="7" shapeId="0" xr:uid="{254A7484-708F-4848-AF88-8FEB87D81C77}">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48720B89-CD51-7C41-93F6-09A3677DE8B2}">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67E4E346-4205-0943-9F56-43A2C2DC97BF}">
      <text>
        <r>
          <rPr>
            <b/>
            <sz val="10"/>
            <color rgb="FF000000"/>
            <rFont val="Calibri"/>
            <family val="2"/>
          </rPr>
          <t>Tast selv taksten når de nye satser offentliggøres. Se løntabel og følg med i skolenyt.</t>
        </r>
      </text>
    </comment>
    <comment ref="F31" authorId="0" shapeId="0" xr:uid="{596FDD82-37C2-284A-97D5-54EA8FD69FF4}">
      <text>
        <r>
          <rPr>
            <b/>
            <sz val="10"/>
            <color rgb="FF000000"/>
            <rFont val="Calibri"/>
            <family val="2"/>
          </rPr>
          <t>Bef. godtgøres normalt med den lave takst, med mindre der ved den enkelte ansatte er underskrevet et bemyndigelsesbrev.</t>
        </r>
      </text>
    </comment>
    <comment ref="E32" authorId="0" shapeId="0" xr:uid="{65DF37E6-2AD3-9542-B608-F33538EAA2BA}">
      <text>
        <r>
          <rPr>
            <b/>
            <sz val="10"/>
            <color rgb="FF000000"/>
            <rFont val="Calibri"/>
            <family val="2"/>
          </rPr>
          <t xml:space="preserve">Tast selv taksten når de nye satser offentliggøres. Se løntabel og følg med i skolenyt.
</t>
        </r>
      </text>
    </comment>
    <comment ref="F32" authorId="0" shapeId="0" xr:uid="{82C7118E-308F-AF44-A8DC-41C7E4E37616}">
      <text>
        <r>
          <rPr>
            <b/>
            <sz val="10"/>
            <color rgb="FF000000"/>
            <rFont val="Calibri"/>
            <family val="2"/>
          </rPr>
          <t>Må kun udmøntes efter den høje sats såfremt der foreligger et bemyndigelsesbrev.</t>
        </r>
      </text>
    </comment>
    <comment ref="F33" authorId="0" shapeId="0" xr:uid="{838C73E1-B238-F845-8F55-A76871772110}">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59E11887-8B58-2941-B6B2-25C3A9D591A4}">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DE411E0A-5233-7B48-928A-20C2911BB80E}">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5ED39337-7CDC-9D41-8E1D-C3875557056A}">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386C9723-4BCB-C34D-AE6A-A2E0691AF092}">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FA7C14E2-2409-2A4F-A9DA-5C7078B7E075}">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8CD9282A-5B29-DD49-B384-6D82281408D6}">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7FDCDC6D-575B-DC4F-801D-727DB4ABA1BE}">
      <text>
        <r>
          <rPr>
            <b/>
            <sz val="10"/>
            <color rgb="FF000000"/>
            <rFont val="Calibri"/>
            <family val="2"/>
          </rPr>
          <t>Er weekendtimerne ikke indregnet i årsnormen og skal udbetales oplyses her antal timer.</t>
        </r>
      </text>
    </comment>
    <comment ref="F41" authorId="0" shapeId="0" xr:uid="{5116A3CF-4C38-A546-8567-240FDA2F6B1B}">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DCDE09F5-DDD5-A84F-9C66-3F9232A81E6C}">
      <text>
        <r>
          <rPr>
            <b/>
            <sz val="10"/>
            <color rgb="FF000000"/>
            <rFont val="Calibri"/>
            <family val="2"/>
          </rPr>
          <t>Udregn selv og indtast beløb for mer/overtidsbetaling. Benyt evt. Friskolernes  nettotimelønsberegner.</t>
        </r>
      </text>
    </comment>
    <comment ref="F43" authorId="0" shapeId="0" xr:uid="{3D98AFBA-34BC-314B-BCCB-1AFFFFE70E4A}">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BBB0F710-7558-F143-8490-8F900353AE86}">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0D4AFBFF-FF7D-3B47-B83C-A72AE0C33E7A}">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D8ACAF3B-B708-2747-808A-EEAE6C8DF2D0}">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3D57779D-4AFF-4448-A23D-FD6EFB3E0D60}">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8B4028F5-BEE1-DF46-8A3B-886A1201F2E5}">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CF20847D-F057-C94A-AF63-768AB6B1DFD0}">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51361087-7F6C-044F-BF14-2BC5A5830973}">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5ED7BD04-9B20-1E42-B967-8BB75F360ED0}">
      <text>
        <r>
          <rPr>
            <b/>
            <sz val="10"/>
            <color rgb="FF000000"/>
            <rFont val="Calibri"/>
            <family val="2"/>
          </rPr>
          <t>Beregn selv praktikvederlaget og oplys dette.</t>
        </r>
      </text>
    </comment>
    <comment ref="A117" authorId="2" shapeId="0" xr:uid="{2D5324F0-5DE0-A541-B0E0-5EC71C3C9AB5}">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6796BD73-8E1A-8747-AC22-115849F26917}">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tc={8232DE58-303B-DF42-ACE3-209A2BF735E8}</author>
    <author>Tove Dohn</author>
    <author>tc={55AE33F8-7F07-DB4D-B79C-81F99B542387}</author>
    <author>tc={18C9563B-FB0A-134C-9D3A-6E013176754D}</author>
    <author>tc={5632C05A-F98B-434B-8B92-757264A3DC2D}</author>
    <author>tc={390A2CBD-4E11-1641-9E68-46AC5A4CD690}</author>
    <author>tc={5456A199-A1DF-4444-B792-A17F77AD5C6B}</author>
    <author>tc={7FAB4843-BC08-6840-AE8D-31069BE90180}</author>
  </authors>
  <commentList>
    <comment ref="C1" authorId="0" shapeId="0" xr:uid="{8EFBF739-3264-2F42-ADFC-3AF15546F1E2}">
      <text>
        <r>
          <rPr>
            <b/>
            <sz val="10"/>
            <color rgb="FF000000"/>
            <rFont val="Calibri"/>
            <family val="2"/>
          </rPr>
          <t xml:space="preserve">Funktionstillæg og kvalifikationstillæg er normalt pensionsgivende.
</t>
        </r>
      </text>
    </comment>
    <comment ref="D1" authorId="0" shapeId="0" xr:uid="{66512846-CD64-284F-970C-010846B19FBE}">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7BD03351-43FF-6146-8CFF-BF240D621757}">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768E2DED-BB70-B846-BA24-11915E45EFB2}">
      <text>
        <r>
          <rPr>
            <sz val="10"/>
            <color rgb="FF000000"/>
            <rFont val="Calibri"/>
            <family val="2"/>
          </rPr>
          <t xml:space="preserve">Hvis ikke ansat hel mdr., definer her hvor mange dage ud af hel mdr.
</t>
        </r>
      </text>
    </comment>
    <comment ref="F4" authorId="0" shapeId="0" xr:uid="{ED228A4B-A1A7-8B40-A8E0-802ACE9A7226}">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8232DE58-303B-DF42-ACE3-209A2BF735E8}">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6B67F54D-B869-9E4B-B453-67757AA3BCDE}">
      <text>
        <r>
          <rPr>
            <sz val="10"/>
            <color rgb="FF000000"/>
            <rFont val="Calibri"/>
            <family val="2"/>
          </rPr>
          <t xml:space="preserve">Vælg "L" hvis lærernes pension eller P/E samt skalatrin.
</t>
        </r>
      </text>
    </comment>
    <comment ref="F6" authorId="0" shapeId="0" xr:uid="{A13BD82C-D3F8-8E44-A5FE-8ED1BB8EA95D}">
      <text>
        <r>
          <rPr>
            <b/>
            <sz val="10"/>
            <color rgb="FF000000"/>
            <rFont val="Calibri"/>
            <family val="2"/>
          </rPr>
          <t xml:space="preserve">Indsæt ny reguleringsprocent pr. 1. oktober 2021 og 1. april 2022.
</t>
        </r>
      </text>
    </comment>
    <comment ref="J6" authorId="2" shapeId="0" xr:uid="{6C6AB83F-1B2F-1E4A-B01A-3D8E5A5D2F7A}">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1C384E25-CBBB-CA4D-8A8A-FD9279CD0D2B}">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FB0062F0-307E-E34B-A96B-EA729E641FE4}">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7112A9E8-1ED9-CC47-B395-86F15E530410}">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CD66CBB4-6547-5E41-B35C-471324B9B0EC}">
      <text>
        <r>
          <rPr>
            <sz val="10"/>
            <color rgb="FF000000"/>
            <rFont val="Calibri"/>
            <family val="2"/>
          </rPr>
          <t xml:space="preserve"> Vælg skolens stedtillægsområde
</t>
        </r>
        <r>
          <rPr>
            <sz val="10"/>
            <color rgb="FF000000"/>
            <rFont val="Calibri"/>
            <family val="2"/>
          </rPr>
          <t xml:space="preserve">
</t>
        </r>
      </text>
    </comment>
    <comment ref="G7" authorId="3" shapeId="0" xr:uid="{55AE33F8-7F07-DB4D-B79C-81F99B542387}">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18C9563B-FB0A-134C-9D3A-6E013176754D}">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018D7EC4-7622-C74B-84E6-80D236CC95B1}">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0A27AA87-702D-2E45-A45F-F678AF48C4AA}">
      <text>
        <r>
          <rPr>
            <b/>
            <sz val="8"/>
            <color rgb="FF000000"/>
            <rFont val="Calibri"/>
            <family val="2"/>
          </rPr>
          <t>Beskæftigelsesgrad anføres med 1 for 100%. Ændres bg. I løbet af året, tastes ny bg. I den mdr. ændringen sker.</t>
        </r>
      </text>
    </comment>
    <comment ref="F11" authorId="2" shapeId="0" xr:uid="{567524D7-914B-C94B-A533-5AE731D6614E}">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DDDF73BC-8738-F24E-9C01-0D3BEC818F70}">
      <text>
        <r>
          <rPr>
            <b/>
            <sz val="10"/>
            <color rgb="FF000000"/>
            <rFont val="Calibri"/>
            <family val="2"/>
          </rPr>
          <t>Altid årlig uv-timetal. Hvis ansat mindre end et skoleår, da opregnes timerne til en fuld årsnorm.</t>
        </r>
      </text>
    </comment>
    <comment ref="F14" authorId="0" shapeId="0" xr:uid="{22788896-BBF4-5042-B01C-191F71D0FC04}">
      <text>
        <r>
          <rPr>
            <b/>
            <sz val="10"/>
            <color rgb="FF000000"/>
            <rFont val="Calibri"/>
            <family val="2"/>
          </rPr>
          <t xml:space="preserve">Oplys i årlig grundbeløb 12.
</t>
        </r>
      </text>
    </comment>
    <comment ref="F15" authorId="0" shapeId="0" xr:uid="{2764C802-31A5-324B-9F8F-80B6E8A7BD4B}">
      <text>
        <r>
          <rPr>
            <b/>
            <sz val="10"/>
            <color rgb="FF000000"/>
            <rFont val="Calibri"/>
            <family val="2"/>
          </rPr>
          <t>Oplys i årlig grundbeløb 12.</t>
        </r>
        <r>
          <rPr>
            <sz val="10"/>
            <color rgb="FF000000"/>
            <rFont val="Calibri"/>
            <family val="2"/>
          </rPr>
          <t xml:space="preserve">
</t>
        </r>
      </text>
    </comment>
    <comment ref="F16" authorId="0" shapeId="0" xr:uid="{3D0709D2-4268-5446-B081-80B634C8BE42}">
      <text>
        <r>
          <rPr>
            <b/>
            <sz val="10"/>
            <color rgb="FF000000"/>
            <rFont val="Calibri"/>
            <family val="2"/>
          </rPr>
          <t>Oplys i årlig grundbeløb 12.</t>
        </r>
        <r>
          <rPr>
            <sz val="10"/>
            <color rgb="FF000000"/>
            <rFont val="Calibri"/>
            <family val="2"/>
          </rPr>
          <t xml:space="preserve">
</t>
        </r>
      </text>
    </comment>
    <comment ref="F17" authorId="0" shapeId="0" xr:uid="{F7FCEE20-2B94-614F-B459-2FDCCC116E13}">
      <text>
        <r>
          <rPr>
            <b/>
            <sz val="10"/>
            <color rgb="FF000000"/>
            <rFont val="Calibri"/>
            <family val="2"/>
          </rPr>
          <t>Oplys i årlig grundbeløb 12.</t>
        </r>
        <r>
          <rPr>
            <sz val="10"/>
            <color rgb="FF000000"/>
            <rFont val="Calibri"/>
            <family val="2"/>
          </rPr>
          <t xml:space="preserve">
</t>
        </r>
      </text>
    </comment>
    <comment ref="F18" authorId="0" shapeId="0" xr:uid="{A5452DC9-4242-544D-9AAE-2CB589D38C7E}">
      <text>
        <r>
          <rPr>
            <b/>
            <sz val="10"/>
            <color rgb="FF000000"/>
            <rFont val="Calibri"/>
            <family val="2"/>
          </rPr>
          <t>Oplys i årlig grundbeløb 12.</t>
        </r>
      </text>
    </comment>
    <comment ref="F19" authorId="0" shapeId="0" xr:uid="{3305F1C9-5528-C34A-B283-F86FA0A39D33}">
      <text>
        <r>
          <rPr>
            <b/>
            <sz val="10"/>
            <color rgb="FF000000"/>
            <rFont val="Calibri"/>
            <family val="2"/>
          </rPr>
          <t>Oplys i årlig grundbeløb 12.</t>
        </r>
        <r>
          <rPr>
            <sz val="10"/>
            <color rgb="FF000000"/>
            <rFont val="Calibri"/>
            <family val="2"/>
          </rPr>
          <t xml:space="preserve">
</t>
        </r>
      </text>
    </comment>
    <comment ref="F20" authorId="0" shapeId="0" xr:uid="{93592985-112A-A84C-AF87-97D2A6CE55AC}">
      <text>
        <r>
          <rPr>
            <sz val="9"/>
            <color rgb="FF000000"/>
            <rFont val="Calibri"/>
            <family val="2"/>
          </rPr>
          <t xml:space="preserve">Kun for lærere der var ansat på skolen marts 2013 og som på det tidspunkt havde mere end 12 års anciennitet.
</t>
        </r>
      </text>
    </comment>
    <comment ref="F21" authorId="0" shapeId="0" xr:uid="{7D303858-B0F0-104E-9A01-81B9E7B7D172}">
      <text>
        <r>
          <rPr>
            <b/>
            <sz val="10"/>
            <color rgb="FF000000"/>
            <rFont val="Calibri"/>
            <family val="2"/>
          </rPr>
          <t xml:space="preserve">Tillæg beregnet da lønsystemet overgik fra skalaløn til basisløn. </t>
        </r>
      </text>
    </comment>
    <comment ref="F22" authorId="0" shapeId="0" xr:uid="{1E4A69E3-21B8-1A4B-9F6F-89F7FECD4C43}">
      <text>
        <r>
          <rPr>
            <b/>
            <sz val="10"/>
            <color rgb="FF000000"/>
            <rFont val="Calibri"/>
            <family val="2"/>
          </rPr>
          <t>For medlemmer i efterlønskassen. Er der for decentrale lønaftaler aftalt sup.pension?</t>
        </r>
      </text>
    </comment>
    <comment ref="F23" authorId="0" shapeId="0" xr:uid="{9B54EE18-38B9-6842-9E73-7FC7447548AB}">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8C622CAF-64B1-6E49-81FB-74DB1C3EA283}">
      <text>
        <r>
          <rPr>
            <b/>
            <sz val="10"/>
            <color rgb="FF000000"/>
            <rFont val="Calibri"/>
            <family val="2"/>
          </rPr>
          <t>Følges organisationsaftalens ferieregler afvikles der ferie i de to førse hverdage i august, 5 dages ferie i uge 42, og de sidste 18 hverdage i juli.</t>
        </r>
      </text>
    </comment>
    <comment ref="F25" authorId="0" shapeId="0" xr:uid="{F8E2BB8E-7275-5043-A28E-A10D682B7EC3}">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C0FA3F33-26C8-1B40-A2BC-F9C470D032F1}">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3C4F34BF-6A1A-5941-86B6-6167BF893F0F}">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232A353F-EC3B-374C-9DE4-E8E9BAF62843}">
      <text>
        <r>
          <rPr>
            <b/>
            <sz val="10"/>
            <color rgb="FF000000"/>
            <rFont val="Calibri"/>
            <family val="2"/>
          </rPr>
          <t>Oplys antal selvbetalte fridage.</t>
        </r>
      </text>
    </comment>
    <comment ref="F29" authorId="0" shapeId="0" xr:uid="{693439E0-6826-C040-80DF-63CE9BA03B4A}">
      <text>
        <r>
          <rPr>
            <b/>
            <sz val="10"/>
            <color rgb="FF000000"/>
            <rFont val="Calibri"/>
            <family val="2"/>
          </rPr>
          <t>Bemærk: Evt. ny skatteprocent januar mdr.</t>
        </r>
      </text>
    </comment>
    <comment ref="L29" authorId="5" shapeId="0" xr:uid="{5632C05A-F98B-434B-8B92-757264A3DC2D}">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390A2CBD-4E11-1641-9E68-46AC5A4CD690}">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E75E78EB-56E9-3949-8DA9-28AC9335301B}">
      <text>
        <r>
          <rPr>
            <b/>
            <sz val="10"/>
            <color rgb="FF000000"/>
            <rFont val="Calibri"/>
            <family val="2"/>
          </rPr>
          <t xml:space="preserve">Bemærk: Evt. nyt skattefradrag januar mdr. </t>
        </r>
      </text>
    </comment>
    <comment ref="L30" authorId="7" shapeId="0" xr:uid="{5456A199-A1DF-4444-B792-A17F77AD5C6B}">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7FAB4843-BC08-6840-AE8D-31069BE90180}">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40DCE0A4-68AA-5E49-A988-6980791834A0}">
      <text>
        <r>
          <rPr>
            <b/>
            <sz val="10"/>
            <color rgb="FF000000"/>
            <rFont val="Calibri"/>
            <family val="2"/>
          </rPr>
          <t>Tast selv taksten når de nye satser offentliggøres. Se løntabel og følg med i skolenyt.</t>
        </r>
      </text>
    </comment>
    <comment ref="F31" authorId="0" shapeId="0" xr:uid="{38A042C6-58E7-A846-8781-0C31D8B21E3F}">
      <text>
        <r>
          <rPr>
            <b/>
            <sz val="10"/>
            <color rgb="FF000000"/>
            <rFont val="Calibri"/>
            <family val="2"/>
          </rPr>
          <t>Bef. godtgøres normalt med den lave takst, med mindre der ved den enkelte ansatte er underskrevet et bemyndigelsesbrev.</t>
        </r>
      </text>
    </comment>
    <comment ref="E32" authorId="0" shapeId="0" xr:uid="{919621B9-701F-7044-BC2C-C08EF48B93A7}">
      <text>
        <r>
          <rPr>
            <b/>
            <sz val="10"/>
            <color rgb="FF000000"/>
            <rFont val="Calibri"/>
            <family val="2"/>
          </rPr>
          <t xml:space="preserve">Tast selv taksten når de nye satser offentliggøres. Se løntabel og følg med i skolenyt.
</t>
        </r>
      </text>
    </comment>
    <comment ref="F32" authorId="0" shapeId="0" xr:uid="{4A40815D-31F3-A844-BE1A-7DE802ECD6A8}">
      <text>
        <r>
          <rPr>
            <b/>
            <sz val="10"/>
            <color rgb="FF000000"/>
            <rFont val="Calibri"/>
            <family val="2"/>
          </rPr>
          <t>Må kun udmøntes efter den høje sats såfremt der foreligger et bemyndigelsesbrev.</t>
        </r>
      </text>
    </comment>
    <comment ref="F33" authorId="0" shapeId="0" xr:uid="{4A2A869C-0294-C54D-AA86-59B5A8071CEC}">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8842D148-7D09-E342-861B-362A71CAB4CD}">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F094F0EA-240D-2646-B126-CD7D181F8ABE}">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897CB3D2-317E-EB47-B084-85059E97CF1A}">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B7C21271-7F44-5848-A5FC-B8D14BBA6258}">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71597EAB-327F-9747-A0B5-F8DA50D311BF}">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B5B27B7C-7BCE-5745-9661-122C9805AE17}">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C4CE9E94-D361-5C41-8335-7DFDAE406699}">
      <text>
        <r>
          <rPr>
            <b/>
            <sz val="10"/>
            <color rgb="FF000000"/>
            <rFont val="Calibri"/>
            <family val="2"/>
          </rPr>
          <t>Er weekendtimerne ikke indregnet i årsnormen og skal udbetales oplyses her antal timer.</t>
        </r>
      </text>
    </comment>
    <comment ref="F41" authorId="0" shapeId="0" xr:uid="{30235BC8-2909-C746-85E5-713EA92BF1A2}">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5E661CD9-729E-2D4A-A2CE-03FFB3613C58}">
      <text>
        <r>
          <rPr>
            <b/>
            <sz val="10"/>
            <color rgb="FF000000"/>
            <rFont val="Calibri"/>
            <family val="2"/>
          </rPr>
          <t>Udregn selv og indtast beløb for mer/overtidsbetaling. Benyt evt. Friskolernes  nettotimelønsberegner.</t>
        </r>
      </text>
    </comment>
    <comment ref="F43" authorId="0" shapeId="0" xr:uid="{362E28CF-9DCC-AC4E-A0F2-59366728F389}">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BC560D42-1A3E-6F45-90C5-F154F0F4D5C4}">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FAE18D8E-F0F9-F54E-BF29-FF38920BE1C3}">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AFA7300B-267E-6842-93C5-CE36589DA234}">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5477E1FD-E500-494F-9B75-EB920F281BF5}">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C6243EF9-C082-DC44-A64B-05CB8C1E6F1F}">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A3589946-C207-2D43-804E-9F57FFA7CF4F}">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117286DC-DBDB-9E42-A2F1-3B9E1075AAE2}">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AD032D3F-4F13-7847-BE71-8D9AF1C19A58}">
      <text>
        <r>
          <rPr>
            <b/>
            <sz val="10"/>
            <color rgb="FF000000"/>
            <rFont val="Calibri"/>
            <family val="2"/>
          </rPr>
          <t>Beregn selv praktikvederlaget og oplys dette.</t>
        </r>
      </text>
    </comment>
    <comment ref="A117" authorId="2" shapeId="0" xr:uid="{8E5D38F9-9FE7-A341-BFF5-D0CFA532A3AA}">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1E7116B0-3C10-F248-B49B-8EF80300A6E6}">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tc={EAAC0DD2-70A5-914B-A8C9-F6EBB04A3AE3}</author>
    <author>Tove Dohn</author>
    <author>tc={6DF107D7-0656-3940-99A2-F7CB99F0805F}</author>
    <author>tc={351AD142-F527-0249-9AD2-CA213C6C90F0}</author>
    <author>tc={0CA531E6-C5AD-C646-80B2-AF6414E03972}</author>
    <author>tc={FD5A9182-54A6-D045-8536-A97674372428}</author>
    <author>tc={3E0450F6-9858-4C44-BF2D-BC94D3A679D0}</author>
    <author>tc={BC8FD76B-F049-BF46-8153-060CB7574348}</author>
  </authors>
  <commentList>
    <comment ref="C1" authorId="0" shapeId="0" xr:uid="{E08DB729-90D1-DF4E-8759-62E363967FD6}">
      <text>
        <r>
          <rPr>
            <b/>
            <sz val="10"/>
            <color rgb="FF000000"/>
            <rFont val="Calibri"/>
            <family val="2"/>
          </rPr>
          <t xml:space="preserve">Funktionstillæg og kvalifikationstillæg er normalt pensionsgivende.
</t>
        </r>
      </text>
    </comment>
    <comment ref="D1" authorId="0" shapeId="0" xr:uid="{DBC40E59-AC2E-FF47-BC1C-E1DEFAB444C9}">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2995E685-F883-8C4D-A5DB-42949D303575}">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0B709DE9-349A-C64E-A44F-3F5DA7D8B2ED}">
      <text>
        <r>
          <rPr>
            <sz val="10"/>
            <color rgb="FF000000"/>
            <rFont val="Calibri"/>
            <family val="2"/>
          </rPr>
          <t xml:space="preserve">Hvis ikke ansat hel mdr., definer her hvor mange dage ud af hel mdr.
</t>
        </r>
      </text>
    </comment>
    <comment ref="F4" authorId="0" shapeId="0" xr:uid="{5516A7AA-6F6B-C34B-8F99-4EF617CD782C}">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EAAC0DD2-70A5-914B-A8C9-F6EBB04A3AE3}">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15BF6151-45E7-3A44-B9D6-C079A8D9BC56}">
      <text>
        <r>
          <rPr>
            <sz val="10"/>
            <color rgb="FF000000"/>
            <rFont val="Calibri"/>
            <family val="2"/>
          </rPr>
          <t xml:space="preserve">Vælg "L" hvis lærernes pension eller P/E samt skalatrin.
</t>
        </r>
      </text>
    </comment>
    <comment ref="F6" authorId="0" shapeId="0" xr:uid="{C3021F31-2255-4141-B3C9-30A8639B4D17}">
      <text>
        <r>
          <rPr>
            <b/>
            <sz val="10"/>
            <color rgb="FF000000"/>
            <rFont val="Calibri"/>
            <family val="2"/>
          </rPr>
          <t xml:space="preserve">Indsæt ny reguleringsprocent pr. 1. oktober 2021 og 1. april 2022.
</t>
        </r>
      </text>
    </comment>
    <comment ref="J6" authorId="2" shapeId="0" xr:uid="{BF9894DF-02C3-5C48-A2B2-867E101AFBC4}">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26B4004B-5604-1245-8029-594451AAEF27}">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F4EEB37A-1F67-A846-8532-AD4B9618D8A6}">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1A8DF01B-95A4-DA4C-9A0D-B5BA924AB6DC}">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1AA5A527-544A-424A-8052-0A577D53BA0C}">
      <text>
        <r>
          <rPr>
            <sz val="10"/>
            <color rgb="FF000000"/>
            <rFont val="Calibri"/>
            <family val="2"/>
          </rPr>
          <t xml:space="preserve"> Vælg skolens stedtillægsområde
</t>
        </r>
        <r>
          <rPr>
            <sz val="10"/>
            <color rgb="FF000000"/>
            <rFont val="Calibri"/>
            <family val="2"/>
          </rPr>
          <t xml:space="preserve">
</t>
        </r>
      </text>
    </comment>
    <comment ref="G7" authorId="3" shapeId="0" xr:uid="{6DF107D7-0656-3940-99A2-F7CB99F0805F}">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351AD142-F527-0249-9AD2-CA213C6C90F0}">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91226B06-A870-DB46-AE75-D2D6B78763E9}">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3FAF3C72-5795-7741-ACBC-045D9E15EDCF}">
      <text>
        <r>
          <rPr>
            <b/>
            <sz val="8"/>
            <color rgb="FF000000"/>
            <rFont val="Calibri"/>
            <family val="2"/>
          </rPr>
          <t>Beskæftigelsesgrad anføres med 1 for 100%. Ændres bg. I løbet af året, tastes ny bg. I den mdr. ændringen sker.</t>
        </r>
      </text>
    </comment>
    <comment ref="F11" authorId="2" shapeId="0" xr:uid="{C58E3459-E2FE-F244-A4A4-ACA3368ACE5F}">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002B4146-B64F-2A40-B7CD-B8E5651692A5}">
      <text>
        <r>
          <rPr>
            <b/>
            <sz val="10"/>
            <color rgb="FF000000"/>
            <rFont val="Calibri"/>
            <family val="2"/>
          </rPr>
          <t>Altid årlig uv-timetal. Hvis ansat mindre end et skoleår, da opregnes timerne til en fuld årsnorm.</t>
        </r>
      </text>
    </comment>
    <comment ref="F14" authorId="0" shapeId="0" xr:uid="{63C0A9D3-A1F7-7042-A503-FA3188220345}">
      <text>
        <r>
          <rPr>
            <b/>
            <sz val="10"/>
            <color rgb="FF000000"/>
            <rFont val="Calibri"/>
            <family val="2"/>
          </rPr>
          <t xml:space="preserve">Oplys i årlig grundbeløb 12.
</t>
        </r>
      </text>
    </comment>
    <comment ref="F15" authorId="0" shapeId="0" xr:uid="{DB396AAA-CD7D-AE4D-B455-2C15617157EE}">
      <text>
        <r>
          <rPr>
            <b/>
            <sz val="10"/>
            <color rgb="FF000000"/>
            <rFont val="Calibri"/>
            <family val="2"/>
          </rPr>
          <t>Oplys i årlig grundbeløb 12.</t>
        </r>
        <r>
          <rPr>
            <sz val="10"/>
            <color rgb="FF000000"/>
            <rFont val="Calibri"/>
            <family val="2"/>
          </rPr>
          <t xml:space="preserve">
</t>
        </r>
      </text>
    </comment>
    <comment ref="F16" authorId="0" shapeId="0" xr:uid="{BA5803BB-FD19-B24C-9A70-060A26D62D6D}">
      <text>
        <r>
          <rPr>
            <b/>
            <sz val="10"/>
            <color rgb="FF000000"/>
            <rFont val="Calibri"/>
            <family val="2"/>
          </rPr>
          <t>Oplys i årlig grundbeløb 12.</t>
        </r>
        <r>
          <rPr>
            <sz val="10"/>
            <color rgb="FF000000"/>
            <rFont val="Calibri"/>
            <family val="2"/>
          </rPr>
          <t xml:space="preserve">
</t>
        </r>
      </text>
    </comment>
    <comment ref="F17" authorId="0" shapeId="0" xr:uid="{4CEA1607-544E-AC45-955C-816ED3410A84}">
      <text>
        <r>
          <rPr>
            <b/>
            <sz val="10"/>
            <color rgb="FF000000"/>
            <rFont val="Calibri"/>
            <family val="2"/>
          </rPr>
          <t>Oplys i årlig grundbeløb 12.</t>
        </r>
        <r>
          <rPr>
            <sz val="10"/>
            <color rgb="FF000000"/>
            <rFont val="Calibri"/>
            <family val="2"/>
          </rPr>
          <t xml:space="preserve">
</t>
        </r>
      </text>
    </comment>
    <comment ref="F18" authorId="0" shapeId="0" xr:uid="{95F04273-55DC-744E-B666-3FF6CD9FD8F4}">
      <text>
        <r>
          <rPr>
            <b/>
            <sz val="10"/>
            <color rgb="FF000000"/>
            <rFont val="Calibri"/>
            <family val="2"/>
          </rPr>
          <t>Oplys i årlig grundbeløb 12.</t>
        </r>
      </text>
    </comment>
    <comment ref="F19" authorId="0" shapeId="0" xr:uid="{D9826EC8-5800-1848-9596-F48F47FBFDAA}">
      <text>
        <r>
          <rPr>
            <b/>
            <sz val="10"/>
            <color rgb="FF000000"/>
            <rFont val="Calibri"/>
            <family val="2"/>
          </rPr>
          <t>Oplys i årlig grundbeløb 12.</t>
        </r>
        <r>
          <rPr>
            <sz val="10"/>
            <color rgb="FF000000"/>
            <rFont val="Calibri"/>
            <family val="2"/>
          </rPr>
          <t xml:space="preserve">
</t>
        </r>
      </text>
    </comment>
    <comment ref="F20" authorId="0" shapeId="0" xr:uid="{BD9D2301-106E-0441-B981-57EAB44781B7}">
      <text>
        <r>
          <rPr>
            <sz val="9"/>
            <color rgb="FF000000"/>
            <rFont val="Calibri"/>
            <family val="2"/>
          </rPr>
          <t xml:space="preserve">Kun for lærere der var ansat på skolen marts 2013 og som på det tidspunkt havde mere end 12 års anciennitet.
</t>
        </r>
      </text>
    </comment>
    <comment ref="F21" authorId="0" shapeId="0" xr:uid="{BFD662DC-A103-6040-A7EB-9EABC1968791}">
      <text>
        <r>
          <rPr>
            <b/>
            <sz val="10"/>
            <color rgb="FF000000"/>
            <rFont val="Calibri"/>
            <family val="2"/>
          </rPr>
          <t xml:space="preserve">Tillæg beregnet da lønsystemet overgik fra skalaløn til basisløn. </t>
        </r>
      </text>
    </comment>
    <comment ref="F22" authorId="0" shapeId="0" xr:uid="{D2BEE211-5BDF-D74D-89E1-B6EAE00AA0E2}">
      <text>
        <r>
          <rPr>
            <b/>
            <sz val="10"/>
            <color rgb="FF000000"/>
            <rFont val="Calibri"/>
            <family val="2"/>
          </rPr>
          <t>For medlemmer i efterlønskassen. Er der for decentrale lønaftaler aftalt sup.pension?</t>
        </r>
      </text>
    </comment>
    <comment ref="F23" authorId="0" shapeId="0" xr:uid="{108A5C7C-9B25-2A40-A105-12EFA30F129C}">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9BE9F4A2-2275-9E4F-B11A-D3242E34C063}">
      <text>
        <r>
          <rPr>
            <b/>
            <sz val="10"/>
            <color rgb="FF000000"/>
            <rFont val="Calibri"/>
            <family val="2"/>
          </rPr>
          <t>Følges organisationsaftalens ferieregler afvikles der ferie i de to førse hverdage i august, 5 dages ferie i uge 42, og de sidste 18 hverdage i juli.</t>
        </r>
      </text>
    </comment>
    <comment ref="F25" authorId="0" shapeId="0" xr:uid="{C1C9BFB3-EBD3-8544-BF8A-2B8AA640E664}">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DD398424-96CF-D148-B3B5-BD66F62458A4}">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5FAEAECE-556A-7043-89F8-A1EAF5C043E1}">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B15E0E76-B6F2-3443-A9F5-0846598FDA86}">
      <text>
        <r>
          <rPr>
            <b/>
            <sz val="10"/>
            <color rgb="FF000000"/>
            <rFont val="Calibri"/>
            <family val="2"/>
          </rPr>
          <t>Oplys antal selvbetalte fridage.</t>
        </r>
      </text>
    </comment>
    <comment ref="F29" authorId="0" shapeId="0" xr:uid="{186D152C-0BF1-1E4D-B1F4-87BB83DE1B3D}">
      <text>
        <r>
          <rPr>
            <b/>
            <sz val="10"/>
            <color rgb="FF000000"/>
            <rFont val="Calibri"/>
            <family val="2"/>
          </rPr>
          <t>Bemærk: Evt. ny skatteprocent januar mdr.</t>
        </r>
      </text>
    </comment>
    <comment ref="L29" authorId="5" shapeId="0" xr:uid="{0CA531E6-C5AD-C646-80B2-AF6414E03972}">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FD5A9182-54A6-D045-8536-A97674372428}">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B64FF8F0-EBEA-4F4E-AE76-E56D4F894684}">
      <text>
        <r>
          <rPr>
            <b/>
            <sz val="10"/>
            <color rgb="FF000000"/>
            <rFont val="Calibri"/>
            <family val="2"/>
          </rPr>
          <t xml:space="preserve">Bemærk: Evt. nyt skattefradrag januar mdr. </t>
        </r>
      </text>
    </comment>
    <comment ref="L30" authorId="7" shapeId="0" xr:uid="{3E0450F6-9858-4C44-BF2D-BC94D3A679D0}">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BC8FD76B-F049-BF46-8153-060CB7574348}">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531FCE01-D805-0949-AB9C-59480B48D5D6}">
      <text>
        <r>
          <rPr>
            <b/>
            <sz val="10"/>
            <color rgb="FF000000"/>
            <rFont val="Calibri"/>
            <family val="2"/>
          </rPr>
          <t>Tast selv taksten når de nye satser offentliggøres. Se løntabel og følg med i skolenyt.</t>
        </r>
      </text>
    </comment>
    <comment ref="F31" authorId="0" shapeId="0" xr:uid="{D7DE5457-ED0D-B346-93A8-E9B094329973}">
      <text>
        <r>
          <rPr>
            <b/>
            <sz val="10"/>
            <color rgb="FF000000"/>
            <rFont val="Calibri"/>
            <family val="2"/>
          </rPr>
          <t>Bef. godtgøres normalt med den lave takst, med mindre der ved den enkelte ansatte er underskrevet et bemyndigelsesbrev.</t>
        </r>
      </text>
    </comment>
    <comment ref="E32" authorId="0" shapeId="0" xr:uid="{02CF4A31-AD4D-0C4E-8BD4-8BD22E8E7D70}">
      <text>
        <r>
          <rPr>
            <b/>
            <sz val="10"/>
            <color rgb="FF000000"/>
            <rFont val="Calibri"/>
            <family val="2"/>
          </rPr>
          <t xml:space="preserve">Tast selv taksten når de nye satser offentliggøres. Se løntabel og følg med i skolenyt.
</t>
        </r>
      </text>
    </comment>
    <comment ref="F32" authorId="0" shapeId="0" xr:uid="{B25B3B80-E8B6-C04F-90F0-E8213E755244}">
      <text>
        <r>
          <rPr>
            <b/>
            <sz val="10"/>
            <color rgb="FF000000"/>
            <rFont val="Calibri"/>
            <family val="2"/>
          </rPr>
          <t>Må kun udmøntes efter den høje sats såfremt der foreligger et bemyndigelsesbrev.</t>
        </r>
      </text>
    </comment>
    <comment ref="F33" authorId="0" shapeId="0" xr:uid="{7B6C85D6-6F6C-9346-BC90-DB32107D76B7}">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0DD7D85C-7DBA-E748-B209-BD40125DA6A4}">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1D607104-1A00-354E-A57A-1DC305767F75}">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8B619915-959F-B94C-898E-361CEC05B9FA}">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39BF8FCC-8E57-9345-A435-E6B13B6CE9DC}">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2EB5CA19-6A58-114A-B98C-C838561F7A32}">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5EA049BA-0FE1-6847-BEC8-9642C31118C5}">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2693983F-A415-8545-AA01-6A83FDD19E51}">
      <text>
        <r>
          <rPr>
            <b/>
            <sz val="10"/>
            <color rgb="FF000000"/>
            <rFont val="Calibri"/>
            <family val="2"/>
          </rPr>
          <t>Er weekendtimerne ikke indregnet i årsnormen og skal udbetales oplyses her antal timer.</t>
        </r>
      </text>
    </comment>
    <comment ref="F41" authorId="0" shapeId="0" xr:uid="{3CB1DD3C-2C17-084D-89B5-4906293F8E16}">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C508D6E5-2B90-F44C-9AB7-29E960F92FB9}">
      <text>
        <r>
          <rPr>
            <b/>
            <sz val="10"/>
            <color rgb="FF000000"/>
            <rFont val="Calibri"/>
            <family val="2"/>
          </rPr>
          <t>Udregn selv og indtast beløb for mer/overtidsbetaling. Benyt evt. Friskolernes  nettotimelønsberegner.</t>
        </r>
      </text>
    </comment>
    <comment ref="F43" authorId="0" shapeId="0" xr:uid="{8686AAE8-96D5-1042-8A84-E237CE8A3197}">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2CC9FE1A-E41C-F04D-A299-2AB7D3DA3733}">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C033FE37-1E72-4140-8988-8EF7412EFDB1}">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8A604C67-2E66-3247-8C43-8D2CFF88BE54}">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C23075EA-CE50-904E-8E4A-4198EBBD3BD0}">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C6C250A3-BB71-B24A-B633-BB73A3904D48}">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F4F088BF-0EC6-EF41-AEB0-F483679C3AFD}">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4558B147-8F72-3645-AF29-3B1E13AE9708}">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51CAA373-24B1-A747-B037-EC60C1D27CF2}">
      <text>
        <r>
          <rPr>
            <b/>
            <sz val="10"/>
            <color rgb="FF000000"/>
            <rFont val="Calibri"/>
            <family val="2"/>
          </rPr>
          <t>Beregn selv praktikvederlaget og oplys dette.</t>
        </r>
      </text>
    </comment>
    <comment ref="A117" authorId="2" shapeId="0" xr:uid="{EC83A619-1602-1540-9E34-4C46D0C33DEF}">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95F949A6-BC9C-0346-A1B8-5F4C5A856F80}">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Office-bruger</author>
    <author>tc={04A304D0-B21F-EC4F-B8CA-DB0A51EE4440}</author>
    <author>Tove Dohn</author>
    <author>tc={D54D9C44-9E02-F14B-A947-8E1DBB97C05A}</author>
    <author>tc={75F4562F-7A2B-BD48-BB13-65C96CD3B9A5}</author>
    <author>tc={5559A0E7-E736-E74A-8408-3812284D3A54}</author>
    <author>tc={9A1FAA5F-A06F-464A-98BB-52925110B5A3}</author>
    <author>tc={567D5CE4-659E-7C44-8E6A-73BA7A480F05}</author>
    <author>tc={C9304BFC-D871-E04D-825E-B511B3D262C0}</author>
  </authors>
  <commentList>
    <comment ref="C1" authorId="0" shapeId="0" xr:uid="{C27411A3-89DF-9948-AA32-81C1A0BB87B6}">
      <text>
        <r>
          <rPr>
            <b/>
            <sz val="10"/>
            <color rgb="FF000000"/>
            <rFont val="Calibri"/>
            <family val="2"/>
          </rPr>
          <t xml:space="preserve">Funktionstillæg og kvalifikationstillæg er normalt pensionsgivende.
</t>
        </r>
      </text>
    </comment>
    <comment ref="D1" authorId="0" shapeId="0" xr:uid="{2537E125-B1AB-D44A-A2FD-B5FD23DAAA71}">
      <text>
        <r>
          <rPr>
            <sz val="10"/>
            <color rgb="FF000000"/>
            <rFont val="Calibri"/>
            <family val="2"/>
          </rPr>
          <t xml:space="preserve">Funktionstillæg er normalt ikke afh. Af bg., hvorimod kvalifikationstillæg ofte er.
</t>
        </r>
        <r>
          <rPr>
            <sz val="10"/>
            <color rgb="FF000000"/>
            <rFont val="Calibri"/>
            <family val="2"/>
          </rPr>
          <t xml:space="preserve">
</t>
        </r>
      </text>
    </comment>
    <comment ref="E1" authorId="0" shapeId="0" xr:uid="{8BEE1B62-936D-FC43-BDC6-A2BDEDB51028}">
      <text>
        <r>
          <rPr>
            <sz val="10"/>
            <color rgb="FF000000"/>
            <rFont val="Calibri"/>
            <family val="2"/>
          </rPr>
          <t xml:space="preserve">Funktionstillæg og kvalifikationstillæg er normalt reguleret med procentreguleringen.
</t>
        </r>
        <r>
          <rPr>
            <sz val="10"/>
            <color rgb="FF000000"/>
            <rFont val="Calibri"/>
            <family val="2"/>
          </rPr>
          <t xml:space="preserve">
</t>
        </r>
      </text>
    </comment>
    <comment ref="F3" authorId="0" shapeId="0" xr:uid="{28621FB6-6156-9048-A9FC-658F754315C2}">
      <text>
        <r>
          <rPr>
            <sz val="10"/>
            <color rgb="FF000000"/>
            <rFont val="Calibri"/>
            <family val="2"/>
          </rPr>
          <t xml:space="preserve">Hvis ikke ansat hel mdr., definer her hvor mange dage ud af hel mdr.
</t>
        </r>
      </text>
    </comment>
    <comment ref="F4" authorId="0" shapeId="0" xr:uid="{3E9B118B-576E-E74B-874C-927CA41CA745}">
      <text>
        <r>
          <rPr>
            <sz val="10"/>
            <color rgb="FF000000"/>
            <rFont val="Calibri"/>
            <family val="2"/>
          </rPr>
          <t xml:space="preserve">Vælg her hvorvidt det er læ1, 2, 3 4 eller bh. 1, 2, 3 4.
</t>
        </r>
        <r>
          <rPr>
            <sz val="10"/>
            <color rgb="FF000000"/>
            <rFont val="Calibri"/>
            <family val="2"/>
          </rPr>
          <t xml:space="preserve">
</t>
        </r>
      </text>
    </comment>
    <comment ref="AB4" authorId="1" shapeId="0" xr:uid="{04A304D0-B21F-EC4F-B8CA-DB0A51EE4440}">
      <text>
        <t>[Trådet kommentar]
Din version af Excel lader dig læse denne trådede kommentar. Eventuelle ændringer vil dog blive fjernet, hvis filen åbnes i en nyere version af Excel. Få mere at vide: https://go.microsoft.com/fwlink/?linkid=870924
Kommentar:
    Pr. 1. april 2021 siger bh. kl. lederes løn med kr. 4.700,- i årligt grundbeløb.</t>
      </text>
    </comment>
    <comment ref="F5" authorId="0" shapeId="0" xr:uid="{8B4AFE44-931F-244C-9781-F7C972EF6A2C}">
      <text>
        <r>
          <rPr>
            <sz val="10"/>
            <color rgb="FF000000"/>
            <rFont val="Calibri"/>
            <family val="2"/>
          </rPr>
          <t xml:space="preserve">Vælg "L" hvis lærernes pension eller P/E samt skalatrin.
</t>
        </r>
      </text>
    </comment>
    <comment ref="F6" authorId="0" shapeId="0" xr:uid="{77DC0F2F-B152-844C-B9DC-459A4A04649B}">
      <text>
        <r>
          <rPr>
            <b/>
            <sz val="10"/>
            <color rgb="FF000000"/>
            <rFont val="Calibri"/>
            <family val="2"/>
          </rPr>
          <t xml:space="preserve">Indsæt ny reguleringsprocent pr. 1. oktober 2021 og 1. april 2022.
</t>
        </r>
      </text>
    </comment>
    <comment ref="J6" authorId="2" shapeId="0" xr:uid="{0B8A8FC3-F18F-6046-8791-55642EDF4C35}">
      <text>
        <r>
          <rPr>
            <b/>
            <sz val="10"/>
            <color rgb="FF000000"/>
            <rFont val="Tahoma"/>
            <family val="2"/>
          </rPr>
          <t>Tove Dohn:</t>
        </r>
        <r>
          <rPr>
            <sz val="10"/>
            <color rgb="FF000000"/>
            <rFont val="Tahoma"/>
            <family val="2"/>
          </rPr>
          <t xml:space="preserve">
</t>
        </r>
        <r>
          <rPr>
            <sz val="10"/>
            <color rgb="FF000000"/>
            <rFont val="Tahoma"/>
            <family val="2"/>
          </rPr>
          <t>OK24: Der er i OK24 aftalt en evt. ændring af reguleringsprocenten. Hold øje med skolenyt og tast selv den nye gældende reguleringsprocent pr. 1. november 2025 i celle J6.</t>
        </r>
      </text>
    </comment>
    <comment ref="O6" authorId="2" shapeId="0" xr:uid="{D473DC54-698B-834D-9EED-5C90C5FFDF73}">
      <text>
        <r>
          <rPr>
            <b/>
            <sz val="10"/>
            <color rgb="FF000000"/>
            <rFont val="Tahoma"/>
            <family val="2"/>
          </rPr>
          <t>Tove Dohn:</t>
        </r>
        <r>
          <rPr>
            <sz val="10"/>
            <color rgb="FF000000"/>
            <rFont val="Tahoma"/>
            <family val="2"/>
          </rPr>
          <t xml:space="preserve">
</t>
        </r>
        <r>
          <rPr>
            <sz val="10"/>
            <color rgb="FF000000"/>
            <rFont val="Tahoma"/>
            <family val="2"/>
          </rPr>
          <t xml:space="preserve">Pr. 1. april 2026 træder OK26 i kraft. Hold øje med skolenyt og tast den nye gældende reguleringsprocent i celle O6.
</t>
        </r>
      </text>
    </comment>
    <comment ref="V6" authorId="2" shapeId="0" xr:uid="{561716CB-E1D8-A244-91E1-CE5BCD187A5B}">
      <text>
        <r>
          <rPr>
            <b/>
            <sz val="10"/>
            <color rgb="FF000000"/>
            <rFont val="Tahoma"/>
            <family val="2"/>
          </rPr>
          <t>Tove Dohn:</t>
        </r>
        <r>
          <rPr>
            <sz val="10"/>
            <color rgb="FF000000"/>
            <rFont val="Tahoma"/>
            <family val="2"/>
          </rPr>
          <t xml:space="preserve">
</t>
        </r>
        <r>
          <rPr>
            <sz val="10"/>
            <color rgb="FF000000"/>
            <rFont val="Tahoma"/>
            <family val="2"/>
          </rPr>
          <t>Indsæt her ny reguleringsprocent gældende fra 1. oktober 2021.</t>
        </r>
      </text>
    </comment>
    <comment ref="AB6" authorId="2" shapeId="0" xr:uid="{DFA55162-C632-FD4D-B9D9-84285C4B572C}">
      <text>
        <r>
          <rPr>
            <b/>
            <sz val="10"/>
            <color rgb="FF000000"/>
            <rFont val="Tahoma"/>
            <family val="2"/>
          </rPr>
          <t>Tove Dohn:</t>
        </r>
        <r>
          <rPr>
            <sz val="10"/>
            <color rgb="FF000000"/>
            <rFont val="Tahoma"/>
            <family val="2"/>
          </rPr>
          <t xml:space="preserve">
</t>
        </r>
        <r>
          <rPr>
            <sz val="10"/>
            <color rgb="FF000000"/>
            <rFont val="Tahoma"/>
            <family val="2"/>
          </rPr>
          <t xml:space="preserve">Indsæt her ny reguleringsprocent gældende fra 1. april 2022.
</t>
        </r>
      </text>
    </comment>
    <comment ref="F7" authorId="0" shapeId="0" xr:uid="{560E5112-F499-3D4B-95A4-351D1D441822}">
      <text>
        <r>
          <rPr>
            <sz val="10"/>
            <color rgb="FF000000"/>
            <rFont val="Calibri"/>
            <family val="2"/>
          </rPr>
          <t xml:space="preserve"> Vælg skolens stedtillægsområde
</t>
        </r>
        <r>
          <rPr>
            <sz val="10"/>
            <color rgb="FF000000"/>
            <rFont val="Calibri"/>
            <family val="2"/>
          </rPr>
          <t xml:space="preserve">
</t>
        </r>
      </text>
    </comment>
    <comment ref="G7" authorId="3" shapeId="0" xr:uid="{D54D9C44-9E02-F14B-A947-8E1DBB97C05A}">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T7" authorId="4" shapeId="0" xr:uid="{75F4562F-7A2B-BD48-BB13-65C96CD3B9A5}">
      <text>
        <t>[Trådet kommentar]
Din version af Excel lader dig læse denne trådede kommentar. Eventuelle ændringer vil dog blive fjernet, hvis filen åbnes i en nyere version af Excel. Få mere at vide: https://go.microsoft.com/fwlink/?linkid=870924
Kommentar:
    Skolens stedtillægsområde videreføres til de øvrige faner.</t>
      </text>
    </comment>
    <comment ref="F9" authorId="2" shapeId="0" xr:uid="{53C27269-B601-DA42-84A7-BCF52A9F498A}">
      <text>
        <r>
          <rPr>
            <b/>
            <sz val="10"/>
            <color rgb="FF000000"/>
            <rFont val="Tahoma"/>
            <family val="2"/>
          </rPr>
          <t>Tove Dohn:</t>
        </r>
        <r>
          <rPr>
            <sz val="10"/>
            <color rgb="FF000000"/>
            <rFont val="Tahoma"/>
            <family val="2"/>
          </rPr>
          <t xml:space="preserve">
</t>
        </r>
        <r>
          <rPr>
            <sz val="10"/>
            <color rgb="FF000000"/>
            <rFont val="Geneva"/>
            <family val="2"/>
          </rPr>
          <t>Lærere og børnehaveklasseledere har fra det kalenderår de fylder 62 år, ret til en månedlig seniorbonus svarende til 0,8% af de fastpåregnelige løndele. Bonussen er pensionsgivende.</t>
        </r>
        <r>
          <rPr>
            <sz val="10"/>
            <color rgb="FF000000"/>
            <rFont val="Geneva"/>
            <family val="2"/>
          </rPr>
          <t xml:space="preserve">
</t>
        </r>
      </text>
    </comment>
    <comment ref="F10" authorId="0" shapeId="0" xr:uid="{82EA3D43-10AA-314A-95B6-307EABA5D14D}">
      <text>
        <r>
          <rPr>
            <b/>
            <sz val="8"/>
            <color rgb="FF000000"/>
            <rFont val="Calibri"/>
            <family val="2"/>
          </rPr>
          <t>Beskæftigelsesgrad anføres med 1 for 100%. Ændres bg. I løbet af året, tastes ny bg. I den mdr. ændringen sker.</t>
        </r>
      </text>
    </comment>
    <comment ref="F11" authorId="2" shapeId="0" xr:uid="{62E782AA-B484-ED4B-9CF1-5077D319654E}">
      <text>
        <r>
          <rPr>
            <b/>
            <sz val="10"/>
            <color rgb="FF000000"/>
            <rFont val="Tahoma"/>
            <family val="2"/>
          </rPr>
          <t>Tove Dohn:</t>
        </r>
        <r>
          <rPr>
            <sz val="10"/>
            <color rgb="FF000000"/>
            <rFont val="Tahoma"/>
            <family val="2"/>
          </rPr>
          <t xml:space="preserve">
</t>
        </r>
        <r>
          <rPr>
            <sz val="10"/>
            <color rgb="FF000000"/>
            <rFont val="Tahoma"/>
            <family val="2"/>
          </rPr>
          <t>Benyt evt. arket "seniorordningsberegner" der ligger som et ark i dette værktøj.</t>
        </r>
      </text>
    </comment>
    <comment ref="F12" authorId="0" shapeId="0" xr:uid="{AA693F6D-8F6A-ED4A-9D63-34520F71DDAC}">
      <text>
        <r>
          <rPr>
            <b/>
            <sz val="10"/>
            <color rgb="FF000000"/>
            <rFont val="Calibri"/>
            <family val="2"/>
          </rPr>
          <t>Altid årlig uv-timetal. Hvis ansat mindre end et skoleår, da opregnes timerne til en fuld årsnorm.</t>
        </r>
      </text>
    </comment>
    <comment ref="F14" authorId="0" shapeId="0" xr:uid="{952ACACC-EB0E-9F47-A020-8A6F24FF0F65}">
      <text>
        <r>
          <rPr>
            <b/>
            <sz val="10"/>
            <color rgb="FF000000"/>
            <rFont val="Calibri"/>
            <family val="2"/>
          </rPr>
          <t xml:space="preserve">Oplys i årlig grundbeløb 12.
</t>
        </r>
      </text>
    </comment>
    <comment ref="F15" authorId="0" shapeId="0" xr:uid="{920F6EEA-9E6E-E146-ABFD-0A4D039939CC}">
      <text>
        <r>
          <rPr>
            <b/>
            <sz val="10"/>
            <color rgb="FF000000"/>
            <rFont val="Calibri"/>
            <family val="2"/>
          </rPr>
          <t>Oplys i årlig grundbeløb 12.</t>
        </r>
        <r>
          <rPr>
            <sz val="10"/>
            <color rgb="FF000000"/>
            <rFont val="Calibri"/>
            <family val="2"/>
          </rPr>
          <t xml:space="preserve">
</t>
        </r>
      </text>
    </comment>
    <comment ref="F16" authorId="0" shapeId="0" xr:uid="{65426008-A00E-7441-B52C-C245092D7546}">
      <text>
        <r>
          <rPr>
            <b/>
            <sz val="10"/>
            <color rgb="FF000000"/>
            <rFont val="Calibri"/>
            <family val="2"/>
          </rPr>
          <t>Oplys i årlig grundbeløb 12.</t>
        </r>
        <r>
          <rPr>
            <sz val="10"/>
            <color rgb="FF000000"/>
            <rFont val="Calibri"/>
            <family val="2"/>
          </rPr>
          <t xml:space="preserve">
</t>
        </r>
      </text>
    </comment>
    <comment ref="F17" authorId="0" shapeId="0" xr:uid="{B07D9BE3-5366-0E46-A871-7E70175C72AA}">
      <text>
        <r>
          <rPr>
            <b/>
            <sz val="10"/>
            <color rgb="FF000000"/>
            <rFont val="Calibri"/>
            <family val="2"/>
          </rPr>
          <t>Oplys i årlig grundbeløb 12.</t>
        </r>
        <r>
          <rPr>
            <sz val="10"/>
            <color rgb="FF000000"/>
            <rFont val="Calibri"/>
            <family val="2"/>
          </rPr>
          <t xml:space="preserve">
</t>
        </r>
      </text>
    </comment>
    <comment ref="F18" authorId="0" shapeId="0" xr:uid="{AAFBA693-0AF5-E84A-8702-DFF2C1F48166}">
      <text>
        <r>
          <rPr>
            <b/>
            <sz val="10"/>
            <color rgb="FF000000"/>
            <rFont val="Calibri"/>
            <family val="2"/>
          </rPr>
          <t>Oplys i årlig grundbeløb 12.</t>
        </r>
      </text>
    </comment>
    <comment ref="F19" authorId="0" shapeId="0" xr:uid="{0022D817-B5C9-C54A-97E0-08E03E49C600}">
      <text>
        <r>
          <rPr>
            <b/>
            <sz val="10"/>
            <color rgb="FF000000"/>
            <rFont val="Calibri"/>
            <family val="2"/>
          </rPr>
          <t>Oplys i årlig grundbeløb 12.</t>
        </r>
        <r>
          <rPr>
            <sz val="10"/>
            <color rgb="FF000000"/>
            <rFont val="Calibri"/>
            <family val="2"/>
          </rPr>
          <t xml:space="preserve">
</t>
        </r>
      </text>
    </comment>
    <comment ref="F20" authorId="0" shapeId="0" xr:uid="{F3364E1D-DD68-894E-B8F9-823E04ED2E62}">
      <text>
        <r>
          <rPr>
            <sz val="9"/>
            <color rgb="FF000000"/>
            <rFont val="Calibri"/>
            <family val="2"/>
          </rPr>
          <t xml:space="preserve">Kun for lærere der var ansat på skolen marts 2013 og som på det tidspunkt havde mere end 12 års anciennitet.
</t>
        </r>
      </text>
    </comment>
    <comment ref="F21" authorId="0" shapeId="0" xr:uid="{BF1FEBE2-9E1E-1949-B4CD-8EB46AA57227}">
      <text>
        <r>
          <rPr>
            <b/>
            <sz val="10"/>
            <color rgb="FF000000"/>
            <rFont val="Calibri"/>
            <family val="2"/>
          </rPr>
          <t xml:space="preserve">Tillæg beregnet da lønsystemet overgik fra skalaløn til basisløn. </t>
        </r>
      </text>
    </comment>
    <comment ref="F22" authorId="0" shapeId="0" xr:uid="{5DD8904B-223A-EC47-90AA-01634211C93D}">
      <text>
        <r>
          <rPr>
            <b/>
            <sz val="10"/>
            <color rgb="FF000000"/>
            <rFont val="Calibri"/>
            <family val="2"/>
          </rPr>
          <t>For medlemmer i efterlønskassen. Er der for decentrale lønaftaler aftalt sup.pension?</t>
        </r>
      </text>
    </comment>
    <comment ref="F23" authorId="0" shapeId="0" xr:uid="{1E454285-0C1B-604E-BEAF-9A03D265A5E7}">
      <text>
        <r>
          <rPr>
            <b/>
            <sz val="10"/>
            <color rgb="FF000000"/>
            <rFont val="Calibri"/>
            <family val="2"/>
          </rPr>
          <t>Skolen kan have aftalt et sådan tillæg. Udmøntes tillægget med et fast beløb hver mdr., vil belebøet være pensionsgivende med mindre det fremgår af aftalen at den ikke er.</t>
        </r>
      </text>
    </comment>
    <comment ref="F24" authorId="0" shapeId="0" xr:uid="{B283877C-AC45-2F45-9F5D-8F60C75486C5}">
      <text>
        <r>
          <rPr>
            <b/>
            <sz val="10"/>
            <color rgb="FF000000"/>
            <rFont val="Calibri"/>
            <family val="2"/>
          </rPr>
          <t>Følges organisationsaftalens ferieregler afvikles der ferie i de to førse hverdage i august, 5 dages ferie i uge 42, og de sidste 18 hverdage i juli.</t>
        </r>
      </text>
    </comment>
    <comment ref="F25" authorId="0" shapeId="0" xr:uid="{23C8A360-4529-F946-A7AF-16912B338E90}">
      <text>
        <r>
          <rPr>
            <b/>
            <sz val="10"/>
            <color rgb="FF000000"/>
            <rFont val="Calibri"/>
            <family val="2"/>
          </rPr>
          <t xml:space="preserve">Har den ansatte ikke været ansat hele kalenderåret før skoleåret, har man ikke optjent fuld ferieret.
</t>
        </r>
        <r>
          <rPr>
            <b/>
            <sz val="10"/>
            <color rgb="FF000000"/>
            <rFont val="Calibri"/>
            <family val="2"/>
          </rPr>
          <t>Angiv evt. dage uden lønret.</t>
        </r>
      </text>
    </comment>
    <comment ref="F26" authorId="0" shapeId="0" xr:uid="{9EFA4F9D-7232-9E4E-B379-6130AABDEEC7}">
      <text>
        <r>
          <rPr>
            <b/>
            <sz val="10"/>
            <color rgb="FF000000"/>
            <rFont val="Calibri"/>
            <family val="2"/>
          </rPr>
          <t xml:space="preserve">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
</t>
        </r>
        <r>
          <rPr>
            <b/>
            <sz val="10"/>
            <color rgb="FF000000"/>
            <rFont val="Calibri"/>
            <family val="2"/>
          </rPr>
          <t>Feriedifference skal også beregnes ved særlige feriedage. Difference vedr. særlige feriedage beregnes i regnearket "ferieløn"</t>
        </r>
      </text>
    </comment>
    <comment ref="F27" authorId="2" shapeId="0" xr:uid="{A8A59816-5160-0A4A-983D-2DA3AF78FDE8}">
      <text>
        <r>
          <rPr>
            <b/>
            <sz val="10"/>
            <color rgb="FF000000"/>
            <rFont val="Tahoma"/>
            <family val="2"/>
          </rPr>
          <t>Tove Dohn:</t>
        </r>
        <r>
          <rPr>
            <sz val="10"/>
            <color rgb="FF000000"/>
            <rFont val="Tahoma"/>
            <family val="2"/>
          </rPr>
          <t xml:space="preserve">
</t>
        </r>
        <r>
          <rPr>
            <b/>
            <sz val="8"/>
            <color rgb="FF000000"/>
            <rFont val="Geneva"/>
            <family val="2"/>
            <charset val="1"/>
          </rPr>
          <t>Har den ansatte ikke samme beskæftigelsesgrad på ferietidspunktet som på optjeningstidspunktet, skal der udregnes en feriedifference. Denne difference bergnes i et særligt regneark "feriedifferenceberegner NY Ferielov"". Differencen tastes som enten et negativt eller positivt beløb.</t>
        </r>
        <r>
          <rPr>
            <sz val="8"/>
            <color rgb="FF000000"/>
            <rFont val="Geneva"/>
            <family val="2"/>
            <charset val="1"/>
          </rPr>
          <t xml:space="preserve">
</t>
        </r>
        <r>
          <rPr>
            <b/>
            <sz val="8"/>
            <color rgb="FF000000"/>
            <rFont val="Geneva"/>
            <family val="2"/>
            <charset val="1"/>
          </rPr>
          <t>Feriedifference skal også beregnes ved særlige feriedage. Difference vedr. særlige feriedage beregnes i regnearket "ferieløn"</t>
        </r>
        <r>
          <rPr>
            <sz val="8"/>
            <color rgb="FF000000"/>
            <rFont val="Geneva"/>
            <family val="2"/>
            <charset val="1"/>
          </rPr>
          <t xml:space="preserve">
</t>
        </r>
      </text>
    </comment>
    <comment ref="F28" authorId="0" shapeId="0" xr:uid="{C5161C11-4161-014A-932D-63B4BB2969E8}">
      <text>
        <r>
          <rPr>
            <b/>
            <sz val="10"/>
            <color rgb="FF000000"/>
            <rFont val="Calibri"/>
            <family val="2"/>
          </rPr>
          <t>Oplys antal selvbetalte fridage.</t>
        </r>
      </text>
    </comment>
    <comment ref="F29" authorId="0" shapeId="0" xr:uid="{8F63C9D0-3459-534B-A3D5-A2608A5B97E0}">
      <text>
        <r>
          <rPr>
            <b/>
            <sz val="10"/>
            <color rgb="FF000000"/>
            <rFont val="Calibri"/>
            <family val="2"/>
          </rPr>
          <t>Bemærk: Evt. ny skatteprocent januar mdr.</t>
        </r>
      </text>
    </comment>
    <comment ref="L29" authorId="5" shapeId="0" xr:uid="{5559A0E7-E736-E74A-8408-3812284D3A54}">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Y29" authorId="6" shapeId="0" xr:uid="{9A1FAA5F-A06F-464A-98BB-52925110B5A3}">
      <text>
        <t>[Trådet kommentar]
Din version af Excel lader dig læse denne trådede kommentar. Eventuelle ændringer vil dog blive fjernet, hvis filen åbnes i en nyere version af Excel. Få mere at vide: https://go.microsoft.com/fwlink/?linkid=870924
Kommentar:
    Indtast ny skatteprocent</t>
      </text>
    </comment>
    <comment ref="F30" authorId="0" shapeId="0" xr:uid="{3A7276ED-DA4C-2C4B-BC7D-05B9E2C1FEFE}">
      <text>
        <r>
          <rPr>
            <b/>
            <sz val="10"/>
            <color rgb="FF000000"/>
            <rFont val="Calibri"/>
            <family val="2"/>
          </rPr>
          <t xml:space="preserve">Bemærk: Evt. nyt skattefradrag januar mdr. </t>
        </r>
      </text>
    </comment>
    <comment ref="L30" authorId="7" shapeId="0" xr:uid="{567D5CE4-659E-7C44-8E6A-73BA7A480F05}">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Y30" authorId="8" shapeId="0" xr:uid="{C9304BFC-D871-E04D-825E-B511B3D262C0}">
      <text>
        <t>[Trådet kommentar]
Din version af Excel lader dig læse denne trådede kommentar. Eventuelle ændringer vil dog blive fjernet, hvis filen åbnes i en nyere version af Excel. Få mere at vide: https://go.microsoft.com/fwlink/?linkid=870924
Kommentar:
    Indtast nyt fradrag</t>
      </text>
    </comment>
    <comment ref="E31" authorId="0" shapeId="0" xr:uid="{62CF95DF-DCE2-C246-9DDB-AC848AB6D8DF}">
      <text>
        <r>
          <rPr>
            <b/>
            <sz val="10"/>
            <color rgb="FF000000"/>
            <rFont val="Calibri"/>
            <family val="2"/>
          </rPr>
          <t>Tast selv taksten når de nye satser offentliggøres. Se løntabel og følg med i skolenyt.</t>
        </r>
      </text>
    </comment>
    <comment ref="F31" authorId="0" shapeId="0" xr:uid="{EADC6D23-4331-4244-961A-592E2BC251CF}">
      <text>
        <r>
          <rPr>
            <b/>
            <sz val="10"/>
            <color rgb="FF000000"/>
            <rFont val="Calibri"/>
            <family val="2"/>
          </rPr>
          <t>Bef. godtgøres normalt med den lave takst, med mindre der ved den enkelte ansatte er underskrevet et bemyndigelsesbrev.</t>
        </r>
      </text>
    </comment>
    <comment ref="E32" authorId="0" shapeId="0" xr:uid="{65AEF926-4F8F-9249-920F-EFAECD8C1A4B}">
      <text>
        <r>
          <rPr>
            <b/>
            <sz val="10"/>
            <color rgb="FF000000"/>
            <rFont val="Calibri"/>
            <family val="2"/>
          </rPr>
          <t xml:space="preserve">Tast selv taksten når de nye satser offentliggøres. Se løntabel og følg med i skolenyt.
</t>
        </r>
      </text>
    </comment>
    <comment ref="F32" authorId="0" shapeId="0" xr:uid="{914ADD8D-1B07-3F4C-82C5-DD625B1EDC06}">
      <text>
        <r>
          <rPr>
            <b/>
            <sz val="10"/>
            <color rgb="FF000000"/>
            <rFont val="Calibri"/>
            <family val="2"/>
          </rPr>
          <t>Må kun udmøntes efter den høje sats såfremt der foreligger et bemyndigelsesbrev.</t>
        </r>
      </text>
    </comment>
    <comment ref="F33" authorId="0" shapeId="0" xr:uid="{07F6865B-5BF1-AB4E-9BC5-F86282AC3124}">
      <text>
        <r>
          <rPr>
            <b/>
            <sz val="10"/>
            <color rgb="FF000000"/>
            <rFont val="Calibri"/>
            <family val="2"/>
          </rPr>
          <t xml:space="preserve">Udmøntes ved tjenesterejser ud over 24 timer.
</t>
        </r>
        <r>
          <rPr>
            <b/>
            <sz val="10"/>
            <color rgb="FF000000"/>
            <rFont val="Calibri"/>
            <family val="2"/>
          </rPr>
          <t>Se satserne i Friskolernes løntabel. Husk såvel hele dage som timer.</t>
        </r>
      </text>
    </comment>
    <comment ref="F34" authorId="0" shapeId="0" xr:uid="{D6559943-AEDB-2440-BE92-72DFF807C35A}">
      <text>
        <r>
          <rPr>
            <sz val="10"/>
            <color rgb="FF000000"/>
            <rFont val="Calibri"/>
            <family val="2"/>
          </rPr>
          <t xml:space="preserve">Vælg i 12 kr. fra rulleliste.
</t>
        </r>
        <r>
          <rPr>
            <sz val="10"/>
            <color rgb="FF000000"/>
            <rFont val="Calibri"/>
            <family val="2"/>
          </rPr>
          <t xml:space="preserve">25 år = 6.000,-
</t>
        </r>
        <r>
          <rPr>
            <sz val="10"/>
            <color rgb="FF000000"/>
            <rFont val="Calibri"/>
            <family val="2"/>
          </rPr>
          <t xml:space="preserve">40 år = 7.600,-
</t>
        </r>
        <r>
          <rPr>
            <sz val="10"/>
            <color rgb="FF000000"/>
            <rFont val="Calibri"/>
            <family val="2"/>
          </rPr>
          <t xml:space="preserve">50 år = 9.000,-
</t>
        </r>
        <r>
          <rPr>
            <sz val="10"/>
            <color rgb="FF000000"/>
            <rFont val="Calibri"/>
            <family val="2"/>
          </rPr>
          <t xml:space="preserve">
</t>
        </r>
      </text>
    </comment>
    <comment ref="F35" authorId="0" shapeId="0" xr:uid="{0528FEB3-DBB2-484E-8CBA-297A6E462792}">
      <text>
        <r>
          <rPr>
            <b/>
            <sz val="10"/>
            <color rgb="FF000000"/>
            <rFont val="Calibri"/>
            <family val="2"/>
          </rPr>
          <t>Modtager skolen specialundervisningstilskud til elever eller tillæg til undervisning af 2-sprogede, skal de lærere der har ansvaret for de tildelte støttetimer honoreres med et "flydende tillæg" SKRIV ANTAL TIMER.</t>
        </r>
      </text>
    </comment>
    <comment ref="F36" authorId="2" shapeId="0" xr:uid="{86D1DE8F-F4DB-1144-A1A4-4F3756A6323C}">
      <text>
        <r>
          <rPr>
            <b/>
            <sz val="10"/>
            <color rgb="FF000000"/>
            <rFont val="Tahoma"/>
            <family val="2"/>
          </rPr>
          <t>Tove Dohn:</t>
        </r>
        <r>
          <rPr>
            <sz val="10"/>
            <color rgb="FF000000"/>
            <rFont val="Tahoma"/>
            <family val="2"/>
          </rPr>
          <t xml:space="preserve">
</t>
        </r>
        <r>
          <rPr>
            <sz val="10"/>
            <color rgb="FF000000"/>
            <rFont val="Tahoma"/>
            <family val="2"/>
          </rPr>
          <t xml:space="preserve">Til overnatningsarrangementer med elever på hverdage ydes der kr. 163,64(12-niveau) pr. påbegyndt dag. Oplys her antal påbegyndte dage.
</t>
        </r>
      </text>
    </comment>
    <comment ref="F37" authorId="2" shapeId="0" xr:uid="{B59C91F5-948F-2948-9F53-13E1820094FA}">
      <text>
        <r>
          <rPr>
            <b/>
            <sz val="10"/>
            <color rgb="FF000000"/>
            <rFont val="Tahoma"/>
            <family val="2"/>
          </rPr>
          <t>Tove Dohn:</t>
        </r>
        <r>
          <rPr>
            <sz val="10"/>
            <color rgb="FF000000"/>
            <rFont val="Tahoma"/>
            <family val="2"/>
          </rPr>
          <t xml:space="preserve">
</t>
        </r>
        <r>
          <rPr>
            <sz val="10"/>
            <color rgb="FF000000"/>
            <rFont val="Courier"/>
            <family val="3"/>
          </rPr>
          <t xml:space="preserve">Til overnatningsarrangementer med elever lørdage, søndage og helligdage ydes der kr. 372,20 (12-niveau) pr. påbegyndt dag. Oplys her antal påbegyndte dage.
</t>
        </r>
      </text>
    </comment>
    <comment ref="F38" authorId="0" shapeId="0" xr:uid="{4219CB73-28EE-9E49-8E56-20ABC001DE76}">
      <text>
        <r>
          <rPr>
            <b/>
            <sz val="10"/>
            <color rgb="FF000000"/>
            <rFont val="Calibri"/>
            <family val="2"/>
          </rPr>
          <t xml:space="preserve">For arbejde imellem kl. 17-06  samt weekend/helligdage </t>
        </r>
        <r>
          <rPr>
            <b/>
            <sz val="10"/>
            <color rgb="FF000000"/>
            <rFont val="Courier"/>
            <family val="1"/>
          </rPr>
          <t xml:space="preserve">(undtaget elevarrangementer med overnatning) </t>
        </r>
        <r>
          <rPr>
            <b/>
            <sz val="10"/>
            <color rgb="FF000000"/>
            <rFont val="Calibri"/>
            <family val="2"/>
          </rPr>
          <t>udmøntes 25% af nettotimelønnen. Timerne udbetales med den førstkommende lønudbetaling. Timerne kan dog skriftiligt aftales til at blive indregnet i årsnormen. Skolen har også mulighed for at lave lokalaftale omkring disse timer, og istedet udmønte et årligt eller mdr. tillæg. Dette tillæg tastes under "Lokalaftalt fast ulempegodtgørelse"</t>
        </r>
      </text>
    </comment>
    <comment ref="F39" authorId="0" shapeId="0" xr:uid="{7D5E1B2A-CB75-B544-8425-20078CFEF5CB}">
      <text>
        <r>
          <rPr>
            <b/>
            <sz val="10"/>
            <color rgb="FF000000"/>
            <rFont val="Calibri"/>
            <family val="2"/>
          </rPr>
          <t>For arbejde i weekender og søgne/helligdage</t>
        </r>
        <r>
          <rPr>
            <b/>
            <sz val="10"/>
            <color rgb="FF000000"/>
            <rFont val="Courier"/>
            <family val="1"/>
          </rPr>
          <t xml:space="preserve">(undtaget elevarrangementer med overnatning) </t>
        </r>
        <r>
          <rPr>
            <b/>
            <sz val="10"/>
            <color rgb="FF000000"/>
            <rFont val="Calibri"/>
            <family val="2"/>
          </rPr>
          <t xml:space="preserve"> udmøntes 50% af nettetimelønnen. Da timerne anses som overarbejde er hovedreglen at de afspadseres i indeværende normperiode. Timerne kan dog skriftligt aftales med den enkelte at de udbetales. 
</t>
        </r>
        <r>
          <rPr>
            <b/>
            <sz val="10"/>
            <color rgb="FF000000"/>
            <rFont val="Calibri"/>
            <family val="2"/>
          </rPr>
          <t xml:space="preserve">Skolen kan også lave lokalaftale omkring disse timer, og istedet udmønte timerne som en fast mdr. tillæg/årligt tillæg. Dette oplyses i så tilfælde under "Lokalaftalt fast ulempegodtgørelse"
</t>
        </r>
      </text>
    </comment>
    <comment ref="F40" authorId="0" shapeId="0" xr:uid="{CCFE4F4B-2C08-644E-A1B5-45569DD73635}">
      <text>
        <r>
          <rPr>
            <b/>
            <sz val="10"/>
            <color rgb="FF000000"/>
            <rFont val="Calibri"/>
            <family val="2"/>
          </rPr>
          <t>Er weekendtimerne ikke indregnet i årsnormen og skal udbetales oplyses her antal timer.</t>
        </r>
      </text>
    </comment>
    <comment ref="F41" authorId="0" shapeId="0" xr:uid="{770979E6-0022-ED44-ABD8-F5045558B6DF}">
      <text>
        <r>
          <rPr>
            <b/>
            <sz val="10"/>
            <color rgb="FF000000"/>
            <rFont val="Calibri"/>
            <family val="2"/>
          </rPr>
          <t>§</t>
        </r>
        <r>
          <rPr>
            <b/>
            <sz val="10"/>
            <color rgb="FF000000"/>
            <rFont val="Calibri"/>
            <family val="2"/>
          </rPr>
          <t xml:space="preserve">14 i arbejdstidsaftalen giver mulighed for istedet at afregne medgåede timer til eksaminator eller cenoropgave at aftale med den eneklte lærere at udmønte et særligt pensionsgivende tillæg på kr. 267,31 (12-niveau) pr. påbegyndt time. Tast her antal timer tillægget skal udmøntes for.
</t>
        </r>
      </text>
    </comment>
    <comment ref="F42" authorId="0" shapeId="0" xr:uid="{7FFFBD8B-AC30-2A45-9570-173B600BAAD8}">
      <text>
        <r>
          <rPr>
            <b/>
            <sz val="10"/>
            <color rgb="FF000000"/>
            <rFont val="Calibri"/>
            <family val="2"/>
          </rPr>
          <t>Udregn selv og indtast beløb for mer/overtidsbetaling. Benyt evt. Friskolernes  nettotimelønsberegner.</t>
        </r>
      </text>
    </comment>
    <comment ref="F43" authorId="0" shapeId="0" xr:uid="{7617BF06-8299-554A-A586-9571035BCBB7}">
      <text>
        <r>
          <rPr>
            <sz val="10"/>
            <color rgb="FF000000"/>
            <rFont val="Calibri"/>
            <family val="2"/>
          </rPr>
          <t xml:space="preserve">Skriv i kr. hvor meget der skal udbetales. Der udb. 0,5% pr. skyldig dag. Beregningsgrundlaget er feriepengeberegningsgrundlaget. 
</t>
        </r>
        <r>
          <rPr>
            <sz val="10"/>
            <color rgb="FF000000"/>
            <rFont val="Calibri"/>
            <family val="2"/>
          </rPr>
          <t xml:space="preserve">Brugere af lønberegningsarkene kan finde beløbene i disse.
</t>
        </r>
        <r>
          <rPr>
            <sz val="10"/>
            <color rgb="FF000000"/>
            <rFont val="Calibri"/>
            <family val="2"/>
          </rPr>
          <t xml:space="preserve"> Alternativ benyt friskolernes beregner vedr. særlige feriedage.
</t>
        </r>
        <r>
          <rPr>
            <sz val="10"/>
            <color rgb="FF000000"/>
            <rFont val="Calibri"/>
            <family val="2"/>
          </rPr>
          <t xml:space="preserve">
</t>
        </r>
      </text>
    </comment>
    <comment ref="F44" authorId="0" shapeId="0" xr:uid="{F99A8481-90FF-9E47-B4D4-4EB3AF59BDC3}">
      <text>
        <r>
          <rPr>
            <b/>
            <sz val="10"/>
            <color rgb="FF000000"/>
            <rFont val="Calibri"/>
            <family val="2"/>
          </rPr>
          <t xml:space="preserve">Særlig feriegodtgørelse udbetales til de medarbejdere der afholder ferie med fuld løn. Ultimo maj udbetales ferietillæg for perioden september - maj. Ultimo august udbetales ferietillæg for perioden juni - august.
</t>
        </r>
      </text>
    </comment>
    <comment ref="G44" authorId="2" shapeId="0" xr:uid="{67CDFB8B-8A07-DA42-959F-442277BCC42E}">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A114 er tastet.</t>
        </r>
      </text>
    </comment>
    <comment ref="P44" authorId="2" shapeId="0" xr:uid="{8A82A60F-29C9-AB4B-9B56-81168C6CCF64}">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T44" authorId="2" shapeId="0" xr:uid="{67938615-6D7E-3A40-A8E3-05E74D68C4BA}">
      <text>
        <r>
          <rPr>
            <b/>
            <sz val="10"/>
            <color rgb="FF000000"/>
            <rFont val="Tahoma"/>
            <family val="2"/>
          </rPr>
          <t>Tove Dohn:</t>
        </r>
        <r>
          <rPr>
            <sz val="10"/>
            <color rgb="FF000000"/>
            <rFont val="Tahoma"/>
            <family val="2"/>
          </rPr>
          <t xml:space="preserve">
</t>
        </r>
        <r>
          <rPr>
            <sz val="10"/>
            <color rgb="FF000000"/>
            <rFont val="Tahoma"/>
            <family val="2"/>
          </rPr>
          <t>Ferietillæg beregnet fra juni - august. Kræver dog at celle A111 er tastet.</t>
        </r>
      </text>
    </comment>
    <comment ref="AC44" authorId="2" shapeId="0" xr:uid="{E4843F13-994A-EA40-AE84-6D6C1884A0BE}">
      <text>
        <r>
          <rPr>
            <b/>
            <sz val="10"/>
            <color rgb="FF000000"/>
            <rFont val="Tahoma"/>
            <family val="2"/>
          </rPr>
          <t>Tove Dohn:</t>
        </r>
        <r>
          <rPr>
            <sz val="10"/>
            <color rgb="FF000000"/>
            <rFont val="Tahoma"/>
            <family val="2"/>
          </rPr>
          <t xml:space="preserve">
</t>
        </r>
        <r>
          <rPr>
            <sz val="10"/>
            <color rgb="FF000000"/>
            <rFont val="Tahoma"/>
            <family val="2"/>
          </rPr>
          <t>Ferietillæg beregnet fra sep. - maj.</t>
        </r>
      </text>
    </comment>
    <comment ref="F45" authorId="0" shapeId="0" xr:uid="{EB67F4BA-9488-9045-8068-A5DF86D37D1F}">
      <text>
        <r>
          <rPr>
            <b/>
            <sz val="10"/>
            <color rgb="FF000000"/>
            <rFont val="Calibri"/>
            <family val="2"/>
          </rPr>
          <t xml:space="preserve">Indtast det beløb der skal udbetales efter resultatet er nået. HUSK der skal foreligge resultatlønsaftale godkendt af TR/FSL.
</t>
        </r>
        <r>
          <rPr>
            <b/>
            <sz val="10"/>
            <color rgb="FF000000"/>
            <rFont val="Calibri"/>
            <family val="2"/>
          </rPr>
          <t xml:space="preserve">Beløbet tastes i nutids kr.
</t>
        </r>
      </text>
    </comment>
    <comment ref="F46" authorId="0" shapeId="0" xr:uid="{0CFB02C8-1EF7-5142-A5BB-6CAA155BE27F}">
      <text>
        <r>
          <rPr>
            <b/>
            <sz val="10"/>
            <color rgb="FF000000"/>
            <rFont val="Calibri"/>
            <family val="2"/>
          </rPr>
          <t xml:space="preserve">Indtast det beløb der skal udbetales som engangstillæg. HUSK der skal foreligge en underskrevet aftale imellem skolens ledelse og TR/FSL.
</t>
        </r>
        <r>
          <rPr>
            <b/>
            <sz val="10"/>
            <color rgb="FF000000"/>
            <rFont val="Calibri"/>
            <family val="2"/>
          </rPr>
          <t>Beløbet tastes i nutids kr.</t>
        </r>
      </text>
    </comment>
    <comment ref="F47" authorId="0" shapeId="0" xr:uid="{915F3D4B-A2DD-214E-A683-6C27FE7F8A12}">
      <text>
        <r>
          <rPr>
            <b/>
            <sz val="10"/>
            <color rgb="FF000000"/>
            <rFont val="Calibri"/>
            <family val="2"/>
          </rPr>
          <t>Beregn selv praktikvederlaget og oplys dette.</t>
        </r>
      </text>
    </comment>
    <comment ref="A117" authorId="2" shapeId="0" xr:uid="{4327CF2B-A76B-794E-A6B4-C359690538E4}">
      <text>
        <r>
          <rPr>
            <b/>
            <sz val="10"/>
            <color rgb="FF000000"/>
            <rFont val="Tahoma"/>
            <family val="2"/>
          </rPr>
          <t>Tove Dohn:</t>
        </r>
        <r>
          <rPr>
            <sz val="10"/>
            <color rgb="FF000000"/>
            <rFont val="Tahoma"/>
            <family val="2"/>
          </rPr>
          <t xml:space="preserve">
</t>
        </r>
        <r>
          <rPr>
            <sz val="10"/>
            <color rgb="FF000000"/>
            <rFont val="Tahoma"/>
            <family val="2"/>
          </rPr>
          <t>Indtast her den ferieberettigede løn optjent juni og juli i det lige afsluttede skoleår. Den ferieberettigede løn for de 2 mdr. kan også aflæses i lønberegningsarket 24-25 i celle "S118"</t>
        </r>
      </text>
    </comment>
    <comment ref="A127" authorId="2" shapeId="0" xr:uid="{1E151710-937A-BB48-8EED-D78614C6E09D}">
      <text>
        <r>
          <rPr>
            <b/>
            <sz val="10"/>
            <color rgb="FF000000"/>
            <rFont val="Tahoma"/>
            <family val="2"/>
          </rPr>
          <t>Tove Dohn:</t>
        </r>
        <r>
          <rPr>
            <sz val="10"/>
            <color rgb="FF000000"/>
            <rFont val="Tahoma"/>
            <family val="2"/>
          </rPr>
          <t xml:space="preserve">
</t>
        </r>
        <r>
          <rPr>
            <sz val="10"/>
            <color rgb="FF000000"/>
            <rFont val="Geneva"/>
            <family val="2"/>
            <charset val="1"/>
          </rPr>
          <t xml:space="preserve">Indtast her feriepengeberegningsgrundlaget for perioden januar - juli 2025. Feriepengeberegningsgrundlaget er den ferieberettigede løn for perioden + egetbidrag pension for perioden - løn og egetbidrag pension for den periode hvor der har været afviklet ferie med løn. Beløbet kan også aflæses i lønberegningsarket for skoleåret 2024-2025 i celle "S128"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<sst xmlns="http://schemas.openxmlformats.org/spreadsheetml/2006/main" count="8528" uniqueCount="718">
  <si>
    <t>Intervalløn</t>
    <phoneticPr fontId="21" type="noConversion"/>
  </si>
  <si>
    <t>Pensionstillæg Funktionstillæg</t>
    <phoneticPr fontId="21" type="noConversion"/>
  </si>
  <si>
    <t>Pensionstillæg Kvalifikationstillæg</t>
    <phoneticPr fontId="21" type="noConversion"/>
  </si>
  <si>
    <t>Intervaltillæg til skoleder v. 
skoler med kostafdeling</t>
    <phoneticPr fontId="21" type="noConversion"/>
  </si>
  <si>
    <t>Kun til skoleleder</t>
    <phoneticPr fontId="21" type="noConversion"/>
  </si>
  <si>
    <t>Spørg i P25 eller Efterlønskassen</t>
    <phoneticPr fontId="21" type="noConversion"/>
  </si>
  <si>
    <r>
      <t>Hvis 'JA' beregnes for alle pensionsgivende beløb pension i LP for personer med tjenestemandspension</t>
    </r>
    <r>
      <rPr>
        <sz val="8"/>
        <rFont val="Helvetica"/>
        <family val="2"/>
      </rPr>
      <t xml:space="preserve"> (18% over slutskalatrinsbeløb)</t>
    </r>
    <phoneticPr fontId="21" type="noConversion"/>
  </si>
  <si>
    <t>Pensionstillæg intervalløn</t>
    <phoneticPr fontId="21" type="noConversion"/>
  </si>
  <si>
    <t>Se bemyndigelsesbrev fra UVM 20. juni 2004</t>
    <phoneticPr fontId="21" type="noConversion"/>
  </si>
  <si>
    <r>
      <t>Lønberegning for:</t>
    </r>
    <r>
      <rPr>
        <sz val="9"/>
        <rFont val="Helvetica"/>
        <family val="2"/>
      </rPr>
      <t xml:space="preserve"> (navn eller initialer)</t>
    </r>
    <r>
      <rPr>
        <b/>
        <sz val="12"/>
        <rFont val="Helvetica"/>
        <family val="2"/>
      </rPr>
      <t xml:space="preserve">
</t>
    </r>
    <r>
      <rPr>
        <sz val="9"/>
        <rFont val="Helvetica"/>
        <family val="2"/>
      </rPr>
      <t xml:space="preserve"> - variable løndele i lin. 20-31.</t>
    </r>
    <phoneticPr fontId="21" type="noConversion"/>
  </si>
  <si>
    <t>Pxx=P25, Exx=Efterlønskassen, L= Lærernes Pension 
(xx=skalatrin) fx skalatrin 42 i P25: P42</t>
    <phoneticPr fontId="21" type="noConversion"/>
  </si>
  <si>
    <t>iflg. ansættelsesbrev
(normalt er intervallønnede ansat på 100%)</t>
    <phoneticPr fontId="21" type="noConversion"/>
  </si>
  <si>
    <t>Benyttes for skoleleder, viceleder og afdelingsledere</t>
    <phoneticPr fontId="21" type="noConversion"/>
  </si>
  <si>
    <t>Pxx=P25, Exx=Efterlønskassen, L= Lærernes Pension 
(xx=skalatrin) fx skalatrin 40 i P25: P40</t>
    <phoneticPr fontId="21" type="noConversion"/>
  </si>
  <si>
    <t>Pensionstillæg af udligningstillæg</t>
    <phoneticPr fontId="21" type="noConversion"/>
  </si>
  <si>
    <t>løntabel 01.04.10. Rettes på lærerarket.</t>
  </si>
  <si>
    <t>Skattefri engangsudbetalinger iflg. spec.</t>
    <phoneticPr fontId="21" type="noConversion"/>
  </si>
  <si>
    <t>Skriv ikke procenttegnet, fx 42% - skriv 42</t>
    <phoneticPr fontId="21" type="noConversion"/>
  </si>
  <si>
    <t>lønudgift for skalatrinslønnede</t>
  </si>
  <si>
    <t>R</t>
  </si>
  <si>
    <t>S</t>
  </si>
  <si>
    <t>T</t>
  </si>
  <si>
    <t>U</t>
  </si>
  <si>
    <t>W</t>
  </si>
  <si>
    <t>X</t>
  </si>
  <si>
    <t>Y</t>
  </si>
  <si>
    <t>Z</t>
  </si>
  <si>
    <t>Udfyld gule felter</t>
  </si>
  <si>
    <t>skalatrin</t>
  </si>
  <si>
    <t>pensionsprocent</t>
  </si>
  <si>
    <t>skriv ikke procenttegnet</t>
  </si>
  <si>
    <t>betaler skolen egetbidraget til pensionen</t>
  </si>
  <si>
    <t>JA</t>
  </si>
  <si>
    <t>Slutskalatrin i tjenestemands-
pensionssystemet</t>
    <phoneticPr fontId="21" type="noConversion"/>
  </si>
  <si>
    <t>Beskæftigelsesgrad, aktuel</t>
    <phoneticPr fontId="21" type="noConversion"/>
  </si>
  <si>
    <t>Pensionstillæg af feriedifference</t>
    <phoneticPr fontId="21" type="noConversion"/>
  </si>
  <si>
    <t>Måned</t>
    <phoneticPr fontId="12"/>
  </si>
  <si>
    <r>
      <t xml:space="preserve">Del af måned </t>
    </r>
    <r>
      <rPr>
        <sz val="12"/>
        <rFont val="Helvetica"/>
        <family val="2"/>
      </rPr>
      <t xml:space="preserve">
</t>
    </r>
    <r>
      <rPr>
        <sz val="10"/>
        <rFont val="Helvetica"/>
        <family val="2"/>
      </rPr>
      <t>antal kalenderdage/månedens kalenderdage</t>
    </r>
    <phoneticPr fontId="21" type="noConversion"/>
  </si>
  <si>
    <t>Arbejdsgiverbidrag til ATP</t>
    <phoneticPr fontId="21" type="noConversion"/>
  </si>
  <si>
    <t>pensionsgivende ikke afhængig af BG</t>
  </si>
  <si>
    <r>
      <t xml:space="preserve">kvalifikationstillæg, pensionsgivende,
</t>
    </r>
    <r>
      <rPr>
        <b/>
        <sz val="10"/>
        <rFont val="Helvetica"/>
        <family val="2"/>
      </rPr>
      <t>årligt grundbeløb</t>
    </r>
  </si>
  <si>
    <t>Årlige tillæg (lin 10-14) omregmet til mdl tiillæg</t>
  </si>
  <si>
    <t>månedligt tillæg, ikke pensionsg., ikke regul.</t>
  </si>
  <si>
    <t>ikke pensionsgivende ikke reguleret</t>
  </si>
  <si>
    <t>1/3 af pensionsindbetalingen</t>
  </si>
  <si>
    <t>løn incl. pensionstillæg eller excl egetbidrag</t>
  </si>
  <si>
    <t>samlet indbetaling til Pension</t>
  </si>
  <si>
    <t>A-satser</t>
  </si>
  <si>
    <t>Skolens lønudgifter pr. måned</t>
  </si>
  <si>
    <t>Stedtillægsområde</t>
  </si>
  <si>
    <t>Skalatrin</t>
  </si>
  <si>
    <t>Områdetillæg</t>
  </si>
  <si>
    <t>LIDT OM DECENTRALE TILLÆG (NYLØNSTILLÆG)</t>
  </si>
  <si>
    <t>løn excl. pension</t>
  </si>
  <si>
    <t>12 års anciennitet 1. april 09: skriv A
12 års anc. senere end april 09: skriv B</t>
  </si>
  <si>
    <t>B' skal først skrives fra den måneds lønberegning, 
hvor det er aktuelt!</t>
  </si>
  <si>
    <t>Pensionstillæg Funktionstillæg 3</t>
  </si>
  <si>
    <t>Pensionstillæg Kvalifikationstillæg 1</t>
    <phoneticPr fontId="21" type="noConversion"/>
  </si>
  <si>
    <t>Pensionstillæg Kvalifikationstillæg 2</t>
  </si>
  <si>
    <t>Pensionstillæg Kvalifikationstillæg 3</t>
  </si>
  <si>
    <t>Pensionstillæg garantilønstillæg</t>
    <phoneticPr fontId="21" type="noConversion"/>
  </si>
  <si>
    <t>Pensionstillæg pensionsg. OK08-tillæg</t>
    <phoneticPr fontId="21" type="noConversion"/>
  </si>
  <si>
    <t>skolens stedtillægsområde 2-6. Rettes på lærerarket.</t>
  </si>
  <si>
    <t>beskæftigelsesgrad (BG)</t>
  </si>
  <si>
    <t>Varige og midlertidige decentrale tillæg er pensionsgivende. For lærere og bhkl.ledere med tjenestemandspension (i Efterlønskassen eller P25) er de ikke automatisk pensionsgivende, men kan aftales at udløse supplerende pension i LP.</t>
  </si>
  <si>
    <t>FUNKTIONSTILLÆG</t>
  </si>
  <si>
    <t>KVALIFIKATIONSTILLÆG</t>
  </si>
  <si>
    <t>Start med at udfylde linie 88 og 98 i denne kolonne!</t>
    <phoneticPr fontId="21" type="noConversion"/>
  </si>
  <si>
    <r>
      <t xml:space="preserve">Iflg aktivitetsplan. </t>
    </r>
    <r>
      <rPr>
        <b/>
        <sz val="10"/>
        <rFont val="Helvetica"/>
        <family val="2"/>
      </rPr>
      <t>SKAL</t>
    </r>
    <r>
      <rPr>
        <sz val="10"/>
        <rFont val="Helvetica"/>
        <family val="2"/>
      </rPr>
      <t xml:space="preserve"> omregnes til årligt timetal v. beskæftigelse under 1 år! </t>
    </r>
    <r>
      <rPr>
        <i/>
        <sz val="10"/>
        <rFont val="Helvetica"/>
        <family val="2"/>
      </rPr>
      <t>(Ændres i øvrigt normalt ikke i normperioden)</t>
    </r>
    <phoneticPr fontId="21" type="noConversion"/>
  </si>
  <si>
    <t>Efter årsopgørelse i juli eller ved fratræden</t>
    <phoneticPr fontId="21" type="noConversion"/>
  </si>
  <si>
    <t>gruppeliv i TopDanmark</t>
  </si>
  <si>
    <t>ikke pensionsgivende</t>
  </si>
  <si>
    <t xml:space="preserve">egetbidrag til pension eller pensionstillæg </t>
  </si>
  <si>
    <t>iflg. ansættelsesbrev
eller pluslønsaftale (IKKE løbende overtid!)</t>
  </si>
  <si>
    <t>altid pensionsgivende i LP, indgår i garantitillægsberegningen</t>
  </si>
  <si>
    <t>pensionsgivende, indgår i garantitillægsberegningen</t>
  </si>
  <si>
    <t>”Natpenge” iflg skema, hvis ikke der er lokalaftalt godtgørelse</t>
    <phoneticPr fontId="21" type="noConversion"/>
  </si>
  <si>
    <t>pensionsgivende, indgår IKKE i garantitillægsberegningen</t>
  </si>
  <si>
    <t>II</t>
  </si>
  <si>
    <t>III</t>
  </si>
  <si>
    <t>IV</t>
  </si>
  <si>
    <t>V</t>
  </si>
  <si>
    <t>Funktionsløn, kvalifikationsløn og resultatløn kaldes under et nyløn.</t>
  </si>
  <si>
    <t>STATENS LØNTABEL GRUNDBELØB PR. 1. OKTOBER 1997</t>
  </si>
  <si>
    <t>Hanna</t>
    <phoneticPr fontId="21" type="noConversion"/>
  </si>
  <si>
    <t>Basisløn</t>
    <phoneticPr fontId="21" type="noConversion"/>
  </si>
  <si>
    <t>Områdetillæg</t>
    <phoneticPr fontId="21" type="noConversion"/>
  </si>
  <si>
    <t>Der forudsættes generelt, at de pågældende er ansat hele skoleåret.</t>
  </si>
  <si>
    <t>læ:   0-650, bh:   0-750</t>
  </si>
  <si>
    <t>læ: 650-700, bh: 750-800</t>
  </si>
  <si>
    <t>Ofte er begrundelsen for et kvalifikationstillæg at tiltrække eller fastholde medarbejdere.</t>
  </si>
  <si>
    <t>AMB-grundlag</t>
    <phoneticPr fontId="21" type="noConversion"/>
  </si>
  <si>
    <t>AM-bidrag</t>
    <phoneticPr fontId="21" type="noConversion"/>
  </si>
  <si>
    <t>A-indkomst</t>
    <phoneticPr fontId="21" type="noConversion"/>
  </si>
  <si>
    <t>Skat</t>
    <phoneticPr fontId="21" type="noConversion"/>
  </si>
  <si>
    <t>Indbetaling til Gruppeliv</t>
    <phoneticPr fontId="21" type="noConversion"/>
  </si>
  <si>
    <t>Egetbidrag til ATP</t>
    <phoneticPr fontId="21" type="noConversion"/>
  </si>
  <si>
    <t>procentregulering +1</t>
  </si>
  <si>
    <t>stedtillægsområde</t>
  </si>
  <si>
    <t>skolens stedtillægsområde 2-6</t>
  </si>
  <si>
    <t>OK08-tillæg ikke pensionsgivende</t>
    <phoneticPr fontId="21" type="noConversion"/>
  </si>
  <si>
    <t>OK08-tillæg pensionsgivende</t>
    <phoneticPr fontId="21" type="noConversion"/>
  </si>
  <si>
    <t>Pensionstillæg basisløn</t>
    <phoneticPr fontId="21" type="noConversion"/>
  </si>
  <si>
    <t>Pensionstillæg souscheftillæg</t>
    <phoneticPr fontId="21" type="noConversion"/>
  </si>
  <si>
    <t>Bruttoløn (ekskl. pensionstillæg og ATP)</t>
    <phoneticPr fontId="21" type="noConversion"/>
  </si>
  <si>
    <t>Skattegrundlag</t>
    <phoneticPr fontId="21" type="noConversion"/>
  </si>
  <si>
    <t>Garantilønstillæg</t>
    <phoneticPr fontId="21" type="noConversion"/>
  </si>
  <si>
    <t>Hvis ansat 10 oktober: 21/31
Hvis fratrådt 15. februar: 15/28</t>
    <phoneticPr fontId="21" type="noConversion"/>
  </si>
  <si>
    <t>Supplerende pensionstillæg på 18%</t>
    <phoneticPr fontId="21" type="noConversion"/>
  </si>
  <si>
    <t>Skolens samlede indbetaling til LP</t>
    <phoneticPr fontId="21" type="noConversion"/>
  </si>
  <si>
    <t>Skolens samlede indbetaling til ATP</t>
    <phoneticPr fontId="21" type="noConversion"/>
  </si>
  <si>
    <t>SUM</t>
    <phoneticPr fontId="21" type="noConversion"/>
  </si>
  <si>
    <t>Pensionsordning</t>
    <phoneticPr fontId="21" type="noConversion"/>
  </si>
  <si>
    <t>Basislønsatserne er rettet til pr. 1. okt 2006</t>
  </si>
  <si>
    <t>Udligningstillæg beregnet 1. aug 2004</t>
    <phoneticPr fontId="21" type="noConversion"/>
  </si>
  <si>
    <t>Kvalifikationsløn gives for særlige kvalifikationer og kompetencer , fx diplomuddannelse, kyndighed eller særlig uddannelse i et fag fx fysik eller musik mmm.</t>
  </si>
  <si>
    <t>ikke reguleret-  ikke pensionsgivende</t>
  </si>
  <si>
    <t>Læ3</t>
  </si>
  <si>
    <t>Bh3</t>
  </si>
  <si>
    <t>Læ2</t>
  </si>
  <si>
    <t>Læ1</t>
  </si>
  <si>
    <t>Bh2</t>
  </si>
  <si>
    <t>iflg. ansættelsesbrev</t>
  </si>
  <si>
    <t>tabelløn/md.</t>
  </si>
  <si>
    <t>opslag i løntabel incl stedtillæg</t>
  </si>
  <si>
    <t>tabelløn x BG</t>
  </si>
  <si>
    <t>Normalt er funktionstillæg ikke afhængige af beskæftigelsesgraden, idet varigheden af varetagelsen af funktionen netop ikke afhænger af BG.</t>
  </si>
  <si>
    <t>Skolens stedtillægsområde</t>
    <phoneticPr fontId="21" type="noConversion"/>
  </si>
  <si>
    <t>Jubilæumsgratiale (skattefri op til 8.000 kr.)</t>
    <phoneticPr fontId="21" type="noConversion"/>
  </si>
  <si>
    <t>andet</t>
    <phoneticPr fontId="21" type="noConversion"/>
  </si>
  <si>
    <t>Ved 25: 5.900 kr., 40: 7.400 kr. og 50 års jubilæum: 8.800 kr.</t>
    <phoneticPr fontId="21" type="noConversion"/>
  </si>
  <si>
    <t>Praktiklærervederlag</t>
    <phoneticPr fontId="21" type="noConversion"/>
  </si>
  <si>
    <t>Skolens indbetaling til tjenestemandspension</t>
    <phoneticPr fontId="21" type="noConversion"/>
  </si>
  <si>
    <t>Resultatlønstillæg</t>
  </si>
  <si>
    <t>Censorvederlag</t>
  </si>
  <si>
    <t>I juli eller ved fratræden. Se pjecen "Ferievejledning 2010"</t>
    <phoneticPr fontId="21" type="noConversion"/>
  </si>
  <si>
    <r>
      <t xml:space="preserve">resultatløn, ikke pensionsgivende,
</t>
    </r>
    <r>
      <rPr>
        <b/>
        <sz val="10"/>
        <rFont val="Helvetica"/>
        <family val="2"/>
      </rPr>
      <t>årligt grundbeløb</t>
    </r>
  </si>
  <si>
    <r>
      <t xml:space="preserve">funktionstillæg, pensionsgivende,
</t>
    </r>
    <r>
      <rPr>
        <b/>
        <sz val="10"/>
        <rFont val="Helvetica"/>
        <family val="2"/>
      </rPr>
      <t>årligt grundbeløb</t>
    </r>
  </si>
  <si>
    <t>i 2009 og 2010: 1,90 kr. pr. km.</t>
    <phoneticPr fontId="21" type="noConversion"/>
  </si>
  <si>
    <t>i 2009 og 2010: 3,56 kr. pr. km.</t>
    <phoneticPr fontId="21" type="noConversion"/>
  </si>
  <si>
    <t>i 2009 og 2010: 97,50 kr. pr. døgn</t>
    <phoneticPr fontId="21" type="noConversion"/>
  </si>
  <si>
    <t>aug 09: 18,69 kr., okt 09: 18,80, apr. 10: 19,00 kr. pr. time</t>
    <phoneticPr fontId="21" type="noConversion"/>
  </si>
  <si>
    <t>Km.godtgørelse, lav sats (skattefri)</t>
    <phoneticPr fontId="21" type="noConversion"/>
  </si>
  <si>
    <t>Timedagpenge (skattefri)</t>
    <phoneticPr fontId="21" type="noConversion"/>
  </si>
  <si>
    <t>Arbejds- og arbejdstidsbestemte tillæg</t>
    <phoneticPr fontId="21" type="noConversion"/>
  </si>
  <si>
    <t>Overtidsbetaling</t>
    <phoneticPr fontId="21" type="noConversion"/>
  </si>
  <si>
    <t>Merarbejdsbetaling</t>
    <phoneticPr fontId="21" type="noConversion"/>
  </si>
  <si>
    <t>Særlige feriedage til udbetaling</t>
    <phoneticPr fontId="21" type="noConversion"/>
  </si>
  <si>
    <t>Engangs nylønstillæg</t>
    <phoneticPr fontId="21" type="noConversion"/>
  </si>
  <si>
    <t>Funktionstillæg er normalt ikke personligt knyttet til en bestemt medarbejder, men følger funktionen. Alligevel vil funktionstillæg ofte være aftalt som varige, (så længe funktionen eksisterer).</t>
  </si>
  <si>
    <r>
      <t xml:space="preserve">funktionstillæg, ikke pensionsgivende,
</t>
    </r>
    <r>
      <rPr>
        <b/>
        <sz val="10"/>
        <rFont val="Helvetica"/>
        <family val="2"/>
      </rPr>
      <t>årligt grundbeløb</t>
    </r>
  </si>
  <si>
    <r>
      <t>Lønberegning for:</t>
    </r>
    <r>
      <rPr>
        <sz val="9"/>
        <rFont val="Helvetica"/>
        <family val="2"/>
      </rPr>
      <t xml:space="preserve"> (navn eller initialer)</t>
    </r>
    <r>
      <rPr>
        <b/>
        <sz val="12"/>
        <rFont val="Helvetica"/>
        <family val="2"/>
      </rPr>
      <t xml:space="preserve">
</t>
    </r>
    <r>
      <rPr>
        <sz val="9"/>
        <rFont val="Helvetica"/>
        <family val="2"/>
      </rPr>
      <t xml:space="preserve"> - variable løndele i lin. 28-42.</t>
    </r>
    <phoneticPr fontId="21" type="noConversion"/>
  </si>
  <si>
    <t>Km.godtgørelse, høj sats (skattefri)</t>
    <phoneticPr fontId="21" type="noConversion"/>
  </si>
  <si>
    <t>I stedet for variable arbejdstidsbestemte tillæg, iflg lokalaftale</t>
    <phoneticPr fontId="21" type="noConversion"/>
  </si>
  <si>
    <r>
      <t xml:space="preserve">Del af måned </t>
    </r>
    <r>
      <rPr>
        <sz val="12"/>
        <rFont val="Helvetica"/>
        <family val="2"/>
      </rPr>
      <t xml:space="preserve">
</t>
    </r>
    <r>
      <rPr>
        <sz val="10"/>
        <rFont val="Helvetica"/>
        <family val="2"/>
      </rPr>
      <t>antal kalenderdage/månedens kalenderdage</t>
    </r>
    <phoneticPr fontId="21" type="noConversion"/>
  </si>
  <si>
    <r>
      <t>Basisløntrin</t>
    </r>
    <r>
      <rPr>
        <sz val="10"/>
        <rFont val="Helvetica"/>
        <family val="2"/>
      </rPr>
      <t>, Læ1, Læ2, Læ3, Bh1, Bh2 Bh3</t>
    </r>
    <phoneticPr fontId="21" type="noConversion"/>
  </si>
  <si>
    <t>ATP, samlet indbetaling</t>
  </si>
  <si>
    <t>•</t>
  </si>
  <si>
    <t>Kvalifikationstillæg er som regel personlige og varige, men kan aftales som midlertidige tillæg i en nærmere bestemt periode, eller som engangsydelse.</t>
  </si>
  <si>
    <t>Fast lokalaftalt godtgørelse</t>
    <phoneticPr fontId="21" type="noConversion"/>
  </si>
  <si>
    <t>Gruppelivstillæg</t>
    <phoneticPr fontId="21" type="noConversion"/>
  </si>
  <si>
    <t>VI</t>
  </si>
  <si>
    <t>Pensionsg.løn</t>
  </si>
  <si>
    <t>Bh1</t>
  </si>
  <si>
    <t xml:space="preserve">ansat d. </t>
    <phoneticPr fontId="21" type="noConversion"/>
  </si>
  <si>
    <t>RESULTATLØN</t>
  </si>
  <si>
    <t>læ: 700-750, bh: 800-835</t>
  </si>
  <si>
    <t xml:space="preserve">læ: 750-   , bh: 835-   </t>
  </si>
  <si>
    <t>Decentrale tillæg kan gives som varige eller midlertidige i en bestemt periode, eller de kan udbetales som en engangsydelse.</t>
  </si>
  <si>
    <t>"Funktionstillæg", der gives til alle lærere eller en gruppe efter objektive kriterier på en skole er i virkeligheden kvalifikationstillæg, der er benævnt forkert.</t>
  </si>
  <si>
    <t>Undervisningstillæg</t>
    <phoneticPr fontId="21" type="noConversion"/>
  </si>
  <si>
    <t>Souscheftillæg</t>
    <phoneticPr fontId="21" type="noConversion"/>
  </si>
  <si>
    <t>Funktionstillæg 1</t>
    <phoneticPr fontId="21" type="noConversion"/>
  </si>
  <si>
    <t>Funktionstillæg 2</t>
  </si>
  <si>
    <t>Funktionstillæg 3</t>
  </si>
  <si>
    <t>Kvalifikationstillæg 1</t>
    <phoneticPr fontId="21" type="noConversion"/>
  </si>
  <si>
    <t>Kvalifikationstillæg 2</t>
  </si>
  <si>
    <t>Kvalifikationstillæg 3</t>
  </si>
  <si>
    <t>Ulempegodtgørelse</t>
    <phoneticPr fontId="21" type="noConversion"/>
  </si>
  <si>
    <t>Engangsudbetalinger iflg. specifikation</t>
    <phoneticPr fontId="21" type="noConversion"/>
  </si>
  <si>
    <t>Egetbidrag til LP</t>
    <phoneticPr fontId="21" type="noConversion"/>
  </si>
  <si>
    <t>Pensionstillæg i alt</t>
    <phoneticPr fontId="21" type="noConversion"/>
  </si>
  <si>
    <t>se i løntabel</t>
    <phoneticPr fontId="21" type="noConversion"/>
  </si>
  <si>
    <t>Pensionstillæg undervisningstillæg</t>
    <phoneticPr fontId="21" type="noConversion"/>
  </si>
  <si>
    <t>Arbejdsgiverbidrag til LP</t>
    <phoneticPr fontId="21" type="noConversion"/>
  </si>
  <si>
    <t>Udfyld gule felter (alle forudfyldte tal i gule felter er eksempler)</t>
    <phoneticPr fontId="21" type="noConversion"/>
  </si>
  <si>
    <t>specifikation af uv.tillæg</t>
    <phoneticPr fontId="21" type="noConversion"/>
  </si>
  <si>
    <r>
      <t>Hvis 'JA' beregnes for alle pensionsgivende beløb pension i LP for personer med tjenestemandspension</t>
    </r>
    <r>
      <rPr>
        <sz val="8"/>
        <rFont val="Helvetica"/>
        <family val="2"/>
      </rPr>
      <t xml:space="preserve"> (17,3% og 18% over visse beløb)</t>
    </r>
    <phoneticPr fontId="21" type="noConversion"/>
  </si>
  <si>
    <r>
      <t xml:space="preserve">Kval.tillæg, </t>
    </r>
    <r>
      <rPr>
        <b/>
        <sz val="10"/>
        <rFont val="Helvetica"/>
        <family val="2"/>
      </rPr>
      <t>ikke</t>
    </r>
    <r>
      <rPr>
        <sz val="10"/>
        <rFont val="Helvetica"/>
        <family val="2"/>
      </rPr>
      <t xml:space="preserve"> afhængig af BG,
årligt grundbeløb</t>
    </r>
    <phoneticPr fontId="21" type="noConversion"/>
  </si>
  <si>
    <t>Kval.tillæg, afhængig af BG,
årligt grundbeløb v. 100% BG</t>
    <phoneticPr fontId="21" type="noConversion"/>
  </si>
  <si>
    <t>Pensionstillæg Funktionstillæg 1</t>
    <phoneticPr fontId="21" type="noConversion"/>
  </si>
  <si>
    <t>Pensionstillæg Funktionstillæg 2</t>
  </si>
  <si>
    <t>Feriedifference</t>
  </si>
  <si>
    <t>Se pjecen "Ferievejledning 2010"</t>
    <phoneticPr fontId="21" type="noConversion"/>
  </si>
  <si>
    <t>Feriegodtgørelsesgrundlag, jan-dec 09</t>
    <phoneticPr fontId="21" type="noConversion"/>
  </si>
  <si>
    <t>Feriepengeberegningsgrundlag, jan-jul 10</t>
    <phoneticPr fontId="21" type="noConversion"/>
  </si>
  <si>
    <t>ikke pensionsgivende ikke afhængig af BG</t>
  </si>
  <si>
    <r>
      <t xml:space="preserve">kvalifikationstillæg, ikke pensionsgivende,
</t>
    </r>
    <r>
      <rPr>
        <b/>
        <sz val="10"/>
        <rFont val="Helvetica"/>
        <family val="2"/>
      </rPr>
      <t>årligt grundbeløb</t>
    </r>
  </si>
  <si>
    <t>Egenbetalte fridage</t>
    <phoneticPr fontId="21" type="noConversion"/>
  </si>
  <si>
    <t>Skatteprocent</t>
    <phoneticPr fontId="21" type="noConversion"/>
  </si>
  <si>
    <t>Månedligt skattefradrag</t>
    <phoneticPr fontId="21" type="noConversion"/>
  </si>
  <si>
    <t>Flydende tillæg (beregn selv!)</t>
    <phoneticPr fontId="21" type="noConversion"/>
  </si>
  <si>
    <t>NN</t>
    <phoneticPr fontId="21" type="noConversion"/>
  </si>
  <si>
    <t>basisløn for lærer (Læ) eller bhkl.leder (Bh)</t>
    <phoneticPr fontId="21" type="noConversion"/>
  </si>
  <si>
    <t>Udligningstillæg, beregnet pr. 1. aug 04
årligt grundbeløb v. 100% BG</t>
    <phoneticPr fontId="21" type="noConversion"/>
  </si>
  <si>
    <t>Suppl. pension i LP JA/NEJ</t>
    <phoneticPr fontId="21" type="noConversion"/>
  </si>
  <si>
    <t>Særlig feriegodtgørelse (Ferietillæg) 1,5%</t>
    <phoneticPr fontId="21" type="noConversion"/>
  </si>
  <si>
    <t>Kalenderårets sum benyttes ved beregning af ferietillæg 1,5%</t>
    <phoneticPr fontId="21" type="noConversion"/>
  </si>
  <si>
    <t>Kalenderårets gennemsnit benyttes ved beregning af feriedifference</t>
    <phoneticPr fontId="21" type="noConversion"/>
  </si>
  <si>
    <t>Feriedifference af pension</t>
    <phoneticPr fontId="21" type="noConversion"/>
  </si>
  <si>
    <t>Procentregulering +1</t>
    <phoneticPr fontId="21" type="noConversion"/>
  </si>
  <si>
    <t>Beskæftigelsesgrad</t>
    <phoneticPr fontId="21" type="noConversion"/>
  </si>
  <si>
    <t>Undervisningstimer årligt</t>
    <phoneticPr fontId="21" type="noConversion"/>
  </si>
  <si>
    <t>Årligt souscheftillæg i grundbeløb,
skriv 14.700.</t>
    <phoneticPr fontId="21" type="noConversion"/>
  </si>
  <si>
    <t>Måned</t>
  </si>
  <si>
    <t>Løn til den ansattes disposition</t>
    <phoneticPr fontId="21" type="noConversion"/>
  </si>
  <si>
    <t>L</t>
    <phoneticPr fontId="21" type="noConversion"/>
  </si>
  <si>
    <t>Bh1</t>
    <phoneticPr fontId="21" type="noConversion"/>
  </si>
  <si>
    <t>Planlagte feriedage</t>
    <phoneticPr fontId="21" type="noConversion"/>
  </si>
  <si>
    <t>Normalt 5 dage i aug og 20 dage i juli.</t>
    <phoneticPr fontId="21" type="noConversion"/>
  </si>
  <si>
    <t>Kalenderårets sum benyttes ved fratræden og særlige feriedage</t>
  </si>
  <si>
    <t>Beregningsgrundlag for feriedifference</t>
    <phoneticPr fontId="21" type="noConversion"/>
  </si>
  <si>
    <t>Funktionsløn gives for varetagelse af særlige funktioner. Fx lokaletilsyn, ansvar for it, ansvarlig for vikartilkald mmm.</t>
  </si>
  <si>
    <t>NEJ</t>
    <phoneticPr fontId="21" type="noConversion"/>
  </si>
  <si>
    <r>
      <t xml:space="preserve">.. heraf antal feriedage,
hvortil der </t>
    </r>
    <r>
      <rPr>
        <b/>
        <i/>
        <sz val="10"/>
        <rFont val="Helvetica"/>
        <family val="2"/>
      </rPr>
      <t>ikke</t>
    </r>
    <r>
      <rPr>
        <i/>
        <sz val="10"/>
        <rFont val="Helvetica"/>
        <family val="2"/>
      </rPr>
      <t xml:space="preserve"> er optjent ferieret</t>
    </r>
    <phoneticPr fontId="21" type="noConversion"/>
  </si>
  <si>
    <t>AUG 09</t>
  </si>
  <si>
    <t>SEP09</t>
  </si>
  <si>
    <t>OKT 09</t>
  </si>
  <si>
    <t>NOV 09</t>
  </si>
  <si>
    <t>DEC 09</t>
  </si>
  <si>
    <t>JAN 10</t>
  </si>
  <si>
    <t>FEB 10</t>
  </si>
  <si>
    <t>MAR 10</t>
  </si>
  <si>
    <t>APR 10</t>
  </si>
  <si>
    <t>MAJ10</t>
  </si>
  <si>
    <t>JUN 10</t>
  </si>
  <si>
    <t>JUL 10</t>
  </si>
  <si>
    <t>1,5% af beregningsgrundlaget for 2010</t>
    <phoneticPr fontId="21" type="noConversion"/>
  </si>
  <si>
    <r>
      <t>Gennemsnitlig BG</t>
    </r>
    <r>
      <rPr>
        <i/>
        <sz val="9"/>
        <rFont val="Helvetica"/>
        <family val="2"/>
      </rPr>
      <t xml:space="preserve"> i 2009</t>
    </r>
    <phoneticPr fontId="21" type="noConversion"/>
  </si>
  <si>
    <r>
      <t>Gennemsnitlig BG</t>
    </r>
    <r>
      <rPr>
        <i/>
        <sz val="9"/>
        <rFont val="Helvetica"/>
        <family val="2"/>
      </rPr>
      <t xml:space="preserve"> i 2010</t>
    </r>
    <phoneticPr fontId="21" type="noConversion"/>
  </si>
  <si>
    <r>
      <t>Gennemsnitlig BG</t>
    </r>
    <r>
      <rPr>
        <i/>
        <sz val="9"/>
        <rFont val="Helvetica"/>
        <family val="2"/>
      </rPr>
      <t xml:space="preserve"> i 2009</t>
    </r>
    <phoneticPr fontId="21" type="noConversion"/>
  </si>
  <si>
    <r>
      <t>Gennemsnitlig BG</t>
    </r>
    <r>
      <rPr>
        <i/>
        <sz val="9"/>
        <rFont val="Helvetica"/>
        <family val="2"/>
      </rPr>
      <t xml:space="preserve"> i 2008</t>
    </r>
    <phoneticPr fontId="21" type="noConversion"/>
  </si>
  <si>
    <t>Feriegodtgørelsesgrundlag, jan-dec 10</t>
    <phoneticPr fontId="21" type="noConversion"/>
  </si>
  <si>
    <t>Feriegodtgørelsesgrundlag, jan-juli 11</t>
    <phoneticPr fontId="21" type="noConversion"/>
  </si>
  <si>
    <t>Feriepengeberegningsgrundlag, jan-dec 10</t>
    <phoneticPr fontId="21" type="noConversion"/>
  </si>
  <si>
    <t>Feriepengeberegningsgrundlag, jan-jul 11</t>
    <phoneticPr fontId="21" type="noConversion"/>
  </si>
  <si>
    <t>Udbetales i den måned hovedferien begynder, normalt juli</t>
    <phoneticPr fontId="21" type="noConversion"/>
  </si>
  <si>
    <t>Fradrag i pensionstillæg for ikke optjent ferie mv.</t>
    <phoneticPr fontId="21" type="noConversion"/>
  </si>
  <si>
    <t>Løn- og pensionsfradrag beregnes i lin 60 og 78</t>
    <phoneticPr fontId="21" type="noConversion"/>
  </si>
  <si>
    <t>NEJ</t>
    <phoneticPr fontId="21" type="noConversion"/>
  </si>
  <si>
    <t>Lønfradrag for ikke optjent ferie mv.</t>
    <phoneticPr fontId="21" type="noConversion"/>
  </si>
  <si>
    <t>Lokalaftalt fast suppl. ulempegodtgørelse</t>
    <phoneticPr fontId="21" type="noConversion"/>
  </si>
  <si>
    <t>Beregningsgrundlag af feriediff.for pension</t>
    <phoneticPr fontId="21" type="noConversion"/>
  </si>
  <si>
    <t>Benyttes ved beregning af feriedifference.</t>
  </si>
  <si>
    <t>Benyttes ved beregning af feriedifference.</t>
    <phoneticPr fontId="21" type="noConversion"/>
  </si>
  <si>
    <r>
      <t xml:space="preserve">Funktionsstillæg, </t>
    </r>
    <r>
      <rPr>
        <b/>
        <sz val="10"/>
        <rFont val="Helvetica"/>
        <family val="2"/>
      </rPr>
      <t>ikke</t>
    </r>
    <r>
      <rPr>
        <sz val="10"/>
        <rFont val="Helvetica"/>
        <family val="2"/>
      </rPr>
      <t xml:space="preserve"> afh. af BG,
årligt grundbeløb</t>
    </r>
    <phoneticPr fontId="21" type="noConversion"/>
  </si>
  <si>
    <t>1,5% af beregningsgrundlaget for 2009</t>
    <phoneticPr fontId="21" type="noConversion"/>
  </si>
  <si>
    <t>ansat 14. feb 10</t>
  </si>
  <si>
    <t>Hvis ansat 10 oktober: 21/31
Hvis fratrådt 15. februar 12: 15/29</t>
  </si>
  <si>
    <t>Se pjecen "Ferievejledning 2011"</t>
  </si>
  <si>
    <t>Feriegodtgørelsesgrundlag, jan-dec 11</t>
  </si>
  <si>
    <t>Feriegodtgørelsesgrundlag, jan-juli 12</t>
  </si>
  <si>
    <t>Feriepengeberegningsgrundlag, jan-dec 11</t>
  </si>
  <si>
    <t>Feriepengeberegningsgrundlag, jan-jul 12</t>
  </si>
  <si>
    <t>F</t>
  </si>
  <si>
    <t>L</t>
  </si>
  <si>
    <t>Se løntabel</t>
  </si>
  <si>
    <t>NN</t>
  </si>
  <si>
    <t>Ark:</t>
  </si>
  <si>
    <t>A</t>
  </si>
  <si>
    <t>Måned:</t>
  </si>
  <si>
    <t>fx: AUG</t>
  </si>
  <si>
    <t>LØNSPECIFIKATION for</t>
  </si>
  <si>
    <t xml:space="preserve">LØNPERIODE: </t>
  </si>
  <si>
    <t>BESKÆFTIGELSESGRAD:</t>
  </si>
  <si>
    <t>DEL AF MÅNED:</t>
  </si>
  <si>
    <t>LØNTRIN:</t>
  </si>
  <si>
    <t>fx: Leder</t>
  </si>
  <si>
    <t>AUG</t>
  </si>
  <si>
    <r>
      <t>Gennemsnitlig BG</t>
    </r>
    <r>
      <rPr>
        <i/>
        <sz val="9"/>
        <rFont val="Helvetica"/>
        <family val="2"/>
      </rPr>
      <t xml:space="preserve"> i 2010</t>
    </r>
  </si>
  <si>
    <r>
      <t>Gennemsnitlig BG</t>
    </r>
    <r>
      <rPr>
        <i/>
        <sz val="9"/>
        <rFont val="Helvetica"/>
        <family val="2"/>
      </rPr>
      <t xml:space="preserve"> i 2011</t>
    </r>
  </si>
  <si>
    <t>STATENS LØNTABEL GRUNDBELØB PR. 31. marts 2012</t>
  </si>
  <si>
    <t>Basistrin</t>
  </si>
  <si>
    <t>Midlertidigt områdetillæg 2007:</t>
  </si>
  <si>
    <t>årligt</t>
  </si>
  <si>
    <t>II til III</t>
  </si>
  <si>
    <t>III til IV</t>
  </si>
  <si>
    <t>IV til V</t>
  </si>
  <si>
    <t>V til VI</t>
  </si>
  <si>
    <t>månedligt</t>
  </si>
  <si>
    <t xml:space="preserve">Hvis der er brug for flere lærere kan et vilkårligt ark (fane) kopieres. </t>
  </si>
  <si>
    <t>Årligt souscheftillæg i grundbeløb,
skriv 14.700. Pr. 1. april 2012: 19.300 .</t>
  </si>
  <si>
    <t>SEP</t>
  </si>
  <si>
    <t>e</t>
  </si>
  <si>
    <t>OKT</t>
  </si>
  <si>
    <t>f</t>
  </si>
  <si>
    <t>NOV</t>
  </si>
  <si>
    <t>g</t>
  </si>
  <si>
    <t>DEC</t>
  </si>
  <si>
    <t>h</t>
  </si>
  <si>
    <t>JAN</t>
  </si>
  <si>
    <t>i</t>
  </si>
  <si>
    <t>FEB</t>
  </si>
  <si>
    <t>j</t>
  </si>
  <si>
    <t>MAR</t>
  </si>
  <si>
    <t>k</t>
  </si>
  <si>
    <t>APR</t>
  </si>
  <si>
    <t>l</t>
  </si>
  <si>
    <t>MAJ</t>
  </si>
  <si>
    <t>m</t>
  </si>
  <si>
    <t>JUN</t>
  </si>
  <si>
    <t>n</t>
  </si>
  <si>
    <t>JUL</t>
  </si>
  <si>
    <t>o</t>
  </si>
  <si>
    <t>Feriegodtgørelsesgrundlag, jan-juli 10</t>
  </si>
  <si>
    <t>Feriepengeberegningsgrundlag, jan-dec 09</t>
  </si>
  <si>
    <t>1,5% af beregningsgrundlaget for 2011</t>
  </si>
  <si>
    <t>ALLE</t>
  </si>
  <si>
    <r>
      <t>Gennemsnitlig BG</t>
    </r>
    <r>
      <rPr>
        <i/>
        <sz val="9"/>
        <rFont val="Helvetica"/>
        <family val="2"/>
      </rPr>
      <t xml:space="preserve"> i 2012</t>
    </r>
  </si>
  <si>
    <t>Feriegodtgørelsesgrundlag, jan-dec 12</t>
  </si>
  <si>
    <t>Feriegodtgørelsesgrundlag, jan-juli 13</t>
  </si>
  <si>
    <t>Feriepengeberegningsgrundlag, jan-dec 12</t>
  </si>
  <si>
    <t>Feriepengeberegningsgrundlag, jan-jul 13</t>
  </si>
  <si>
    <t>Se pjecen "Ferievejledning 2012"</t>
  </si>
  <si>
    <t>I juli eller ved fratræden. Se pjecen "Ferievejledning 2012"</t>
  </si>
  <si>
    <r>
      <t xml:space="preserve">Kval.tillæg, afhængig af BG, årligt grundbeløb
 v. 100% BG </t>
    </r>
    <r>
      <rPr>
        <b/>
        <sz val="10"/>
        <rFont val="Helvetica"/>
        <family val="2"/>
      </rPr>
      <t>påvirker ikke garantiløn</t>
    </r>
  </si>
  <si>
    <r>
      <t xml:space="preserve">pensionsgivende, indgår </t>
    </r>
    <r>
      <rPr>
        <b/>
        <sz val="10"/>
        <rFont val="Helvetica"/>
        <family val="2"/>
      </rPr>
      <t>IKKE</t>
    </r>
    <r>
      <rPr>
        <sz val="10"/>
        <rFont val="Helvetica"/>
        <family val="2"/>
      </rPr>
      <t xml:space="preserve"> i garantitillægsberegningen</t>
    </r>
  </si>
  <si>
    <t>Årlig intervalløn i 31.03.12-niveau</t>
  </si>
  <si>
    <t>INTERVALLØN i 31.03.12-niveau:</t>
  </si>
  <si>
    <t>2012/13</t>
  </si>
  <si>
    <t>jan-jul</t>
  </si>
  <si>
    <t>Årligt souscheftillæg i grundbeløb,
skriv : 19.300 .</t>
  </si>
  <si>
    <t>altid pensionsgivende i LP</t>
  </si>
  <si>
    <t>pensionsgivende for lærere i LP</t>
  </si>
  <si>
    <r>
      <t>Basisløntrin</t>
    </r>
    <r>
      <rPr>
        <sz val="10"/>
        <rFont val="Helvetica"/>
        <family val="2"/>
      </rPr>
      <t>, Læ1 -, Læ4, Bh1 -  Bh4</t>
    </r>
  </si>
  <si>
    <t>Trin 4-tillæg beregnet pr. 1. aug 2014
årligt grundbeløb v. 100% BG</t>
  </si>
  <si>
    <t>Kval.tillæg, afhængig af BG,
årligt grundbeløb v. 100% BG</t>
  </si>
  <si>
    <t>pensionsgivende for lærere i LP. 
Kan ikke gives samtidig med trin 4-tillæg</t>
  </si>
  <si>
    <t>pensionsgivende for lærere i LP – kun for lærere, der var ansat på nærværende skole før 1. aug 04</t>
  </si>
  <si>
    <t>Trin 4-tillæg beregnet 1. aug 2014</t>
  </si>
  <si>
    <t>Pensionstillæg af trin 4-tillæg</t>
  </si>
  <si>
    <r>
      <t>Gennemsnitlig BG</t>
    </r>
    <r>
      <rPr>
        <i/>
        <sz val="9"/>
        <rFont val="Helvetica"/>
        <family val="2"/>
      </rPr>
      <t xml:space="preserve"> i 2013</t>
    </r>
  </si>
  <si>
    <t>Se pjecen "Ferievejledning 2013"</t>
  </si>
  <si>
    <t>Feriegodtgørelsesgrundlag, jan-dec 13</t>
  </si>
  <si>
    <t>Feriegodtgørelsesgrundlag, jan-juli 14</t>
  </si>
  <si>
    <t>Feriepengeberegningsgrundlag, jan-dec 13</t>
  </si>
  <si>
    <t>Feriepengeberegningsgrundlag, jan-jul 14</t>
  </si>
  <si>
    <t>Hvis ansat 10 oktober: 21/31
Hvis fratrådt 15. april 12: 15/30</t>
  </si>
  <si>
    <t>OK13-tillæg</t>
  </si>
  <si>
    <t>Pensionstillæg af OK13-tillæg</t>
  </si>
  <si>
    <t>2008/09</t>
  </si>
  <si>
    <t>2009/10</t>
  </si>
  <si>
    <t>2010/11</t>
  </si>
  <si>
    <t>2011/12</t>
  </si>
  <si>
    <t>SAMMENHÆNG MED ANSATTE MED TRIN 4-TILLÆG</t>
  </si>
  <si>
    <t>ÅRLIG LØN i grundbeløb pr. 31.03.12</t>
  </si>
  <si>
    <t>Anette</t>
  </si>
  <si>
    <t>Lærer eller børnehaveklasseleder  Skriv L eller B</t>
  </si>
  <si>
    <t>Løn, basistrin 3</t>
  </si>
  <si>
    <t>Udligningstillæg fra 2004</t>
  </si>
  <si>
    <t>Varigt kvalifikationstillæg</t>
  </si>
  <si>
    <t>Gruppevist funktionstillæg (egl. kvalifikationstillæg)</t>
  </si>
  <si>
    <t>Midlertidigt kvalifikationstillæg (indgår ikke i garantilønsberegning)</t>
  </si>
  <si>
    <t>Midlertidige og varige lokalaftalte funktionstillæg (ikke i garantiberegn.)</t>
  </si>
  <si>
    <t>Løn, basistrin 4 pr. 1. august 2013</t>
  </si>
  <si>
    <t>Pensionsgivende trin 4-tillæg pr. 1. august 2013</t>
  </si>
  <si>
    <t>Skriv beløbene ind for fuld tid! Beskæftigelsesgraden indgår ved den konkrete lønbehandling.</t>
  </si>
  <si>
    <t>OK08-tillæg</t>
  </si>
  <si>
    <t>Ansatte, der pr. 1. april 2013 havde mindst 12 års anciennitet, og som stadig er ansat efter 1. august 2013, overgik 1. august 2013 til basistrin 4. Hvis den hidtidige samlede løn inklusive et evt. udligningstillæg fra 1. august 2004 men eksklusiv alle centralt aftalte tillæg (herunder undervisningstillæg) og alle engangsudbetalinger ved overgangen til basistrin 4 hermed gik ned, skulle der pr. 1. august 2013 beregnes et trin 4-tillæg, der udlignede lønforskellen.
Udover trin 4-tillægget, der på en måde indeholder hidtidige decentralt aftalte funktionstillæg og evt. midlertidige kvalifikationstillæg, kan sådanne ansatte få aftalt nye kvalifikation- og funktionstillæg.</t>
  </si>
  <si>
    <t>Hvis ansat 10 oktober: 21/31
Hvis fratrådt 15. september 13: 15/30</t>
  </si>
  <si>
    <t>Anne</t>
  </si>
  <si>
    <t>allerede udfyldte gule tal er eksempler, som kan/bør overskrives</t>
  </si>
  <si>
    <t>falder bort 1. aug 2013</t>
  </si>
  <si>
    <t>ydes afhængig af lokal lønaftale fortsat efter 1. aug 2013 udover trin 4-tillægget</t>
  </si>
  <si>
    <r>
      <t>Beregnet garantitillæg før 1. august 2013</t>
    </r>
    <r>
      <rPr>
        <sz val="10"/>
        <rFont val="Helvetica"/>
        <family val="2"/>
      </rPr>
      <t xml:space="preserve"> (som det burde have set ud)</t>
    </r>
  </si>
  <si>
    <t>falder under alle omstændigheder bort 1. aug 2013 for ansatte med 12 års anc.</t>
  </si>
  <si>
    <r>
      <t>OK2008-tillæg jf. §4 stk. 6 og §4 stk. 7</t>
    </r>
    <r>
      <rPr>
        <sz val="10"/>
        <rFont val="Helvetica"/>
        <family val="2"/>
      </rPr>
      <t xml:space="preserve"> (som det burde have set ud)</t>
    </r>
  </si>
  <si>
    <t>svarende til teknisk trin 4</t>
  </si>
  <si>
    <t>Ansatte, der først opnår 12 års anciennitet senere end 1. april 2013, skal IKKE have beregnet trin 4-tillæg! De beholder et evt. udligningstillæg fra 2004</t>
  </si>
  <si>
    <t>Beskæftigelsesgrad (aug 2013)</t>
  </si>
  <si>
    <t>Månedligt basistrin 4-løn (aug 2013)</t>
  </si>
  <si>
    <t>månedligt trin 4-tillæg (aug 2013)</t>
  </si>
  <si>
    <t>Læ4</t>
  </si>
  <si>
    <t>Bh4</t>
  </si>
  <si>
    <t>Uddrag af FSLs udmelding om trin 4-tillæg og sammenhængen til decentral løn:</t>
  </si>
  <si>
    <t>Tillæg skal ikke fordobles</t>
  </si>
  <si>
    <t>De lærere, som i forvejen er på garantitrinnet og nu skal ind på trin 4, har fået afregnet for de tillæg, som indgår i deres trin 4 tillæg.</t>
  </si>
  <si>
    <t>Diskussionen har gået på, om man, såfremt man havde et tillæg for eksempelvis at være TR, skulle have tillægget en gang til, når nu tillægget var blevet til et varigt, personligt og pensionsgivende tillæg. Og svaret lyder: Det har man ikke krav på!</t>
  </si>
  <si>
    <t>Et eksempel: En medarbejder, som i det gamle system fik et tillæg for en bestemt funktion, får nu det tillæg som en del af det nye trin 4 tillæg. Hvis medarbejderen stopper i den funktion, som udløste tillægget, får det ingen konsekvenser for medarbejderens trin 4 tillæg. Men hvis hans funktion overtages af en anden medarbejder, skal denne have tillægget (medmindre tillægget allerede en gang er indregnet i vedkommendes eventuelle trin 4 tillæg).</t>
  </si>
  <si>
    <t>Det er altså kun nye eller ændrede funktioner samt nye kvalifikationstillæg, som vil være med til at løfte lønnen for dem, der er på trin 4. Dog gælder det, at hvis et af de tillæg, som indgår i en lærers trin 4 tillæg, stiger, fordi det aftales, skal stigningen også komme læreren til gode i form af et nyt tillæg. Det gælder dog kun, hvis læreren stadig er berettiget til tillægget.</t>
  </si>
  <si>
    <t>Vi er helt klar over, at FSL’s første udmelding ikke var så klar, som det meldes ud her, men de mange henvendelser fra skoler og TR’ere har ført til en fælles afklaring, som tager hensyn til skolernes decentral løn-profil, og det flugter godt med tænkningen bag decentral løn.</t>
  </si>
  <si>
    <t>Det kan ikke udelukkes, at det vil blive nødvendigt lokalt at diskutere tillægsstruktur og eventuelt lønpolitikken for at være sikker på, at intentionerne i den lokale lønpolitik stadigt overholdes. I den forbindelse er det vigtigt for FSL at understrege, at TR ikke bør opsige varige tillæg uden først at vende det med en konsulent på sekretariatet  og diskuteret det med medlemmerne. Ændringer kan have meget vidtgående konsekvenser for de berørte.</t>
  </si>
  <si>
    <t>Tillæg 4 kan være decentral løn</t>
  </si>
  <si>
    <t>FSL har regnet ud, at en gennemsnitlig skole binder cirka 1½ % i trin 4 tillægget. Der vil være store lokale forskelle på, hvor meget der er bundet i trin 4 tillægget, afhængigt af hvor mange lærere, der har mere end 12 års anciennitet. Det vil være en god ide at skabe en fælles forståelse for jeres lokale procenttal, inden I begynder jeres lønforhandling. Men det er vigtigt at være opmærksom på, at skolen kan hævde, at en del af den decentrale løn er brugt til at finansiere trin 4 tillægget. Og det er det andet punkt fra forståelsespapiret: Skolerne kan bruge en del af decentral løn til at finansiere trin 4 tillægget.</t>
  </si>
  <si>
    <t>Der er luft til lokal løn</t>
  </si>
  <si>
    <t>Det er også vigtigt at nævne, at der stadig skal forhandles decentral løn på skolerne, og at det stadigt er TR, som forhandler med skolens leder.</t>
  </si>
  <si>
    <t>Det er således vores klare overbevisning, at den decentrale løn fortsat skal udvikles på den enkelte skole, og det er også, hvad vi er blevet præsenteret for i MOS. Aldrig har det været mere nærliggende at sammenligne lønnen med den lokale folkeskole. Vi har identiske arbejdstidsregler fra 1. august 2014, og derfor bør vi også have samme løn. FSL arbejder i øjeblikket på at få bedre tal for den enkelte kommunes lønaftaler for folkeskolen, og vi udvikler til stadighed vores værktøj til lønsammenligning.</t>
  </si>
  <si>
    <t>Der vil på langt de fleste skoler være et budgetmæssigt råderum til at udvikle den decentrale løn i år. Vi fik ikke nogen central lønstigning den 1. april, og det bør i stedet give plads til en stigning i de lokale tillæg, da de færreste skoler har budgetteret med en nulvækst på lønnen i et overenskomstår.</t>
  </si>
  <si>
    <t>Samtidig må vi sige, at tænkningen i det nye lønsystem ligesom i det gamle er, at den decentrale løn fortsat skal udvikles. Det nye lønsystem er ”betalt” med afskaffelsen af råderumspapiret og ikke mindst garantiudmøntningen. Så på de fleste skoler bør der alt andet lige være plads til en stigning i den decentrale løn.</t>
  </si>
  <si>
    <t>for ansatte med tjenestemandspension er det kun pensionsgivende, hvis der i forvejen var aftalt supplerende pension</t>
  </si>
  <si>
    <r>
      <t>Basisløntrin</t>
    </r>
    <r>
      <rPr>
        <sz val="10"/>
        <rFont val="Helvetica"/>
        <family val="2"/>
      </rPr>
      <t>, Læ1 - Læ4, Bh1 -  Bh4</t>
    </r>
  </si>
  <si>
    <t>jan-juli</t>
  </si>
  <si>
    <t>Pensionsg.</t>
  </si>
  <si>
    <t>sæt 'x'</t>
  </si>
  <si>
    <t>x</t>
  </si>
  <si>
    <t>p</t>
  </si>
  <si>
    <t>q</t>
  </si>
  <si>
    <t>r</t>
  </si>
  <si>
    <r>
      <t xml:space="preserve">Funktionsstillæg, </t>
    </r>
    <r>
      <rPr>
        <sz val="10"/>
        <rFont val="Helvetica"/>
        <family val="2"/>
      </rPr>
      <t>årligt grundbeløb</t>
    </r>
  </si>
  <si>
    <r>
      <t>Kval.tillæg</t>
    </r>
    <r>
      <rPr>
        <sz val="10"/>
        <rFont val="Helvetica"/>
        <family val="2"/>
      </rPr>
      <t>,
årligt grundbeløb</t>
    </r>
  </si>
  <si>
    <t>Km.godtgørelse, lav sats (skattefri), antal km:</t>
  </si>
  <si>
    <t>Km.godtgørelse, høj sats (skattefri), antal km:</t>
  </si>
  <si>
    <t>km-
tak-ster</t>
  </si>
  <si>
    <t>Timedagpenge (skattefri), beregn selv!</t>
  </si>
  <si>
    <t>Timetakst vedr 25, og 50% mv.</t>
  </si>
  <si>
    <t>Timetakst vedr 25, og 50% mv., pensionstillæg</t>
  </si>
  <si>
    <t>SKOLENS STEDTILLÆGSOMRÅDE:</t>
  </si>
  <si>
    <t>ÅRLIGT UNDERVISNINGSTIMETAL:</t>
  </si>
  <si>
    <t>Andre engangsudbetalinger iflg. specifikation</t>
  </si>
  <si>
    <t>Skattefri km.godtgørelse, lav sats</t>
  </si>
  <si>
    <t>Skattefri km.godtgørelse, høj sats</t>
  </si>
  <si>
    <t>Skattefri time/dagpenge</t>
  </si>
  <si>
    <t>Skattefri jubilæumsgratiale</t>
  </si>
  <si>
    <t>25%-tillæg</t>
  </si>
  <si>
    <t>50%-tillæg</t>
  </si>
  <si>
    <t>25%-tillæg *)</t>
  </si>
  <si>
    <t>50%-tillæg *)</t>
  </si>
  <si>
    <t>LØNTRIN og PENSIONSORDNING:</t>
  </si>
  <si>
    <t>Supplerende pensionstillæg på 18% **)</t>
  </si>
  <si>
    <t>PENSIONSORDNING:</t>
  </si>
  <si>
    <t>Pensg. løn skalatrin 33 eller 42</t>
  </si>
  <si>
    <t>E40</t>
  </si>
  <si>
    <t>NEJ</t>
  </si>
  <si>
    <t>Basislønsatserne er rettet til pr. 1. okt 2006 og igen 30. maj 2013 og 1. aug 2013</t>
  </si>
  <si>
    <t>Stilling</t>
  </si>
  <si>
    <t>Pension</t>
  </si>
  <si>
    <t>E24</t>
  </si>
  <si>
    <t>E25</t>
  </si>
  <si>
    <t>E27</t>
  </si>
  <si>
    <t>E30</t>
  </si>
  <si>
    <t>E31</t>
  </si>
  <si>
    <t>E32</t>
  </si>
  <si>
    <t>E33</t>
  </si>
  <si>
    <t>E35</t>
  </si>
  <si>
    <t>E36</t>
  </si>
  <si>
    <t>E37</t>
  </si>
  <si>
    <t>E38</t>
  </si>
  <si>
    <t>E42</t>
  </si>
  <si>
    <t>P24</t>
  </si>
  <si>
    <t>P25</t>
  </si>
  <si>
    <t>P27</t>
  </si>
  <si>
    <t>P30</t>
  </si>
  <si>
    <t>P31</t>
  </si>
  <si>
    <t>P32</t>
  </si>
  <si>
    <t>P33</t>
  </si>
  <si>
    <t>P35</t>
  </si>
  <si>
    <t>P36</t>
  </si>
  <si>
    <t>P37</t>
  </si>
  <si>
    <t>P38</t>
  </si>
  <si>
    <t>P40</t>
  </si>
  <si>
    <t>P42</t>
  </si>
  <si>
    <t>Souschef</t>
  </si>
  <si>
    <t>SupplPension</t>
  </si>
  <si>
    <t>Param</t>
  </si>
  <si>
    <t>JubGrat</t>
  </si>
  <si>
    <t>G</t>
  </si>
  <si>
    <t>H</t>
  </si>
  <si>
    <t>I</t>
  </si>
  <si>
    <t>J</t>
  </si>
  <si>
    <t>K</t>
  </si>
  <si>
    <t>M</t>
  </si>
  <si>
    <t>N</t>
  </si>
  <si>
    <t>O</t>
  </si>
  <si>
    <t>P</t>
  </si>
  <si>
    <t>Der er 6 linier til faste nylønstillæg. Skriv det årlige grundbeløb fra aftaleformularen. Ordene 'funktion' og 'kvalifikation' er vejledende og skal ikke tages bogstaveligt!
Tillæg, der ikke er afhængieg af beskæftigelsesgraden vil normalt være funktionstillæg.
Tillæg, der er afhængige af beskæftigelsesgraden ers normalt kvalifikationstillæg. 
Trin 4-tillæg og udligningstillæg er altid afhængige af BG.
Der kan ikke gives udligningstillæg samtidig med et trin 4-tillæg.
Se i øvrigt arket: 'Nylønstillæg'!</t>
  </si>
  <si>
    <t>Antal weekendtimer til udbetaling (100%)</t>
  </si>
  <si>
    <t>Weekendtillæg, kan i stedet afspadseres</t>
  </si>
  <si>
    <t>Weekendtimer til udbetaling (ekskl. tillæg)</t>
  </si>
  <si>
    <t>Overarbejds-/mererarbejdsbetaling</t>
  </si>
  <si>
    <t>Weekendtimer</t>
  </si>
  <si>
    <t>Beregningsgrundlag af feriediff. for pension</t>
  </si>
  <si>
    <t>fx: A (OBS: Brug IKKE mellemrum i arkfanenavne!)</t>
  </si>
  <si>
    <t>Hvis fanebladsnavnene er omdøbt, skal de gule felter i linie 1 ligeledes omdøbes manuelt. Det forudsættes at arknavnet i kolonne D er reelt eksisterende, da ledeteksterne i kolonne C tages herfra.  (OBS: Brug IKKE mellemrum i arkfanenavne!)</t>
  </si>
  <si>
    <t>fx: A  (OBS: Brug IKKE mellemrum i arkfanenavne!)</t>
  </si>
  <si>
    <t>I stedet for aftentillæg mv., iflg lokalaftale</t>
  </si>
  <si>
    <t>aftentillæg efter kl 17 (indtil kl 06) samt weekendtimer</t>
  </si>
  <si>
    <t>Supplerende pensionstillæg på 17,3%</t>
  </si>
  <si>
    <t xml:space="preserve">ansat d. </t>
  </si>
  <si>
    <t>Læ UV-tillæg</t>
  </si>
  <si>
    <t>Bhkl-uvtillæg</t>
  </si>
  <si>
    <t>Weekendtimer til udbetaling *)</t>
  </si>
  <si>
    <t>Gule felter herunder</t>
  </si>
  <si>
    <t>er kladdeområde</t>
  </si>
  <si>
    <t>er kladdeområde, som</t>
  </si>
  <si>
    <t>ikke er med i udskriften</t>
  </si>
  <si>
    <t>fx: AUG (Kun 3 bogstaver!)</t>
  </si>
  <si>
    <t>Løn- og pensionsfradrag beregnes i lin 60 og 70</t>
  </si>
  <si>
    <t>Se pjecen "Ferievejledning"</t>
  </si>
  <si>
    <t>Pensionstillæg af engangsudbetaling</t>
  </si>
  <si>
    <t>Skriv antal dage med forældreorlov uden løn</t>
  </si>
  <si>
    <t>antal dage i måneden</t>
  </si>
  <si>
    <t>DEL AF MÅNED med forældreorlov uden løn</t>
  </si>
  <si>
    <t>Feriepengeberegningsgrundlag</t>
  </si>
  <si>
    <t>Benyt oven-</t>
  </si>
  <si>
    <t xml:space="preserve">stående tal i </t>
  </si>
  <si>
    <t>stedet for sum-</t>
  </si>
  <si>
    <t>merne på</t>
  </si>
  <si>
    <t>hovedarket.</t>
  </si>
  <si>
    <t>Forældreorlov uden løn</t>
  </si>
  <si>
    <t>Som en del af barselsreglerne har forældre ret til at holde forældreorlov uden løn i en periode.
I en sådan periode, skal skolen fortsat indbetale pension til pensionskassen som om der stadig udbetaltes løn.</t>
  </si>
  <si>
    <t>For at holde rede på ændringerne i forbindelse mad forældreorlov uden løn (og anden bevilget orlov uden løn, men med pension) er der indsat en særlig årsspecifikation: 'LonspecAarBarsel'.</t>
  </si>
  <si>
    <t>De øvrige lønspecifikationsark vil ikke vise de rigtige tal for disse måneder, hvor der ikke udbetales løn!</t>
  </si>
  <si>
    <t>Ændret BG. under forældreorlov</t>
  </si>
  <si>
    <t>Feriegodt-</t>
  </si>
  <si>
    <t>gørelses-</t>
  </si>
  <si>
    <t>grundlag</t>
  </si>
  <si>
    <t>Feriepenge-</t>
  </si>
  <si>
    <t>beregnings-</t>
  </si>
  <si>
    <t>BESKÆFTIGELSESGRAD iflg. ansætt.brev:</t>
  </si>
  <si>
    <t>Ændret BG. I deltids-forældreorlovsperiode:</t>
  </si>
  <si>
    <t>Antal orlovs-</t>
  </si>
  <si>
    <t>dage i alt:</t>
  </si>
  <si>
    <t>Eks.</t>
  </si>
  <si>
    <t>I celle P3 bliver antallet af orlovsdage summeret. Husk dog, at medtælle orlovsdage fra tidligere eller senere skoleår.</t>
  </si>
  <si>
    <t>Antal uger med forældreorlov uden løn iflg. normalreglerne:</t>
  </si>
  <si>
    <t>Hidtidig beskæftigelsesgrad:</t>
  </si>
  <si>
    <t>Beskæftigelsesgrad med arbejde under den forlængede orlov:</t>
  </si>
  <si>
    <t>Ønskede antal uger med deltidsorlov:</t>
  </si>
  <si>
    <t>En nybagt mor med normalt 60% beskæftigelse har planlagt at holde 20 ugers forældreorlov uden løn.
Imidlertid vil hun gerne udstrække orloven til 30 uger (= 30*7 dage  = 210 dage), idet hun kun går på delvis orlov svarende til 20/30 af den hidtidige og så arbejder i den resterende beskæftigelse.
Beskæftigelsen udgør altså kun 20%, der skrives i lin 5 i de måneder orloven varer.
Pensionen for orlovsdelen udgør 2/3 af den hidtidige, men der betales også pension af den nedsatte beskæftigelse, de 20%. Så totalt set er der ingen ændring!</t>
  </si>
  <si>
    <r>
      <rPr>
        <b/>
        <i/>
        <sz val="10"/>
        <color rgb="FFFF0000"/>
        <rFont val="Geneva"/>
        <family val="2"/>
      </rPr>
      <t>Herunder kan beskæftigelsesgraden beregnes ved forlænget deltidsorlov</t>
    </r>
    <r>
      <rPr>
        <i/>
        <sz val="10"/>
        <color rgb="FFFF0000"/>
        <rFont val="Geneva"/>
        <family val="2"/>
      </rPr>
      <t xml:space="preserve"> (hver uge er på 7 dage!)</t>
    </r>
  </si>
  <si>
    <r>
      <t xml:space="preserve">Iflg opgaveoversigt. </t>
    </r>
    <r>
      <rPr>
        <b/>
        <sz val="10"/>
        <rFont val="Helvetica"/>
        <family val="2"/>
      </rPr>
      <t>SKAL</t>
    </r>
    <r>
      <rPr>
        <sz val="10"/>
        <rFont val="Helvetica"/>
        <family val="2"/>
      </rPr>
      <t xml:space="preserve"> omregnes til årligt timetal v. beskæftigelse under 1 år! </t>
    </r>
    <r>
      <rPr>
        <i/>
        <sz val="10"/>
        <rFont val="Helvetica"/>
        <family val="2"/>
      </rPr>
      <t>(Ændres i øvrigt normalt ikke i normperioden)</t>
    </r>
  </si>
  <si>
    <t>antal dage</t>
  </si>
  <si>
    <t>Du skal i hver måned, hvor der holdes orlov uden løn skrive antallet af kalenderdage, i hvilke der ikke skal betales løn i lin 4.</t>
  </si>
  <si>
    <t>Hvis der holdes deltidsforældreorlov, hvor orloven forlænges forholdsmæssigt, skrives i lin 6 den beskæftigelsesgrad, som der arbejdes efter.</t>
  </si>
  <si>
    <t>Trin 4-tillæg beregnet pr. 1. aug 2013
årligt grundbeløb v. 100% BG</t>
  </si>
  <si>
    <t>Trin 4-tillæg beregnet 1. aug 2013</t>
  </si>
  <si>
    <t>I juli eller ved fratræden. Se pjecen "Ferievejledning"</t>
  </si>
  <si>
    <t>kaffekasse</t>
  </si>
  <si>
    <t>gavekasse</t>
  </si>
  <si>
    <t>FSL-kontingent</t>
  </si>
  <si>
    <t>ferietillægsberegning</t>
  </si>
  <si>
    <t>Fx: 'Gavekasse'</t>
  </si>
  <si>
    <t>Fx: 'Kaffekasse'</t>
  </si>
  <si>
    <t>FX: 'FSL-kontingent'</t>
  </si>
  <si>
    <t>Disse tre linjer fradrages i den disponible løn</t>
  </si>
  <si>
    <t>Lin</t>
  </si>
  <si>
    <t>skattepligtig</t>
  </si>
  <si>
    <t>Pensionstillæg af fast ulempeydelse</t>
  </si>
  <si>
    <t>Evt pensionsgivende</t>
  </si>
  <si>
    <t>Lønfradrag for ikke optjent ferie mv. Pensionsgiv.</t>
  </si>
  <si>
    <t>Lønfradrag for ikke optjent ferie mv. ej pensionsg.</t>
  </si>
  <si>
    <t>Lønfradrag for ikke optjent ferie mv., pensionsgiv.</t>
  </si>
  <si>
    <t>Lønfradrag for ikke optjent ferie mv., ej pensionsg.</t>
  </si>
  <si>
    <t>LinJer i spec-arket, til beregn. af timeløn mv.</t>
  </si>
  <si>
    <t>LP</t>
  </si>
  <si>
    <t>E-NEJ</t>
  </si>
  <si>
    <t>E-JA</t>
  </si>
  <si>
    <t>+</t>
  </si>
  <si>
    <t>HVIS</t>
  </si>
  <si>
    <t>Feriedifference, pensionsgivende</t>
  </si>
  <si>
    <t>Feriedifference, ikke pensionsgivende</t>
  </si>
  <si>
    <t>29-37</t>
  </si>
  <si>
    <t>Regu-
leret</t>
  </si>
  <si>
    <t>BG-
afh.</t>
  </si>
  <si>
    <t>Løn- og pensionsfradrag beregnes i lin 64, 65 og 94</t>
  </si>
  <si>
    <t>(lin 113 og lin114)</t>
  </si>
  <si>
    <t>Beregningsgrundlag for fastpåregnelige løndele</t>
  </si>
  <si>
    <t>Timedagpenge (skattefri) Beregn selv beløb</t>
  </si>
  <si>
    <t>E43</t>
  </si>
  <si>
    <t>E44</t>
  </si>
  <si>
    <t>E45</t>
  </si>
  <si>
    <t>E46</t>
  </si>
  <si>
    <t>E47</t>
  </si>
  <si>
    <t>E48</t>
  </si>
  <si>
    <t>E49</t>
  </si>
  <si>
    <t>Fri telefon</t>
  </si>
  <si>
    <t>Pensionstillæg af OK18-tillæg</t>
  </si>
  <si>
    <t>Pensionstillæg af engangsvederlag</t>
  </si>
  <si>
    <t>Birgit</t>
  </si>
  <si>
    <t>Skattepligtig jubilæumsgratiale</t>
  </si>
  <si>
    <t>Evt. udlingingstillæg udregnet pr. 1. jan. 2019</t>
  </si>
  <si>
    <t>Pensionstillæg udlingningstillæg</t>
  </si>
  <si>
    <t>fx: Mellemleder</t>
  </si>
  <si>
    <t>Ved kombinationsbeskæftigede bhkl.leder og lærer skal der udarbejdes to lønberegninger. Det samlede undervisningstimetal skal anføres i hovedstillingen. Gruppelivstillæg og ATP skal beregnes på hovedstillingen, idet der tages hensyn til den samlede beskæftigelsesgrad.</t>
  </si>
  <si>
    <t>Supplerende pension</t>
  </si>
  <si>
    <t>basisløn, uv-tillæg, område og ok08</t>
  </si>
  <si>
    <t>Hvor meget overstigers skalatrinsløn med</t>
  </si>
  <si>
    <t>18% BEREGNING</t>
  </si>
  <si>
    <t>REN 17,3% PENSION</t>
  </si>
  <si>
    <t>ER DER EN 17,3% FRADRAG</t>
  </si>
  <si>
    <t>SUPPLERENDE PENSION I ALT</t>
  </si>
  <si>
    <t>PENSIONSGRUNDLAG</t>
  </si>
  <si>
    <r>
      <t>Lønberegning for:</t>
    </r>
    <r>
      <rPr>
        <sz val="9"/>
        <rFont val="Helvetica"/>
        <family val="2"/>
      </rPr>
      <t xml:space="preserve"> (navn eller initialer)</t>
    </r>
  </si>
  <si>
    <t>Gavekasse</t>
  </si>
  <si>
    <t>Kaffekasse</t>
  </si>
  <si>
    <r>
      <t>Lønberegning for:</t>
    </r>
    <r>
      <rPr>
        <sz val="9"/>
        <rFont val="Helvetica"/>
        <family val="2"/>
      </rPr>
      <t xml:space="preserve"> (navn eller initialer)</t>
    </r>
    <r>
      <rPr>
        <b/>
        <sz val="12"/>
        <rFont val="Helvetica"/>
        <family val="2"/>
      </rPr>
      <t xml:space="preserve">
</t>
    </r>
  </si>
  <si>
    <t>Benyttes ved skolens øvrige ledere</t>
  </si>
  <si>
    <t>Udlingingstillæg udregnet til skoleledere ansat pr. 1. jan. 2019(Tast årlig grundbeløb)</t>
  </si>
  <si>
    <t>Funktionstillæg</t>
  </si>
  <si>
    <t>Kvalifikationstillæg</t>
  </si>
  <si>
    <t>Denne lønberegning er kun til brug for fastansatte lærere og bhkl.ledere, øverste leder og øvrige ledere.</t>
  </si>
  <si>
    <t>2019/2020</t>
  </si>
  <si>
    <t>=</t>
  </si>
  <si>
    <t>Beregnes i fanen "feriedifference"</t>
  </si>
  <si>
    <t>Evt. feriedifference med pensionsret. Beregnes i særligt skema</t>
  </si>
  <si>
    <t>Evt. feriedifference ikke pensionsgivende. Beregnes i særligt skema.</t>
  </si>
  <si>
    <t>Feriegodtgørelsesgrundlag juni-juli</t>
  </si>
  <si>
    <t>19.300 i årligt grundbeløb. Ikke afh. Af bg.</t>
  </si>
  <si>
    <t>Hvis forskel på bg. fra optjening til afvikling(se evt. særskilt bilag)</t>
  </si>
  <si>
    <t>Organisationsaftalen: 5 dage uge 42, 18 dage juli og 2 dage aug.</t>
  </si>
  <si>
    <t>Feriedifference pensionsberettiget(beregnet i særligt skema)</t>
  </si>
  <si>
    <t>Evt. 5 i uge 42, 18 dage i juli og 2 dage i august.</t>
  </si>
  <si>
    <t>Resultatløn(pensionsgivende)</t>
  </si>
  <si>
    <t>Engangsvederlag(pensionsgivende)</t>
  </si>
  <si>
    <t>Udbetales aug-maj med maj mdr. løn og for juni til aug med aug. mdr. .øn</t>
  </si>
  <si>
    <t>Se bemyndigelsesbrev fra 2019</t>
  </si>
  <si>
    <r>
      <t xml:space="preserve">Funktionsstillæg, </t>
    </r>
    <r>
      <rPr>
        <b/>
        <sz val="10"/>
        <rFont val="Helvetica"/>
        <family val="2"/>
      </rPr>
      <t>ikke</t>
    </r>
    <r>
      <rPr>
        <sz val="10"/>
        <rFont val="Helvetica"/>
        <family val="2"/>
      </rPr>
      <t xml:space="preserve"> afh. af BG,
årligt grundbeløb.</t>
    </r>
  </si>
  <si>
    <t>Kval.tillæg, afhængig af BG, årligt grundbeløb 
v. 100% BG</t>
  </si>
  <si>
    <t>Evt. feriedifference. Beregnes i særskilt skema</t>
  </si>
  <si>
    <t xml:space="preserve">Feriegodtgørelsesgrundlag  </t>
  </si>
  <si>
    <t>Trin 4 tillæg skal beregnes i et særligt ark 'Trin4tillaeg'.</t>
  </si>
  <si>
    <t>Lønfradrag beregnes ved at oplyse hvor mange feriedage der afvikles i den enkelte måned, og hvor mange dage den ansatte ikke har optjent ferieret. Feriedifference skal med den nye ferielov beregnes i det særskilte ark "feriedifference ny ferielov". Feriedifferencen der beregens i fanen indtastes manuelt i den enkelte ansattes fane som et enten negativt eller positivt beløb.</t>
  </si>
  <si>
    <t>Km.godtgørelse, lav sats (skattefri)</t>
  </si>
  <si>
    <t xml:space="preserve">Km.godtgørelse, høj sats (skattefri) </t>
  </si>
  <si>
    <t>B</t>
  </si>
  <si>
    <t>C</t>
  </si>
  <si>
    <t>D</t>
  </si>
  <si>
    <t>E</t>
  </si>
  <si>
    <t>Leder</t>
  </si>
  <si>
    <t>Øvrig leder</t>
  </si>
  <si>
    <t>Øvrigleder</t>
  </si>
  <si>
    <t>Udbetales august og maj.</t>
  </si>
  <si>
    <t>Ferietillæg</t>
  </si>
  <si>
    <t>Engangstillæg</t>
  </si>
  <si>
    <t>Vælg om resultatløn og eller engangsvederlag herunder er pensionsgivende</t>
  </si>
  <si>
    <t xml:space="preserve">A </t>
  </si>
  <si>
    <t>Lejrskoletillæg på hverdage. Oplys antal påbegyndte dage.</t>
  </si>
  <si>
    <t>Lejrskoletillæg på hverdage</t>
  </si>
  <si>
    <t>Lejrskoletillæg lørdage, søndage og helligdage. Oplys antal påbegyndte dage.</t>
  </si>
  <si>
    <t>Lejrskoletillæg lørdage, søndage og helligdage</t>
  </si>
  <si>
    <t>Eksaminator eller censor tillæg</t>
  </si>
  <si>
    <t>Ja</t>
  </si>
  <si>
    <t>Nej</t>
  </si>
  <si>
    <t>Har den ansatte orlov uden løn men med pension?</t>
  </si>
  <si>
    <t>Beskæftigelsesgrad den ansatte lønnes med aktuel. 100% = 1 - 85% = 0,85</t>
  </si>
  <si>
    <t>Difference tjenestemandspension - seniorordning</t>
  </si>
  <si>
    <t>Lejrskole hverdage</t>
  </si>
  <si>
    <t>Lejrskole weekend</t>
  </si>
  <si>
    <t>Antal arbejdstimer der udløser 25%-tillæg/ulempetillæg</t>
  </si>
  <si>
    <t>Antal arbejdstimer der udløser 50%-tillæg/weekendtillæg</t>
  </si>
  <si>
    <t>Eksaminator og censorvederlag</t>
  </si>
  <si>
    <t>Ekstra pension i forhold til seniorordning eller orlov uden løn men med pension</t>
  </si>
  <si>
    <t>Lønspec.-arkene kan benyttes som bilag til lønsystemer der ikke opfylder krav til lønsedler. Du skal blot indtaste arkets navn og måneden for specifikationen og skrive arket ud. Kun linier med beløb udskrives. Linier uden beløb er tomme. 
Der er et særligt ark med specifikationer for intervallønnede</t>
  </si>
  <si>
    <t xml:space="preserve">Tast kun i de gule felter! (Medmindre, du virkelig ved, hvad du gør. Arkbeskyttelsen skal dog først ophæves)
Alle indtastninger i gule felter kan/bør overskrives!
Langt de fleste oplysninger kan indskrives i august-kolonnen, hvorefter de kopieres automatisk til de øvrige måneder.
</t>
  </si>
  <si>
    <t>aug</t>
  </si>
  <si>
    <t>Start</t>
  </si>
  <si>
    <t>I arkene er der indsat 25 feriedage. Feriedagene følger organisationsaftalens regler omkring ferie. Varsler skolen en anden ferie, skal skolen selv ændre på feriens placering.</t>
  </si>
  <si>
    <t>Ferie</t>
  </si>
  <si>
    <t>Reg. Procent</t>
  </si>
  <si>
    <t>Lønoplysninger</t>
  </si>
  <si>
    <t>Start med at udfylde august måned med basisløn, pensionsforhold, om den ansatte benytter sig af seniorordning mht. nedsat tid/fuld pension(seniorordningsberegner ligger som en fane i dette værktøj), beskæftigelsesgrad, undervisningstimetal og alle øvrige oplysninger om tillæg såvel faste som særlige samt skatteoplysninger. Læs altid teksten og evt. tilhørende noter ved hver tillæg. De fleste lønoplysninger skal oplyses i årlig grundværdi. Når alle løndele er tastet, kan man udskrive en lønsedel i fanen "lønspec" I Lønspec skrives den ansattes navn - samme navn som fanen er kaldt + hvilken måned lønsedlen ønskes for. Mdr. skrives altid med 3 STORE bogstaver.(august = AUG).  Ønskes en lønspecifikaition pr mdr. for alle lærere, vælges fanen "lønspecAar". Her oplyses hvilken måned man ønsker specifikationen for. Fanen "LønsepcAar" bruges ved at se alle lønsoplysninger pr. ansat for et helt skoleår.</t>
  </si>
  <si>
    <t>UV-tillæg</t>
  </si>
  <si>
    <r>
      <rPr>
        <b/>
        <sz val="12"/>
        <rFont val="Arial"/>
        <family val="2"/>
      </rPr>
      <t>Komprimeret udprintning:</t>
    </r>
    <r>
      <rPr>
        <sz val="12"/>
        <rFont val="Arial"/>
        <family val="2"/>
      </rPr>
      <t xml:space="preserve">
Når specifikationsarkene udprintes, er der mulighed for at tomme linjer skjules.
Dette gøres ved at benytte PRINT-knappen på arkene. Linjerne vises igen efter udprintningen.
</t>
    </r>
  </si>
  <si>
    <t>Nedsat arbejdstidsberegner</t>
  </si>
  <si>
    <t>Lærere og børnehaveklasseledere har fra det fyldte 60 år ret til nedsat arbejdstid med op til 175 timer årligt.</t>
  </si>
  <si>
    <t>Ansatte der d. 31. juli 2013 var fyldt 57 år, har ret til ovennævnte nedsatte arbejdstid med fuld løn og pension.</t>
  </si>
  <si>
    <t>Ansatte der ikke var fyldt 57 år d. 31. juli 2013 har ret til ovennævnte nedsatte arbejdstid med tilsvarende lønnedgang, dog med fuld pension.</t>
  </si>
  <si>
    <t>Den nedsatte arbejdstid gælder for den årsnorm hvor den ansatte fylder 60 år.</t>
  </si>
  <si>
    <t>Beregning:</t>
  </si>
  <si>
    <t>Der tages udgangspunkt i et årligt timetal på 1924 timer hvorfra de 175 timer fratrækkes.</t>
  </si>
  <si>
    <t xml:space="preserve">En fuldtidsansat arbejder 37 timer om ugen. </t>
  </si>
  <si>
    <t>En nedgang i arbejdstiden på 175 timer svarer til en ugentlig arbejdstid på 33,63 timer.(1924-175 timer/52 uger = 33,63 timer)</t>
  </si>
  <si>
    <t>2 skemaer:</t>
  </si>
  <si>
    <r>
      <rPr>
        <b/>
        <sz val="12"/>
        <color theme="1"/>
        <rFont val="Calibri"/>
        <family val="2"/>
        <scheme val="minor"/>
      </rPr>
      <t>Skema 1</t>
    </r>
    <r>
      <rPr>
        <sz val="10"/>
        <rFont val="Geneva"/>
        <family val="2"/>
      </rPr>
      <t xml:space="preserve"> kan benyttes til beregning af ny beskæftigelsesgrad ved brug af den nedsatte arbejdstid. Her tages der udgang i oprindelige beskæftigelsesgrad.</t>
    </r>
  </si>
  <si>
    <r>
      <rPr>
        <b/>
        <sz val="12"/>
        <color theme="1"/>
        <rFont val="Calibri"/>
        <family val="2"/>
        <scheme val="minor"/>
      </rPr>
      <t>Skema 2</t>
    </r>
    <r>
      <rPr>
        <sz val="10"/>
        <rFont val="Geneva"/>
        <family val="2"/>
      </rPr>
      <t xml:space="preserve"> kan benyttes til beregning af ønsket beskæftigelsesgrad udregnet efter ønsket arbejdstid. Her tages der udgangspunkt i ønsket arbejdstid.</t>
    </r>
  </si>
  <si>
    <t>Antal timer pr. uge - 100% ansat</t>
  </si>
  <si>
    <t>Antal timer pr. uge - minus 175 timer</t>
  </si>
  <si>
    <t>Skema 1. Beregning af ny beskæftigelsesgrad ved brug af nedsat arbejdstid:</t>
  </si>
  <si>
    <t>Tast her den oprindelige beskæftigelsesgrad</t>
  </si>
  <si>
    <t>Ny beskæftigelsesgrad efter brug af op til 175 nedsat arbejdstid</t>
  </si>
  <si>
    <t>Skema 2 - Beregning af beskæftigelsesgrad udfra ønsket arbejdstid</t>
  </si>
  <si>
    <t>Tast her den ønskede beskæftigelsesgrad der ønskes arbejdet ud fra</t>
  </si>
  <si>
    <t>Beskæftigelsesgrad den ansatte uden brug af den nedsatte arbejdstid er ansat på</t>
  </si>
  <si>
    <r>
      <t xml:space="preserve">Lokalaftalt fast ulempegodtgørelse </t>
    </r>
    <r>
      <rPr>
        <sz val="8"/>
        <rFont val="Helvetica"/>
        <family val="2"/>
      </rPr>
      <t>(Tast mdr. beløb i nutidsværdi).</t>
    </r>
  </si>
  <si>
    <t>Specialundervisningstillæg og tillæg for uv. af 2-sprogede</t>
  </si>
  <si>
    <t>SPS-tillæg og tillæg for uv. af 2-sprogede</t>
  </si>
  <si>
    <t>Beskæftigelsesgrad der skal beregnes pension af. Hvis ikke brug af seniorordning/delvis forældreorlov er den det samme som række 9.</t>
  </si>
  <si>
    <t>Særlig feriegodtgørelse (Ferietillæg) 2,02%</t>
  </si>
  <si>
    <t>Vælg her om den ansatte har ret til seniorbonus.</t>
  </si>
  <si>
    <t>Seniorbonus 0,8% af fastpåregnelige løndele - pensionsgivede</t>
  </si>
  <si>
    <t>Pension af seniorbonus</t>
  </si>
  <si>
    <t>Seniorbonus</t>
  </si>
  <si>
    <t>Fastpåregnelgie løndele *0,8%</t>
  </si>
  <si>
    <t>Pensionstillæg af seniorbonus</t>
  </si>
  <si>
    <t>Pensionstillæg af engangstillæg</t>
  </si>
  <si>
    <t>Særlig feriegodtgørelse (Ferietillæg) 2,02% - tast selv</t>
  </si>
  <si>
    <t>BASISLØN PR. 1. JANUAR 2019. Vælg imellem om skolen er under eller på/over 350 elever hhv. 353.412,-/396.929,-</t>
  </si>
  <si>
    <t>Pensionstillæg Seniorbonus</t>
  </si>
  <si>
    <t>Skattefri engangsudbetalinger</t>
  </si>
  <si>
    <t>Km. godtgørelse - høj takst</t>
  </si>
  <si>
    <t>Km. godtgørelse - lav takst</t>
  </si>
  <si>
    <t>Særlige feriedage til udbetaling</t>
  </si>
  <si>
    <t>Arkfanens navn bør omdøbes til den ansattes initialer eller navn. HUSK DOG AT DU IKKE MÅ BENYTTE MELLEMRUM I FANENAVNET!</t>
  </si>
  <si>
    <t>Start med at oplyse den ferieberettigede løn optjent juni og juli(vedr. det skoleår der lige er gået). For lærere og børnehaveklasseledere oplyses tallet i celle A117. For lederne i celle C61. Beløbet bruges til at beregne det særlige ferietillæg der udbetales ultimo maj og august mdr. Beløbet kan også aflæses i sidste skoleårs lønberegning.</t>
  </si>
  <si>
    <t>Oplys derefter feriepengeberegningsgrundlaget for januar - juli(vedr. det skoleår der lige er gået). For lærere og børnehaveklasseledere oplyses tallet i celle A127. For lederne i celle C71. Beløbet bruges til at beregne værdien af feriepengeberegningsgrundlaget der bruges til afregning af feriepenge eller særlige feriedage. Beløbet kan også aflæses i sidste skoleårs lønberegning.</t>
  </si>
  <si>
    <t>Decentrale nylønstillæg, der ydes som engangsydelser, er som udgangspunkt ikke pensionsgivende, men det kan aftales. 
Nylønstillæg, der gives som engangsbeløb kan skrives i lin. 42 og 43.</t>
  </si>
  <si>
    <t>Resultatlønstillæg gives som engangsydelser, når bestemte kriterier er opnået.
Engangsbeløb skrives i lin. 42 og 43.</t>
  </si>
  <si>
    <r>
      <t xml:space="preserve">LØNBEREGNING FOR FRISKOLER gældende for skoleåret </t>
    </r>
    <r>
      <rPr>
        <b/>
        <sz val="12"/>
        <color rgb="FFFF0000"/>
        <rFont val="Arial"/>
        <family val="2"/>
      </rPr>
      <t>2025-2026</t>
    </r>
  </si>
  <si>
    <t>2024/2025</t>
  </si>
  <si>
    <t>For at lønbereg-ningsaket kan beregne korrekt ferietillæg og feriepenge-beregnings-grundlag, udfyldes først celle A117 og celle A127. Læs kommen-tarerne til de to celler.</t>
  </si>
  <si>
    <t>Midlertidig tillæg skoleår 2025/2026</t>
  </si>
  <si>
    <t>OK24-tillæg</t>
  </si>
  <si>
    <t>For skoleåret 25-26 er skemaerne forhåndsudfyldt med gældende reguleringsprocent.Skolen skal selv taste reguleringsprocenten vedr. november 2025 og april 2026. Hold øje med skolenyt.</t>
  </si>
  <si>
    <t>OK26</t>
  </si>
  <si>
    <t>Lønberegningsarket tager ikke højde for evt. lønændringer der aftales i OK26. Hold øje med skolenyt og vær selv opmærksom på at taste evt. ændringer. Kontakt evt. Friskolernes Hus.</t>
  </si>
  <si>
    <t xml:space="preserve">Ved beregning af uv.tillæg for en person, der ikke er ansat et helt skoleår, skal undervisningstimetallet omregnes til årsbasis (lin 9) ved fx at gange med skoleårets mulige arbejdsdage (=228 for 2025/26) og dividere med ansættelsesperiodens antal mulige arbejdsdage. Antal mulige arbejdsdage er alle dage der ikke er weekenddage, sh-dage eller feriedage.
</t>
  </si>
  <si>
    <t>OK 08, OK 13 og OK14 tillæg beregnes automatisk.</t>
  </si>
  <si>
    <t xml:space="preserv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</si>
</sst>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0.00_-;\-* #,##0.00_-;_-* &quot;-&quot;??_-;_-@_-"/>
    <numFmt numFmtId="164" formatCode="_-* #,##0.00\ _k_r_-;\-* #,##0.00\ _k_r_-;_-* &quot;-&quot;??\ _k_r_-;_-@_-"/>
    <numFmt numFmtId="165" formatCode="_(* #,##0_);_(* \(#,##0\);_(* &quot;-&quot;_);_(@_)"/>
    <numFmt numFmtId="166" formatCode="_(* #,##0.00_);_(* \(#,##0.00\);_(* &quot;-&quot;??_);_(@_)"/>
    <numFmt numFmtId="167" formatCode="_-&quot;kr.&quot;* #,##0_-;\-&quot;kr.&quot;* #,##0_-;_-&quot;kr.&quot;* &quot;-&quot;_-;_-@_-"/>
    <numFmt numFmtId="168" formatCode="_-&quot;kr.&quot;* #,##0.00_-;\-&quot;kr.&quot;* #,##0.00_-;_-&quot;kr.&quot;* &quot;-&quot;??_-;_-@_-"/>
    <numFmt numFmtId="169" formatCode="#,##0.00&quot;kr.&quot;;\-#,##0.00&quot;kr.&quot;"/>
    <numFmt numFmtId="170" formatCode="_-* #,##0.00_k_r_._-;\-* #,##0.00_k_r_._-;_-* &quot;-&quot;??_k_r_._-;_-@_-"/>
    <numFmt numFmtId="171" formatCode="#,##0.0"/>
    <numFmt numFmtId="172" formatCode="#,##0.0000"/>
    <numFmt numFmtId="173" formatCode="0.0%"/>
    <numFmt numFmtId="174" formatCode="000\-000"/>
    <numFmt numFmtId="175" formatCode="#,##0.000000"/>
    <numFmt numFmtId="176" formatCode="d\.\ mmm\.\ yyyy"/>
    <numFmt numFmtId="177" formatCode="??/??"/>
    <numFmt numFmtId="178" formatCode="#0/#0"/>
    <numFmt numFmtId="179" formatCode="0.0000"/>
    <numFmt numFmtId="180" formatCode="#0/30"/>
    <numFmt numFmtId="181" formatCode="#,##0.00_ ;\-#,##0.00\ "/>
    <numFmt numFmtId="182" formatCode="#,##0.00000"/>
    <numFmt numFmtId="183" formatCode="##/31"/>
    <numFmt numFmtId="184" formatCode="##/30"/>
    <numFmt numFmtId="185" formatCode="##/28"/>
    <numFmt numFmtId="186" formatCode="#,##0.000"/>
  </numFmts>
  <fonts count="133">
    <font>
      <sz val="10"/>
      <name val="Geneva"/>
    </font>
    <font>
      <sz val="12"/>
      <color theme="1"/>
      <name val="Calibri"/>
      <family val="2"/>
      <scheme val="minor"/>
    </font>
    <font>
      <sz val="12"/>
      <color theme="1"/>
      <name val="Calibri"/>
      <family val="2"/>
      <scheme val="minor"/>
    </font>
    <font>
      <sz val="10"/>
      <name val="Helvetica"/>
      <family val="2"/>
    </font>
    <font>
      <sz val="12"/>
      <name val="Arial"/>
      <family val="2"/>
    </font>
    <font>
      <sz val="12"/>
      <name val="Helvetica"/>
      <family val="2"/>
    </font>
    <font>
      <sz val="14"/>
      <name val="Helvetica"/>
      <family val="2"/>
    </font>
    <font>
      <sz val="9"/>
      <name val="Helvetica"/>
      <family val="2"/>
    </font>
    <font>
      <sz val="12"/>
      <name val="Chicago"/>
      <family val="2"/>
    </font>
    <font>
      <sz val="10"/>
      <name val="Courier"/>
      <family val="3"/>
    </font>
    <font>
      <b/>
      <sz val="10"/>
      <name val="Courier"/>
      <family val="1"/>
    </font>
    <font>
      <sz val="10"/>
      <name val="Arial"/>
      <family val="2"/>
    </font>
    <font>
      <sz val="8"/>
      <name val="Geneva"/>
      <family val="2"/>
    </font>
    <font>
      <b/>
      <sz val="10"/>
      <name val="Helvetica"/>
      <family val="2"/>
    </font>
    <font>
      <sz val="10"/>
      <color indexed="16"/>
      <name val="Helvetica"/>
      <family val="2"/>
    </font>
    <font>
      <b/>
      <sz val="12"/>
      <name val="Arial"/>
      <family val="2"/>
    </font>
    <font>
      <b/>
      <sz val="12"/>
      <name val="Courier"/>
      <family val="3"/>
    </font>
    <font>
      <sz val="9"/>
      <name val="Arial"/>
      <family val="2"/>
    </font>
    <font>
      <b/>
      <sz val="14"/>
      <name val="Helvetica"/>
      <family val="2"/>
    </font>
    <font>
      <b/>
      <sz val="10"/>
      <color indexed="12"/>
      <name val="Helvetica"/>
      <family val="2"/>
    </font>
    <font>
      <b/>
      <sz val="12"/>
      <name val="Helvetica"/>
      <family val="2"/>
    </font>
    <font>
      <sz val="8"/>
      <name val="Verdana"/>
      <family val="2"/>
    </font>
    <font>
      <i/>
      <sz val="10"/>
      <name val="Helvetica"/>
      <family val="2"/>
    </font>
    <font>
      <i/>
      <sz val="10"/>
      <name val="Courier"/>
      <family val="3"/>
    </font>
    <font>
      <u/>
      <sz val="10"/>
      <color indexed="12"/>
      <name val="Geneva"/>
      <family val="2"/>
    </font>
    <font>
      <sz val="8"/>
      <name val="Helvetica"/>
      <family val="2"/>
    </font>
    <font>
      <b/>
      <sz val="10"/>
      <name val="Arial"/>
      <family val="2"/>
    </font>
    <font>
      <sz val="8"/>
      <name val="Arial"/>
      <family val="2"/>
    </font>
    <font>
      <u/>
      <sz val="10"/>
      <color indexed="12"/>
      <name val="Arial"/>
      <family val="2"/>
    </font>
    <font>
      <b/>
      <sz val="10"/>
      <color indexed="10"/>
      <name val="Arial"/>
      <family val="2"/>
    </font>
    <font>
      <sz val="10"/>
      <color indexed="9"/>
      <name val="Courier"/>
      <family val="1"/>
    </font>
    <font>
      <sz val="8"/>
      <color indexed="9"/>
      <name val="Courier"/>
      <family val="1"/>
    </font>
    <font>
      <b/>
      <i/>
      <sz val="10"/>
      <name val="Courier"/>
      <family val="1"/>
    </font>
    <font>
      <b/>
      <i/>
      <sz val="10"/>
      <name val="Helvetica"/>
      <family val="2"/>
    </font>
    <font>
      <i/>
      <sz val="9"/>
      <name val="Helvetica"/>
      <family val="2"/>
    </font>
    <font>
      <b/>
      <sz val="9"/>
      <name val="Courier"/>
      <family val="1"/>
    </font>
    <font>
      <b/>
      <sz val="10"/>
      <color indexed="18"/>
      <name val="Courier"/>
      <family val="1"/>
    </font>
    <font>
      <sz val="10"/>
      <color indexed="18"/>
      <name val="Helvetica"/>
      <family val="2"/>
    </font>
    <font>
      <sz val="10"/>
      <color indexed="18"/>
      <name val="Courier"/>
      <family val="1"/>
    </font>
    <font>
      <sz val="10"/>
      <color indexed="10"/>
      <name val="Helvetica"/>
      <family val="2"/>
    </font>
    <font>
      <i/>
      <sz val="10"/>
      <name val="Arial"/>
      <family val="2"/>
    </font>
    <font>
      <b/>
      <sz val="10"/>
      <color indexed="10"/>
      <name val="Geneva"/>
      <family val="2"/>
    </font>
    <font>
      <sz val="10"/>
      <color indexed="12"/>
      <name val="Helvetica"/>
      <family val="2"/>
    </font>
    <font>
      <b/>
      <sz val="11"/>
      <name val="Arial"/>
      <family val="2"/>
    </font>
    <font>
      <sz val="11"/>
      <name val="Arial"/>
      <family val="2"/>
    </font>
    <font>
      <sz val="12"/>
      <name val="Geneva"/>
      <family val="2"/>
    </font>
    <font>
      <sz val="10"/>
      <color theme="0" tint="-0.34998626667073579"/>
      <name val="Arial"/>
      <family val="2"/>
    </font>
    <font>
      <sz val="10"/>
      <color theme="0" tint="-0.14999847407452621"/>
      <name val="Arial"/>
      <family val="2"/>
    </font>
    <font>
      <sz val="10"/>
      <color rgb="FF0000FF"/>
      <name val="Arial"/>
      <family val="2"/>
    </font>
    <font>
      <b/>
      <sz val="10"/>
      <color rgb="FFFF0000"/>
      <name val="Helvetica"/>
      <family val="2"/>
    </font>
    <font>
      <sz val="10"/>
      <name val="Geneva"/>
      <family val="2"/>
    </font>
    <font>
      <u/>
      <sz val="10"/>
      <color theme="11"/>
      <name val="Geneva"/>
      <family val="2"/>
    </font>
    <font>
      <sz val="12"/>
      <color rgb="FF3366FF"/>
      <name val="Helvetica"/>
      <family val="2"/>
    </font>
    <font>
      <i/>
      <sz val="12"/>
      <name val="Helvetica"/>
      <family val="2"/>
    </font>
    <font>
      <b/>
      <i/>
      <sz val="12"/>
      <name val="Helvetica"/>
      <family val="2"/>
    </font>
    <font>
      <b/>
      <sz val="12"/>
      <color rgb="FFFF0000"/>
      <name val="Helvetica"/>
      <family val="2"/>
    </font>
    <font>
      <b/>
      <sz val="9"/>
      <color rgb="FFFF0000"/>
      <name val="Courier"/>
      <family val="1"/>
    </font>
    <font>
      <b/>
      <sz val="11"/>
      <name val="Helvetica"/>
      <family val="2"/>
    </font>
    <font>
      <sz val="10"/>
      <color theme="0" tint="-0.249977111117893"/>
      <name val="Helvetica"/>
      <family val="2"/>
    </font>
    <font>
      <b/>
      <sz val="9"/>
      <color indexed="81"/>
      <name val="Geneva"/>
      <family val="2"/>
    </font>
    <font>
      <sz val="9"/>
      <color indexed="81"/>
      <name val="Geneva"/>
      <family val="2"/>
    </font>
    <font>
      <sz val="10"/>
      <color theme="0"/>
      <name val="Arial"/>
      <family val="2"/>
    </font>
    <font>
      <b/>
      <sz val="11"/>
      <color theme="1"/>
      <name val="Arial"/>
      <family val="2"/>
    </font>
    <font>
      <sz val="10"/>
      <color theme="0" tint="-0.249977111117893"/>
      <name val="Courier"/>
      <family val="3"/>
    </font>
    <font>
      <b/>
      <sz val="10"/>
      <color theme="0" tint="-0.249977111117893"/>
      <name val="Helvetica"/>
      <family val="2"/>
    </font>
    <font>
      <i/>
      <sz val="10"/>
      <color theme="0" tint="-0.249977111117893"/>
      <name val="Helvetica"/>
      <family val="2"/>
    </font>
    <font>
      <sz val="10"/>
      <color theme="0" tint="-4.9989318521683403E-2"/>
      <name val="Courier"/>
      <family val="1"/>
    </font>
    <font>
      <sz val="10"/>
      <color rgb="FFFF0000"/>
      <name val="Helvetica"/>
      <family val="2"/>
    </font>
    <font>
      <sz val="10"/>
      <color theme="0" tint="-0.34998626667073579"/>
      <name val="Courier"/>
      <family val="3"/>
    </font>
    <font>
      <sz val="10"/>
      <color theme="0" tint="-0.34998626667073579"/>
      <name val="Helvetica"/>
      <family val="2"/>
    </font>
    <font>
      <b/>
      <sz val="11"/>
      <color rgb="FFFF0000"/>
      <name val="Arial"/>
      <family val="2"/>
    </font>
    <font>
      <sz val="11"/>
      <color rgb="FFFF0000"/>
      <name val="Arial"/>
      <family val="2"/>
    </font>
    <font>
      <i/>
      <sz val="11"/>
      <color rgb="FFFF0000"/>
      <name val="Arial"/>
      <family val="2"/>
    </font>
    <font>
      <sz val="10"/>
      <color theme="0" tint="-0.249977111117893"/>
      <name val="Arial"/>
      <family val="2"/>
    </font>
    <font>
      <sz val="9"/>
      <color rgb="FFFF0000"/>
      <name val="Arial"/>
      <family val="2"/>
    </font>
    <font>
      <sz val="10"/>
      <color rgb="FF0000FF"/>
      <name val="Geneva"/>
      <family val="2"/>
    </font>
    <font>
      <sz val="10"/>
      <color rgb="FFFF0000"/>
      <name val="Geneva"/>
      <family val="2"/>
    </font>
    <font>
      <i/>
      <sz val="10"/>
      <color rgb="FFFF0000"/>
      <name val="Geneva"/>
      <family val="2"/>
    </font>
    <font>
      <b/>
      <i/>
      <sz val="10"/>
      <color rgb="FFFF0000"/>
      <name val="Geneva"/>
      <family val="2"/>
    </font>
    <font>
      <b/>
      <sz val="10"/>
      <color rgb="FF0000FF"/>
      <name val="Helvetica"/>
      <family val="2"/>
    </font>
    <font>
      <sz val="10"/>
      <color theme="0"/>
      <name val="Courier"/>
      <family val="1"/>
    </font>
    <font>
      <b/>
      <sz val="12"/>
      <color rgb="FFFF0000"/>
      <name val="Arial"/>
      <family val="2"/>
    </font>
    <font>
      <sz val="9"/>
      <color theme="0"/>
      <name val="Helvetica"/>
      <family val="2"/>
    </font>
    <font>
      <i/>
      <sz val="10"/>
      <color indexed="18"/>
      <name val="Courier"/>
      <family val="1"/>
    </font>
    <font>
      <sz val="10"/>
      <color theme="0" tint="-0.249977111117893"/>
      <name val="Geneva"/>
      <family val="2"/>
    </font>
    <font>
      <sz val="9"/>
      <name val="Geneva"/>
      <family val="2"/>
    </font>
    <font>
      <i/>
      <sz val="9"/>
      <color theme="0" tint="-0.34998626667073579"/>
      <name val="Arial"/>
      <family val="2"/>
    </font>
    <font>
      <sz val="10"/>
      <color indexed="205"/>
      <name val="Helvetica"/>
      <family val="2"/>
    </font>
    <font>
      <b/>
      <sz val="9"/>
      <name val="Helvetica"/>
      <family val="2"/>
    </font>
    <font>
      <sz val="11"/>
      <color rgb="FFFF0000"/>
      <name val="Helvetica"/>
      <family val="2"/>
    </font>
    <font>
      <b/>
      <sz val="10"/>
      <color rgb="FFFF0000"/>
      <name val="Courier"/>
      <family val="1"/>
    </font>
    <font>
      <i/>
      <sz val="10"/>
      <color theme="1"/>
      <name val="Helvetica"/>
      <family val="2"/>
    </font>
    <font>
      <i/>
      <sz val="10"/>
      <color theme="1"/>
      <name val="Courier"/>
      <family val="3"/>
    </font>
    <font>
      <b/>
      <sz val="10"/>
      <color theme="1"/>
      <name val="Helvetica"/>
      <family val="2"/>
    </font>
    <font>
      <i/>
      <sz val="10"/>
      <color theme="0"/>
      <name val="Courier"/>
      <family val="1"/>
    </font>
    <font>
      <sz val="8"/>
      <color theme="0"/>
      <name val="Courier"/>
      <family val="1"/>
    </font>
    <font>
      <sz val="10"/>
      <color theme="1"/>
      <name val="Arial"/>
      <family val="2"/>
    </font>
    <font>
      <sz val="11"/>
      <color theme="1"/>
      <name val="Arial"/>
      <family val="2"/>
    </font>
    <font>
      <b/>
      <sz val="10"/>
      <color rgb="FF000000"/>
      <name val="Calibri"/>
      <family val="2"/>
    </font>
    <font>
      <sz val="10"/>
      <color rgb="FF000000"/>
      <name val="Calibri"/>
      <family val="2"/>
    </font>
    <font>
      <b/>
      <sz val="8"/>
      <color rgb="FF000000"/>
      <name val="Calibri"/>
      <family val="2"/>
    </font>
    <font>
      <sz val="9"/>
      <color rgb="FF000000"/>
      <name val="Calibri"/>
      <family val="2"/>
    </font>
    <font>
      <sz val="10"/>
      <color theme="1"/>
      <name val="Helvetica"/>
      <family val="2"/>
    </font>
    <font>
      <sz val="10"/>
      <color rgb="FF000000"/>
      <name val="Tahoma"/>
      <family val="2"/>
    </font>
    <font>
      <sz val="10"/>
      <color theme="0"/>
      <name val="Helvetica"/>
      <family val="2"/>
    </font>
    <font>
      <b/>
      <sz val="9"/>
      <color theme="0"/>
      <name val="Courier"/>
      <family val="1"/>
    </font>
    <font>
      <b/>
      <sz val="10"/>
      <color rgb="FF000000"/>
      <name val="Tahoma"/>
      <family val="2"/>
    </font>
    <font>
      <sz val="10"/>
      <color rgb="FF000000"/>
      <name val="Geneva"/>
      <family val="2"/>
    </font>
    <font>
      <b/>
      <sz val="8"/>
      <color rgb="FF000000"/>
      <name val="Geneva"/>
      <family val="2"/>
      <charset val="1"/>
    </font>
    <font>
      <sz val="8"/>
      <color rgb="FF000000"/>
      <name val="Geneva"/>
      <family val="2"/>
      <charset val="1"/>
    </font>
    <font>
      <b/>
      <sz val="16"/>
      <color rgb="FFFF0000"/>
      <name val="Lucida Grande"/>
      <family val="2"/>
    </font>
    <font>
      <b/>
      <sz val="14"/>
      <color rgb="FFFF0000"/>
      <name val="Lucida Grande"/>
      <family val="2"/>
    </font>
    <font>
      <sz val="10"/>
      <name val="Courier"/>
      <family val="1"/>
    </font>
    <font>
      <sz val="10"/>
      <color theme="1"/>
      <name val="Courier"/>
      <family val="1"/>
    </font>
    <font>
      <sz val="11"/>
      <color theme="0"/>
      <name val="Arial"/>
      <family val="2"/>
    </font>
    <font>
      <b/>
      <sz val="10"/>
      <color theme="0"/>
      <name val="Arial"/>
      <family val="2"/>
    </font>
    <font>
      <b/>
      <sz val="11"/>
      <color theme="0"/>
      <name val="Arial"/>
      <family val="2"/>
    </font>
    <font>
      <b/>
      <sz val="10"/>
      <color theme="1"/>
      <name val="Courier"/>
      <family val="1"/>
    </font>
    <font>
      <sz val="10"/>
      <color theme="1"/>
      <name val="Courier"/>
      <family val="3"/>
    </font>
    <font>
      <i/>
      <sz val="11"/>
      <color theme="1"/>
      <name val="Arial"/>
      <family val="2"/>
    </font>
    <font>
      <i/>
      <sz val="11"/>
      <name val="Arial"/>
      <family val="2"/>
    </font>
    <font>
      <i/>
      <sz val="10"/>
      <color theme="0"/>
      <name val="Arial"/>
      <family val="2"/>
    </font>
    <font>
      <sz val="16"/>
      <name val="Arial"/>
      <family val="2"/>
    </font>
    <font>
      <sz val="20"/>
      <name val="Arial"/>
      <family val="2"/>
    </font>
    <font>
      <b/>
      <sz val="12"/>
      <color theme="1"/>
      <name val="Calibri"/>
      <family val="2"/>
      <scheme val="minor"/>
    </font>
    <font>
      <sz val="24"/>
      <color theme="1"/>
      <name val="Calibri"/>
      <family val="2"/>
      <scheme val="minor"/>
    </font>
    <font>
      <sz val="12"/>
      <color theme="1"/>
      <name val="Courier New"/>
      <family val="1"/>
    </font>
    <font>
      <sz val="12"/>
      <color theme="1"/>
      <name val="Calibri (Tekst)"/>
    </font>
    <font>
      <b/>
      <sz val="10"/>
      <color rgb="FF000000"/>
      <name val="Courier"/>
      <family val="1"/>
    </font>
    <font>
      <sz val="10"/>
      <color rgb="FF000000"/>
      <name val="Courier"/>
      <family val="3"/>
    </font>
    <font>
      <sz val="10"/>
      <color rgb="FF000000"/>
      <name val="Geneva"/>
      <family val="2"/>
      <charset val="1"/>
    </font>
    <font>
      <i/>
      <sz val="10"/>
      <color indexed="18"/>
      <name val="Helvetica"/>
      <family val="2"/>
    </font>
    <font>
      <u/>
      <sz val="10"/>
      <name val="Courier"/>
      <family val="3"/>
    </font>
  </fonts>
  <fills count="38">
    <fill>
      <patternFill patternType="none"/>
    </fill>
    <fill>
      <patternFill patternType="gray125"/>
    </fill>
    <fill>
      <patternFill patternType="gray0625"/>
    </fill>
    <fill>
      <patternFill patternType="lightGray"/>
    </fill>
    <fill>
      <patternFill patternType="solid">
        <fgColor indexed="43"/>
        <bgColor indexed="64"/>
      </patternFill>
    </fill>
    <fill>
      <patternFill patternType="solid">
        <fgColor indexed="63"/>
        <bgColor indexed="64"/>
      </patternFill>
    </fill>
    <fill>
      <patternFill patternType="solid">
        <fgColor indexed="4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FFF2AC"/>
        <bgColor indexed="64"/>
      </patternFill>
    </fill>
    <fill>
      <patternFill patternType="solid">
        <fgColor rgb="FFFFEE5A"/>
        <bgColor indexed="64"/>
      </patternFill>
    </fill>
    <fill>
      <patternFill patternType="solid">
        <fgColor theme="6" tint="0.39997558519241921"/>
        <bgColor indexed="64"/>
      </patternFill>
    </fill>
    <fill>
      <patternFill patternType="solid">
        <fgColor theme="0"/>
        <bgColor indexed="64"/>
      </patternFill>
    </fill>
    <fill>
      <patternFill patternType="solid">
        <fgColor rgb="FFFFFF00"/>
        <bgColor rgb="FF000000"/>
      </patternFill>
    </fill>
    <fill>
      <patternFill patternType="solid">
        <fgColor rgb="FFF9FD9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1"/>
        <bgColor indexed="64"/>
      </patternFill>
    </fill>
    <fill>
      <patternFill patternType="solid">
        <fgColor theme="4" tint="0.39997558519241921"/>
        <bgColor indexed="64"/>
      </patternFill>
    </fill>
    <fill>
      <patternFill patternType="solid">
        <fgColor rgb="FFFFFF11"/>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theme="5" tint="-0.499984740745262"/>
        <bgColor indexed="64"/>
      </patternFill>
    </fill>
    <fill>
      <patternFill patternType="solid">
        <fgColor theme="4" tint="-0.499984740745262"/>
        <bgColor indexed="64"/>
      </patternFill>
    </fill>
    <fill>
      <patternFill patternType="solid">
        <fgColor theme="7" tint="-0.499984740745262"/>
        <bgColor indexed="64"/>
      </patternFill>
    </fill>
  </fills>
  <borders count="135">
    <border>
      <left/>
      <right/>
      <top/>
      <bottom/>
      <diagonal/>
    </border>
    <border>
      <left/>
      <right style="hair">
        <color auto="1"/>
      </right>
      <top style="thin">
        <color auto="1"/>
      </top>
      <bottom style="thin">
        <color auto="1"/>
      </bottom>
      <diagonal/>
    </border>
    <border>
      <left/>
      <right/>
      <top style="medium">
        <color auto="1"/>
      </top>
      <bottom style="thin">
        <color auto="1"/>
      </bottom>
      <diagonal/>
    </border>
    <border>
      <left/>
      <right/>
      <top/>
      <bottom style="hair">
        <color auto="1"/>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style="thin">
        <color auto="1"/>
      </right>
      <top/>
      <bottom/>
      <diagonal/>
    </border>
    <border>
      <left style="thin">
        <color auto="1"/>
      </left>
      <right style="hair">
        <color auto="1"/>
      </right>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style="thin">
        <color auto="1"/>
      </right>
      <top style="hair">
        <color auto="1"/>
      </top>
      <bottom style="hair">
        <color auto="1"/>
      </bottom>
      <diagonal/>
    </border>
    <border>
      <left style="hair">
        <color auto="1"/>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diagonal/>
    </border>
    <border>
      <left style="hair">
        <color auto="1"/>
      </left>
      <right style="hair">
        <color auto="1"/>
      </right>
      <top style="thin">
        <color auto="1"/>
      </top>
      <bottom style="hair">
        <color auto="1"/>
      </bottom>
      <diagonal/>
    </border>
    <border>
      <left/>
      <right/>
      <top style="thin">
        <color auto="1"/>
      </top>
      <bottom style="thin">
        <color auto="1"/>
      </bottom>
      <diagonal/>
    </border>
    <border>
      <left style="hair">
        <color auto="1"/>
      </left>
      <right/>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right/>
      <top style="thin">
        <color auto="1"/>
      </top>
      <bottom style="hair">
        <color auto="1"/>
      </bottom>
      <diagonal/>
    </border>
    <border>
      <left style="hair">
        <color auto="1"/>
      </left>
      <right/>
      <top style="thin">
        <color auto="1"/>
      </top>
      <bottom style="hair">
        <color auto="1"/>
      </bottom>
      <diagonal/>
    </border>
    <border>
      <left style="hair">
        <color auto="1"/>
      </left>
      <right/>
      <top style="hair">
        <color auto="1"/>
      </top>
      <bottom/>
      <diagonal/>
    </border>
    <border>
      <left/>
      <right/>
      <top style="thick">
        <color auto="1"/>
      </top>
      <bottom/>
      <diagonal/>
    </border>
    <border>
      <left/>
      <right/>
      <top style="thick">
        <color auto="1"/>
      </top>
      <bottom style="hair">
        <color auto="1"/>
      </bottom>
      <diagonal/>
    </border>
    <border>
      <left/>
      <right style="hair">
        <color auto="1"/>
      </right>
      <top style="thin">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style="hair">
        <color auto="1"/>
      </left>
      <right style="hair">
        <color auto="1"/>
      </right>
      <top style="thick">
        <color auto="1"/>
      </top>
      <bottom style="hair">
        <color auto="1"/>
      </bottom>
      <diagonal/>
    </border>
    <border>
      <left/>
      <right/>
      <top style="thin">
        <color auto="1"/>
      </top>
      <bottom style="thick">
        <color auto="1"/>
      </bottom>
      <diagonal/>
    </border>
    <border>
      <left style="hair">
        <color auto="1"/>
      </left>
      <right style="hair">
        <color auto="1"/>
      </right>
      <top style="thin">
        <color auto="1"/>
      </top>
      <bottom style="thick">
        <color auto="1"/>
      </bottom>
      <diagonal/>
    </border>
    <border>
      <left/>
      <right/>
      <top style="hair">
        <color auto="1"/>
      </top>
      <bottom/>
      <diagonal/>
    </border>
    <border>
      <left style="thin">
        <color auto="1"/>
      </left>
      <right/>
      <top style="hair">
        <color auto="1"/>
      </top>
      <bottom style="thin">
        <color auto="1"/>
      </bottom>
      <diagonal/>
    </border>
    <border>
      <left style="thin">
        <color auto="1"/>
      </left>
      <right/>
      <top style="thin">
        <color auto="1"/>
      </top>
      <bottom style="hair">
        <color auto="1"/>
      </bottom>
      <diagonal/>
    </border>
    <border>
      <left/>
      <right/>
      <top style="hair">
        <color auto="1"/>
      </top>
      <bottom style="thin">
        <color auto="1"/>
      </bottom>
      <diagonal/>
    </border>
    <border>
      <left/>
      <right style="thin">
        <color auto="1"/>
      </right>
      <top/>
      <bottom style="thin">
        <color auto="1"/>
      </bottom>
      <diagonal/>
    </border>
    <border>
      <left/>
      <right style="thin">
        <color auto="1"/>
      </right>
      <top style="hair">
        <color auto="1"/>
      </top>
      <bottom style="thin">
        <color auto="1"/>
      </bottom>
      <diagonal/>
    </border>
    <border>
      <left/>
      <right style="hair">
        <color auto="1"/>
      </right>
      <top/>
      <bottom style="hair">
        <color auto="1"/>
      </bottom>
      <diagonal/>
    </border>
    <border>
      <left/>
      <right style="hair">
        <color auto="1"/>
      </right>
      <top style="hair">
        <color auto="1"/>
      </top>
      <bottom style="thin">
        <color auto="1"/>
      </bottom>
      <diagonal/>
    </border>
    <border>
      <left/>
      <right style="hair">
        <color auto="1"/>
      </right>
      <top style="hair">
        <color auto="1"/>
      </top>
      <bottom/>
      <diagonal/>
    </border>
    <border>
      <left/>
      <right style="hair">
        <color auto="1"/>
      </right>
      <top style="thin">
        <color auto="1"/>
      </top>
      <bottom style="thick">
        <color auto="1"/>
      </bottom>
      <diagonal/>
    </border>
    <border>
      <left/>
      <right style="hair">
        <color auto="1"/>
      </right>
      <top style="thick">
        <color auto="1"/>
      </top>
      <bottom style="hair">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thin">
        <color auto="1"/>
      </left>
      <right style="hair">
        <color auto="1"/>
      </right>
      <top/>
      <bottom style="hair">
        <color auto="1"/>
      </bottom>
      <diagonal/>
    </border>
    <border>
      <left style="hair">
        <color auto="1"/>
      </left>
      <right style="thin">
        <color auto="1"/>
      </right>
      <top/>
      <bottom style="hair">
        <color auto="1"/>
      </bottom>
      <diagonal/>
    </border>
    <border>
      <left style="hair">
        <color auto="1"/>
      </left>
      <right style="hair">
        <color auto="1"/>
      </right>
      <top style="medium">
        <color auto="1"/>
      </top>
      <bottom style="thin">
        <color auto="1"/>
      </bottom>
      <diagonal/>
    </border>
    <border>
      <left style="medium">
        <color auto="1"/>
      </left>
      <right style="hair">
        <color auto="1"/>
      </right>
      <top style="medium">
        <color auto="1"/>
      </top>
      <bottom/>
      <diagonal/>
    </border>
    <border>
      <left style="medium">
        <color auto="1"/>
      </left>
      <right style="hair">
        <color auto="1"/>
      </right>
      <top/>
      <bottom/>
      <diagonal/>
    </border>
    <border>
      <left style="medium">
        <color auto="1"/>
      </left>
      <right style="hair">
        <color auto="1"/>
      </right>
      <top/>
      <bottom style="medium">
        <color auto="1"/>
      </bottom>
      <diagonal/>
    </border>
    <border>
      <left/>
      <right style="medium">
        <color auto="1"/>
      </right>
      <top style="thin">
        <color auto="1"/>
      </top>
      <bottom style="hair">
        <color auto="1"/>
      </bottom>
      <diagonal/>
    </border>
    <border>
      <left/>
      <right style="medium">
        <color auto="1"/>
      </right>
      <top style="hair">
        <color auto="1"/>
      </top>
      <bottom style="medium">
        <color auto="1"/>
      </bottom>
      <diagonal/>
    </border>
    <border>
      <left/>
      <right/>
      <top style="thin">
        <color auto="1"/>
      </top>
      <bottom style="medium">
        <color auto="1"/>
      </bottom>
      <diagonal/>
    </border>
    <border>
      <left/>
      <right/>
      <top/>
      <bottom style="medium">
        <color auto="1"/>
      </bottom>
      <diagonal/>
    </border>
    <border>
      <left style="hair">
        <color auto="1"/>
      </left>
      <right style="hair">
        <color auto="1"/>
      </right>
      <top/>
      <bottom style="medium">
        <color auto="1"/>
      </bottom>
      <diagonal/>
    </border>
    <border>
      <left style="thin">
        <color auto="1"/>
      </left>
      <right/>
      <top/>
      <bottom style="hair">
        <color auto="1"/>
      </bottom>
      <diagonal/>
    </border>
    <border>
      <left style="medium">
        <color auto="1"/>
      </left>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style="medium">
        <color auto="1"/>
      </right>
      <top/>
      <bottom/>
      <diagonal/>
    </border>
    <border>
      <left style="thin">
        <color auto="1"/>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style="medium">
        <color auto="1"/>
      </top>
      <bottom/>
      <diagonal/>
    </border>
    <border>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hair">
        <color auto="1"/>
      </top>
      <bottom/>
      <diagonal/>
    </border>
    <border>
      <left/>
      <right style="thin">
        <color auto="1"/>
      </right>
      <top style="hair">
        <color auto="1"/>
      </top>
      <bottom/>
      <diagonal/>
    </border>
    <border>
      <left style="hair">
        <color auto="1"/>
      </left>
      <right style="thin">
        <color auto="1"/>
      </right>
      <top style="thin">
        <color auto="1"/>
      </top>
      <bottom style="hair">
        <color auto="1"/>
      </bottom>
      <diagonal/>
    </border>
    <border>
      <left style="hair">
        <color auto="1"/>
      </left>
      <right style="thin">
        <color auto="1"/>
      </right>
      <top/>
      <bottom/>
      <diagonal/>
    </border>
    <border>
      <left style="hair">
        <color auto="1"/>
      </left>
      <right style="thin">
        <color auto="1"/>
      </right>
      <top style="thin">
        <color auto="1"/>
      </top>
      <bottom/>
      <diagonal/>
    </border>
    <border>
      <left style="medium">
        <color auto="1"/>
      </left>
      <right style="thin">
        <color auto="1"/>
      </right>
      <top style="hair">
        <color auto="1"/>
      </top>
      <bottom style="hair">
        <color auto="1"/>
      </bottom>
      <diagonal/>
    </border>
    <border>
      <left style="medium">
        <color auto="1"/>
      </left>
      <right/>
      <top style="thin">
        <color auto="1"/>
      </top>
      <bottom style="thin">
        <color auto="1"/>
      </bottom>
      <diagonal/>
    </border>
    <border>
      <left style="medium">
        <color auto="1"/>
      </left>
      <right style="thin">
        <color auto="1"/>
      </right>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style="medium">
        <color auto="1"/>
      </left>
      <right style="thin">
        <color auto="1"/>
      </right>
      <top style="hair">
        <color auto="1"/>
      </top>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hair">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right style="thin">
        <color auto="1"/>
      </right>
      <top style="thin">
        <color auto="1"/>
      </top>
      <bottom style="medium">
        <color auto="1"/>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style="thin">
        <color auto="1"/>
      </right>
      <top style="thin">
        <color indexed="64"/>
      </top>
      <bottom style="double">
        <color indexed="64"/>
      </bottom>
      <diagonal/>
    </border>
    <border>
      <left style="thin">
        <color auto="1"/>
      </left>
      <right style="thin">
        <color auto="1"/>
      </right>
      <top style="thin">
        <color indexed="64"/>
      </top>
      <bottom style="medium">
        <color indexed="64"/>
      </bottom>
      <diagonal/>
    </border>
    <border>
      <left style="thin">
        <color auto="1"/>
      </left>
      <right style="hair">
        <color auto="1"/>
      </right>
      <top/>
      <bottom/>
      <diagonal/>
    </border>
    <border>
      <left style="hair">
        <color auto="1"/>
      </left>
      <right/>
      <top/>
      <bottom style="thin">
        <color auto="1"/>
      </bottom>
      <diagonal/>
    </border>
    <border>
      <left/>
      <right style="hair">
        <color auto="1"/>
      </right>
      <top/>
      <bottom/>
      <diagonal/>
    </border>
    <border>
      <left/>
      <right style="hair">
        <color auto="1"/>
      </right>
      <top style="thin">
        <color indexed="64"/>
      </top>
      <bottom style="medium">
        <color indexed="64"/>
      </bottom>
      <diagonal/>
    </border>
    <border>
      <left style="hair">
        <color auto="1"/>
      </left>
      <right/>
      <top style="thin">
        <color indexed="64"/>
      </top>
      <bottom style="medium">
        <color indexed="64"/>
      </bottom>
      <diagonal/>
    </border>
    <border>
      <left style="thin">
        <color auto="1"/>
      </left>
      <right style="hair">
        <color auto="1"/>
      </right>
      <top style="thin">
        <color indexed="64"/>
      </top>
      <bottom style="medium">
        <color indexed="64"/>
      </bottom>
      <diagonal/>
    </border>
    <border>
      <left style="thin">
        <color auto="1"/>
      </left>
      <right style="thin">
        <color auto="1"/>
      </right>
      <top/>
      <bottom style="double">
        <color indexed="64"/>
      </bottom>
      <diagonal/>
    </border>
    <border>
      <left style="medium">
        <color auto="1"/>
      </left>
      <right style="medium">
        <color auto="1"/>
      </right>
      <top style="hair">
        <color auto="1"/>
      </top>
      <bottom style="thin">
        <color auto="1"/>
      </bottom>
      <diagonal/>
    </border>
    <border>
      <left style="medium">
        <color auto="1"/>
      </left>
      <right style="thin">
        <color auto="1"/>
      </right>
      <top style="hair">
        <color auto="1"/>
      </top>
      <bottom style="thin">
        <color auto="1"/>
      </bottom>
      <diagonal/>
    </border>
    <border>
      <left style="thin">
        <color auto="1"/>
      </left>
      <right/>
      <top style="thin">
        <color auto="1"/>
      </top>
      <bottom style="thick">
        <color auto="1"/>
      </bottom>
      <diagonal/>
    </border>
    <border>
      <left style="thin">
        <color auto="1"/>
      </left>
      <right style="thin">
        <color auto="1"/>
      </right>
      <top style="thin">
        <color auto="1"/>
      </top>
      <bottom style="thick">
        <color auto="1"/>
      </bottom>
      <diagonal/>
    </border>
    <border>
      <left style="medium">
        <color auto="1"/>
      </left>
      <right style="medium">
        <color auto="1"/>
      </right>
      <top style="thin">
        <color auto="1"/>
      </top>
      <bottom style="thick">
        <color auto="1"/>
      </bottom>
      <diagonal/>
    </border>
    <border>
      <left/>
      <right/>
      <top style="thin">
        <color indexed="64"/>
      </top>
      <bottom style="double">
        <color indexed="64"/>
      </bottom>
      <diagonal/>
    </border>
  </borders>
  <cellStyleXfs count="481">
    <xf numFmtId="0" fontId="0" fillId="0" borderId="0"/>
    <xf numFmtId="166" fontId="4" fillId="0" borderId="0" applyFont="0" applyFill="0" applyBorder="0" applyAlignment="0" applyProtection="0"/>
    <xf numFmtId="165"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0" borderId="1" applyNumberFormat="0" applyFill="0" applyBorder="0" applyProtection="0">
      <alignment horizontal="center"/>
    </xf>
    <xf numFmtId="165" fontId="5" fillId="0" borderId="0" applyFont="0" applyFill="0" applyBorder="0" applyAlignment="0" applyProtection="0"/>
    <xf numFmtId="166" fontId="5" fillId="0" borderId="0" applyFont="0" applyFill="0" applyBorder="0" applyAlignment="0" applyProtection="0"/>
    <xf numFmtId="170" fontId="3" fillId="0" borderId="0" applyFont="0" applyFill="0" applyBorder="0" applyAlignment="0" applyProtection="0"/>
    <xf numFmtId="3" fontId="9" fillId="2" borderId="2" applyFill="0" applyBorder="0" applyAlignment="0">
      <alignment horizontal="center"/>
    </xf>
    <xf numFmtId="167" fontId="5" fillId="0" borderId="0" applyFont="0" applyFill="0" applyBorder="0" applyAlignment="0" applyProtection="0"/>
    <xf numFmtId="168" fontId="5" fillId="0" borderId="0" applyFont="0" applyFill="0" applyBorder="0" applyAlignment="0" applyProtection="0"/>
    <xf numFmtId="0" fontId="24" fillId="0" borderId="0" applyNumberFormat="0" applyFill="0" applyBorder="0" applyAlignment="0" applyProtection="0">
      <alignment vertical="top"/>
      <protection locked="0"/>
    </xf>
    <xf numFmtId="3" fontId="3" fillId="0" borderId="0" applyFont="0" applyFill="0" applyBorder="0" applyAlignment="0" applyProtection="0"/>
    <xf numFmtId="171" fontId="3" fillId="0" borderId="0" applyFont="0" applyFill="0" applyBorder="0" applyAlignment="0" applyProtection="0"/>
    <xf numFmtId="4" fontId="3" fillId="0" borderId="0" applyFont="0" applyFill="0" applyBorder="0" applyAlignment="0" applyProtection="0"/>
    <xf numFmtId="172" fontId="3" fillId="0" borderId="0" applyFont="0" applyFill="0" applyBorder="0" applyAlignment="0" applyProtection="0"/>
    <xf numFmtId="169" fontId="3" fillId="0" borderId="0" applyFont="0" applyFill="0" applyBorder="0" applyAlignment="0" applyProtection="0"/>
    <xf numFmtId="0" fontId="4" fillId="0" borderId="0"/>
    <xf numFmtId="0" fontId="3" fillId="0" borderId="0"/>
    <xf numFmtId="0" fontId="4" fillId="0" borderId="0"/>
    <xf numFmtId="9" fontId="3" fillId="0" borderId="0" applyFont="0" applyFill="0" applyBorder="0" applyAlignment="0" applyProtection="0"/>
    <xf numFmtId="173" fontId="3" fillId="0" borderId="0" applyFont="0" applyFill="0" applyBorder="0" applyAlignment="0" applyProtection="0"/>
    <xf numFmtId="10" fontId="3" fillId="0" borderId="0" applyFont="0" applyFill="0" applyBorder="0" applyAlignment="0" applyProtection="0"/>
    <xf numFmtId="174" fontId="3" fillId="0" borderId="0" applyFont="0" applyFill="0" applyBorder="0" applyProtection="0">
      <alignment horizontal="center"/>
    </xf>
    <xf numFmtId="0" fontId="11" fillId="3" borderId="0" applyNumberFormat="0" applyFont="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0" fillId="0" borderId="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164" fontId="50"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9" fontId="50" fillId="0" borderId="0" applyFon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2" fillId="0" borderId="0"/>
    <xf numFmtId="43" fontId="2" fillId="0" borderId="0" applyFont="0" applyFill="0" applyBorder="0" applyAlignment="0" applyProtection="0"/>
    <xf numFmtId="0" fontId="1" fillId="0" borderId="0"/>
  </cellStyleXfs>
  <cellXfs count="1281">
    <xf numFmtId="0" fontId="0" fillId="0" borderId="0" xfId="0"/>
    <xf numFmtId="0" fontId="3" fillId="0" borderId="5" xfId="20" applyBorder="1" applyAlignment="1">
      <alignment horizontal="center"/>
    </xf>
    <xf numFmtId="0" fontId="10" fillId="4" borderId="4" xfId="20" applyFont="1" applyFill="1" applyBorder="1" applyAlignment="1">
      <alignment horizontal="center"/>
    </xf>
    <xf numFmtId="0" fontId="3" fillId="0" borderId="0" xfId="20"/>
    <xf numFmtId="0" fontId="3" fillId="0" borderId="6" xfId="20" applyBorder="1" applyAlignment="1">
      <alignment horizontal="center"/>
    </xf>
    <xf numFmtId="0" fontId="13" fillId="0" borderId="7" xfId="20" applyFont="1" applyBorder="1" applyAlignment="1">
      <alignment horizontal="left"/>
    </xf>
    <xf numFmtId="0" fontId="3" fillId="0" borderId="0" xfId="20" applyAlignment="1">
      <alignment wrapText="1"/>
    </xf>
    <xf numFmtId="0" fontId="3" fillId="0" borderId="7" xfId="20" applyBorder="1" applyAlignment="1">
      <alignment horizontal="left"/>
    </xf>
    <xf numFmtId="4" fontId="3" fillId="0" borderId="4" xfId="9" applyNumberFormat="1" applyFont="1" applyBorder="1" applyAlignment="1">
      <alignment horizontal="right"/>
    </xf>
    <xf numFmtId="0" fontId="13" fillId="0" borderId="8" xfId="20" applyFont="1" applyBorder="1" applyAlignment="1">
      <alignment horizontal="left"/>
    </xf>
    <xf numFmtId="4" fontId="13" fillId="0" borderId="4" xfId="9" applyNumberFormat="1" applyFont="1" applyBorder="1" applyAlignment="1">
      <alignment horizontal="right"/>
    </xf>
    <xf numFmtId="0" fontId="3" fillId="0" borderId="8" xfId="20" applyBorder="1" applyAlignment="1">
      <alignment horizontal="left"/>
    </xf>
    <xf numFmtId="0" fontId="3" fillId="0" borderId="0" xfId="9" applyNumberFormat="1" applyFont="1"/>
    <xf numFmtId="0" fontId="3" fillId="0" borderId="8" xfId="20" applyBorder="1" applyAlignment="1">
      <alignment horizontal="left" wrapText="1"/>
    </xf>
    <xf numFmtId="4" fontId="3" fillId="4" borderId="9" xfId="9" applyNumberFormat="1" applyFont="1" applyFill="1" applyBorder="1" applyAlignment="1"/>
    <xf numFmtId="0" fontId="3" fillId="0" borderId="7" xfId="20" applyBorder="1" applyAlignment="1">
      <alignment horizontal="left" wrapText="1"/>
    </xf>
    <xf numFmtId="4" fontId="3" fillId="4" borderId="10" xfId="9" applyNumberFormat="1" applyFont="1" applyFill="1" applyBorder="1" applyAlignment="1"/>
    <xf numFmtId="4" fontId="3" fillId="4" borderId="11" xfId="9" applyNumberFormat="1" applyFont="1" applyFill="1" applyBorder="1" applyAlignment="1"/>
    <xf numFmtId="4" fontId="3" fillId="0" borderId="4" xfId="9" applyNumberFormat="1" applyFont="1" applyBorder="1" applyAlignment="1"/>
    <xf numFmtId="4" fontId="3" fillId="4" borderId="4" xfId="9" applyNumberFormat="1" applyFont="1" applyFill="1" applyBorder="1" applyAlignment="1"/>
    <xf numFmtId="4" fontId="13" fillId="0" borderId="4" xfId="9" applyNumberFormat="1" applyFont="1" applyBorder="1" applyAlignment="1"/>
    <xf numFmtId="4" fontId="3" fillId="0" borderId="4" xfId="9" applyNumberFormat="1" applyFont="1" applyFill="1" applyBorder="1" applyAlignment="1"/>
    <xf numFmtId="0" fontId="3" fillId="0" borderId="0" xfId="20" applyAlignment="1">
      <alignment horizontal="center"/>
    </xf>
    <xf numFmtId="0" fontId="14" fillId="0" borderId="0" xfId="20" applyFont="1"/>
    <xf numFmtId="0" fontId="9" fillId="0" borderId="0" xfId="20" applyFont="1"/>
    <xf numFmtId="0" fontId="15" fillId="0" borderId="12" xfId="21" applyFont="1" applyBorder="1" applyAlignment="1">
      <alignment horizontal="centerContinuous"/>
    </xf>
    <xf numFmtId="0" fontId="15" fillId="0" borderId="13" xfId="21" applyFont="1" applyBorder="1" applyAlignment="1">
      <alignment horizontal="centerContinuous"/>
    </xf>
    <xf numFmtId="0" fontId="15" fillId="0" borderId="14" xfId="21" applyFont="1" applyBorder="1" applyAlignment="1">
      <alignment horizontal="centerContinuous"/>
    </xf>
    <xf numFmtId="0" fontId="4" fillId="0" borderId="0" xfId="21"/>
    <xf numFmtId="0" fontId="4" fillId="0" borderId="15" xfId="21" applyBorder="1" applyAlignment="1">
      <alignment horizontal="center"/>
    </xf>
    <xf numFmtId="0" fontId="4" fillId="0" borderId="16" xfId="21" applyBorder="1" applyAlignment="1">
      <alignment horizontal="left"/>
    </xf>
    <xf numFmtId="0" fontId="4" fillId="0" borderId="17" xfId="21" applyBorder="1" applyAlignment="1">
      <alignment horizontal="left"/>
    </xf>
    <xf numFmtId="0" fontId="11" fillId="0" borderId="17" xfId="21" applyFont="1" applyBorder="1" applyAlignment="1">
      <alignment horizontal="left"/>
    </xf>
    <xf numFmtId="0" fontId="4" fillId="0" borderId="18" xfId="21" applyBorder="1" applyAlignment="1">
      <alignment horizontal="left"/>
    </xf>
    <xf numFmtId="0" fontId="4" fillId="0" borderId="19" xfId="21" applyBorder="1" applyAlignment="1">
      <alignment horizontal="center"/>
    </xf>
    <xf numFmtId="0" fontId="4" fillId="0" borderId="20" xfId="21" applyBorder="1" applyAlignment="1">
      <alignment horizontal="center"/>
    </xf>
    <xf numFmtId="3" fontId="16" fillId="0" borderId="21" xfId="14" applyFont="1" applyBorder="1" applyAlignment="1">
      <alignment horizontal="center"/>
    </xf>
    <xf numFmtId="3" fontId="16" fillId="0" borderId="22" xfId="14" applyFont="1" applyBorder="1" applyAlignment="1">
      <alignment horizontal="center"/>
    </xf>
    <xf numFmtId="0" fontId="4" fillId="0" borderId="23" xfId="21" applyBorder="1" applyAlignment="1">
      <alignment horizontal="center"/>
    </xf>
    <xf numFmtId="0" fontId="4" fillId="0" borderId="24" xfId="21" applyBorder="1" applyAlignment="1">
      <alignment horizontal="center"/>
    </xf>
    <xf numFmtId="3" fontId="4" fillId="0" borderId="24" xfId="14" applyFont="1" applyBorder="1" applyAlignment="1">
      <alignment horizontal="center"/>
    </xf>
    <xf numFmtId="3" fontId="4" fillId="0" borderId="5" xfId="14" applyFont="1" applyBorder="1" applyAlignment="1">
      <alignment horizontal="center"/>
    </xf>
    <xf numFmtId="4" fontId="17" fillId="0" borderId="25" xfId="14" applyNumberFormat="1" applyFont="1" applyBorder="1" applyAlignment="1">
      <alignment horizontal="center"/>
    </xf>
    <xf numFmtId="0" fontId="4" fillId="0" borderId="21" xfId="21" applyBorder="1" applyAlignment="1">
      <alignment horizontal="center"/>
    </xf>
    <xf numFmtId="3" fontId="4" fillId="0" borderId="21" xfId="14" applyFont="1" applyBorder="1" applyAlignment="1">
      <alignment horizontal="center"/>
    </xf>
    <xf numFmtId="3" fontId="4" fillId="0" borderId="22" xfId="14" applyFont="1" applyBorder="1" applyAlignment="1">
      <alignment horizontal="center"/>
    </xf>
    <xf numFmtId="4" fontId="17" fillId="0" borderId="26" xfId="14" applyNumberFormat="1" applyFont="1" applyBorder="1" applyAlignment="1">
      <alignment horizontal="center"/>
    </xf>
    <xf numFmtId="3" fontId="4" fillId="0" borderId="18" xfId="14" applyFont="1" applyBorder="1" applyAlignment="1">
      <alignment horizontal="center"/>
    </xf>
    <xf numFmtId="3" fontId="4" fillId="0" borderId="27" xfId="14" applyFont="1" applyBorder="1" applyAlignment="1">
      <alignment horizontal="center"/>
    </xf>
    <xf numFmtId="3" fontId="4" fillId="0" borderId="25" xfId="14" applyFont="1" applyBorder="1" applyAlignment="1">
      <alignment horizontal="center"/>
    </xf>
    <xf numFmtId="3" fontId="4" fillId="0" borderId="26" xfId="14" applyFont="1" applyBorder="1" applyAlignment="1">
      <alignment horizontal="center"/>
    </xf>
    <xf numFmtId="0" fontId="18" fillId="0" borderId="0" xfId="21" applyFont="1"/>
    <xf numFmtId="0" fontId="4" fillId="0" borderId="27" xfId="21" applyBorder="1" applyAlignment="1">
      <alignment horizontal="left"/>
    </xf>
    <xf numFmtId="0" fontId="4" fillId="0" borderId="0" xfId="21" applyAlignment="1">
      <alignment horizontal="center"/>
    </xf>
    <xf numFmtId="3" fontId="16" fillId="0" borderId="26" xfId="14" applyFont="1" applyBorder="1" applyAlignment="1">
      <alignment horizontal="center"/>
    </xf>
    <xf numFmtId="0" fontId="4" fillId="0" borderId="28" xfId="21" applyBorder="1" applyAlignment="1">
      <alignment horizontal="center"/>
    </xf>
    <xf numFmtId="0" fontId="13" fillId="0" borderId="29" xfId="20" applyFont="1" applyBorder="1" applyAlignment="1">
      <alignment horizontal="left"/>
    </xf>
    <xf numFmtId="4" fontId="13" fillId="0" borderId="30" xfId="9" applyNumberFormat="1" applyFont="1" applyFill="1" applyBorder="1" applyAlignment="1"/>
    <xf numFmtId="4" fontId="19" fillId="0" borderId="31" xfId="20" applyNumberFormat="1" applyFont="1" applyBorder="1" applyAlignment="1">
      <alignment horizontal="left"/>
    </xf>
    <xf numFmtId="3" fontId="4" fillId="0" borderId="32" xfId="14" applyFont="1" applyBorder="1" applyAlignment="1">
      <alignment horizontal="center"/>
    </xf>
    <xf numFmtId="3" fontId="4" fillId="0" borderId="10" xfId="14" applyFont="1" applyBorder="1" applyAlignment="1">
      <alignment horizontal="center"/>
    </xf>
    <xf numFmtId="3" fontId="4" fillId="0" borderId="33" xfId="14" applyFont="1" applyBorder="1" applyAlignment="1">
      <alignment horizontal="center"/>
    </xf>
    <xf numFmtId="0" fontId="20" fillId="0" borderId="27" xfId="20" applyFont="1" applyBorder="1" applyAlignment="1">
      <alignment wrapText="1"/>
    </xf>
    <xf numFmtId="0" fontId="3" fillId="0" borderId="19" xfId="20" applyBorder="1" applyAlignment="1">
      <alignment horizontal="left"/>
    </xf>
    <xf numFmtId="4" fontId="3" fillId="0" borderId="34" xfId="9" applyNumberFormat="1" applyFont="1" applyFill="1" applyBorder="1" applyAlignment="1"/>
    <xf numFmtId="0" fontId="3" fillId="0" borderId="0" xfId="20" quotePrefix="1" applyAlignment="1">
      <alignment wrapText="1"/>
    </xf>
    <xf numFmtId="0" fontId="0" fillId="0" borderId="0" xfId="0" applyAlignment="1">
      <alignment wrapText="1"/>
    </xf>
    <xf numFmtId="0" fontId="0" fillId="0" borderId="0" xfId="0" applyAlignment="1">
      <alignment horizontal="center" vertical="top"/>
    </xf>
    <xf numFmtId="0" fontId="20" fillId="0" borderId="27" xfId="20" applyFont="1" applyBorder="1"/>
    <xf numFmtId="175" fontId="10" fillId="0" borderId="4" xfId="20" applyNumberFormat="1" applyFont="1" applyBorder="1" applyAlignment="1">
      <alignment horizontal="center"/>
    </xf>
    <xf numFmtId="176" fontId="3" fillId="0" borderId="0" xfId="20" applyNumberFormat="1" applyAlignment="1">
      <alignment horizontal="left"/>
    </xf>
    <xf numFmtId="0" fontId="10" fillId="0" borderId="4" xfId="20" applyFont="1" applyBorder="1" applyAlignment="1">
      <alignment horizontal="center"/>
    </xf>
    <xf numFmtId="172" fontId="10" fillId="4" borderId="4" xfId="20" applyNumberFormat="1" applyFont="1" applyFill="1" applyBorder="1" applyAlignment="1">
      <alignment horizontal="center"/>
    </xf>
    <xf numFmtId="0" fontId="3" fillId="0" borderId="35" xfId="20" applyBorder="1" applyAlignment="1">
      <alignment horizontal="center"/>
    </xf>
    <xf numFmtId="175" fontId="10" fillId="4" borderId="4" xfId="20" applyNumberFormat="1" applyFont="1" applyFill="1" applyBorder="1" applyAlignment="1">
      <alignment horizontal="center"/>
    </xf>
    <xf numFmtId="0" fontId="13" fillId="0" borderId="36" xfId="20" applyFont="1" applyBorder="1"/>
    <xf numFmtId="17" fontId="10" fillId="0" borderId="4" xfId="20" applyNumberFormat="1" applyFont="1" applyBorder="1" applyAlignment="1">
      <alignment horizontal="center" wrapText="1"/>
    </xf>
    <xf numFmtId="0" fontId="10" fillId="0" borderId="4" xfId="20" applyFont="1" applyBorder="1" applyAlignment="1">
      <alignment horizontal="center" wrapText="1"/>
    </xf>
    <xf numFmtId="0" fontId="10" fillId="4" borderId="4" xfId="20" applyFont="1" applyFill="1" applyBorder="1" applyAlignment="1" applyProtection="1">
      <alignment horizontal="center" wrapText="1"/>
      <protection locked="0"/>
    </xf>
    <xf numFmtId="0" fontId="10" fillId="4" borderId="4" xfId="20" applyFont="1" applyFill="1" applyBorder="1" applyAlignment="1" applyProtection="1">
      <alignment horizontal="center"/>
      <protection locked="0"/>
    </xf>
    <xf numFmtId="0" fontId="13" fillId="0" borderId="0" xfId="20" applyFont="1" applyAlignment="1">
      <alignment horizontal="left" indent="2"/>
    </xf>
    <xf numFmtId="4" fontId="13" fillId="0" borderId="36" xfId="20" applyNumberFormat="1" applyFont="1" applyBorder="1" applyAlignment="1">
      <alignment horizontal="left" indent="2"/>
    </xf>
    <xf numFmtId="0" fontId="3" fillId="0" borderId="0" xfId="20" applyAlignment="1" applyProtection="1">
      <alignment horizontal="center"/>
      <protection locked="0"/>
    </xf>
    <xf numFmtId="0" fontId="3" fillId="0" borderId="0" xfId="20" applyProtection="1">
      <protection locked="0"/>
    </xf>
    <xf numFmtId="0" fontId="9" fillId="0" borderId="0" xfId="20" applyFont="1" applyProtection="1">
      <protection locked="0"/>
    </xf>
    <xf numFmtId="0" fontId="3" fillId="4" borderId="0" xfId="20" applyFill="1" applyAlignment="1" applyProtection="1">
      <alignment wrapText="1"/>
      <protection locked="0"/>
    </xf>
    <xf numFmtId="0" fontId="3" fillId="4" borderId="0" xfId="20" applyFill="1" applyProtection="1">
      <protection locked="0"/>
    </xf>
    <xf numFmtId="0" fontId="3" fillId="4" borderId="0" xfId="20" applyFill="1" applyAlignment="1" applyProtection="1">
      <alignment horizontal="center"/>
      <protection locked="0"/>
    </xf>
    <xf numFmtId="0" fontId="9" fillId="4" borderId="0" xfId="20" applyFont="1" applyFill="1" applyProtection="1">
      <protection locked="0"/>
    </xf>
    <xf numFmtId="0" fontId="13" fillId="0" borderId="7" xfId="20" applyFont="1" applyBorder="1" applyAlignment="1">
      <alignment wrapText="1"/>
    </xf>
    <xf numFmtId="0" fontId="11" fillId="0" borderId="0" xfId="0" applyFont="1"/>
    <xf numFmtId="0" fontId="11" fillId="0" borderId="0" xfId="0" applyFont="1" applyAlignment="1">
      <alignment horizontal="center" vertical="top"/>
    </xf>
    <xf numFmtId="0" fontId="11" fillId="0" borderId="0" xfId="0" applyFont="1" applyAlignment="1">
      <alignment vertical="top" wrapText="1"/>
    </xf>
    <xf numFmtId="0" fontId="27" fillId="0" borderId="0" xfId="0" applyFont="1" applyAlignment="1">
      <alignment horizontal="center" vertical="top"/>
    </xf>
    <xf numFmtId="0" fontId="27" fillId="0" borderId="0" xfId="0" applyFont="1" applyAlignment="1">
      <alignment vertical="top" wrapText="1"/>
    </xf>
    <xf numFmtId="0" fontId="27" fillId="0" borderId="0" xfId="0" applyFont="1" applyAlignment="1">
      <alignment wrapText="1"/>
    </xf>
    <xf numFmtId="0" fontId="11" fillId="0" borderId="0" xfId="0" applyFont="1" applyAlignment="1">
      <alignment wrapText="1"/>
    </xf>
    <xf numFmtId="0" fontId="28" fillId="0" borderId="0" xfId="13" applyFont="1" applyAlignment="1" applyProtection="1">
      <alignment wrapText="1"/>
    </xf>
    <xf numFmtId="0" fontId="29" fillId="0" borderId="0" xfId="0" applyFont="1" applyAlignment="1">
      <alignment horizontal="left"/>
    </xf>
    <xf numFmtId="0" fontId="11" fillId="0" borderId="0" xfId="0" applyFont="1" applyAlignment="1">
      <alignment vertical="top"/>
    </xf>
    <xf numFmtId="0" fontId="29" fillId="0" borderId="0" xfId="0" applyFont="1" applyAlignment="1">
      <alignment horizontal="center" vertical="top"/>
    </xf>
    <xf numFmtId="0" fontId="29" fillId="0" borderId="0" xfId="0" applyFont="1"/>
    <xf numFmtId="0" fontId="11" fillId="0" borderId="0" xfId="0" applyFont="1" applyAlignment="1">
      <alignment horizontal="left" vertical="top" wrapText="1"/>
    </xf>
    <xf numFmtId="4" fontId="9" fillId="0" borderId="6" xfId="20" applyNumberFormat="1" applyFont="1" applyBorder="1" applyAlignment="1">
      <alignment horizontal="right"/>
    </xf>
    <xf numFmtId="4" fontId="13" fillId="0" borderId="37" xfId="20" applyNumberFormat="1" applyFont="1" applyBorder="1" applyAlignment="1">
      <alignment horizontal="left" indent="2"/>
    </xf>
    <xf numFmtId="4" fontId="9" fillId="0" borderId="5" xfId="20" applyNumberFormat="1" applyFont="1" applyBorder="1" applyAlignment="1">
      <alignment horizontal="right"/>
    </xf>
    <xf numFmtId="4" fontId="13" fillId="0" borderId="38" xfId="20" applyNumberFormat="1" applyFont="1" applyBorder="1" applyAlignment="1">
      <alignment horizontal="left" indent="2"/>
    </xf>
    <xf numFmtId="4" fontId="13" fillId="0" borderId="39" xfId="20" applyNumberFormat="1" applyFont="1" applyBorder="1" applyAlignment="1">
      <alignment horizontal="left" indent="2"/>
    </xf>
    <xf numFmtId="4" fontId="23" fillId="0" borderId="6" xfId="20" applyNumberFormat="1" applyFont="1" applyBorder="1" applyAlignment="1">
      <alignment horizontal="right"/>
    </xf>
    <xf numFmtId="4" fontId="23" fillId="0" borderId="5" xfId="20" applyNumberFormat="1" applyFont="1" applyBorder="1" applyAlignment="1">
      <alignment horizontal="right"/>
    </xf>
    <xf numFmtId="4" fontId="9" fillId="0" borderId="5" xfId="20" applyNumberFormat="1" applyFont="1" applyBorder="1"/>
    <xf numFmtId="0" fontId="3" fillId="0" borderId="38" xfId="20" applyBorder="1"/>
    <xf numFmtId="4" fontId="9" fillId="0" borderId="22" xfId="20" applyNumberFormat="1" applyFont="1" applyBorder="1"/>
    <xf numFmtId="0" fontId="3" fillId="0" borderId="39" xfId="20" applyBorder="1"/>
    <xf numFmtId="4" fontId="13" fillId="0" borderId="40" xfId="20" applyNumberFormat="1" applyFont="1" applyBorder="1" applyAlignment="1">
      <alignment horizontal="left" indent="2"/>
    </xf>
    <xf numFmtId="4" fontId="9" fillId="4" borderId="0" xfId="20" applyNumberFormat="1" applyFont="1" applyFill="1" applyProtection="1">
      <protection locked="0"/>
    </xf>
    <xf numFmtId="0" fontId="22" fillId="0" borderId="41" xfId="20" applyFont="1" applyBorder="1" applyAlignment="1">
      <alignment wrapText="1"/>
    </xf>
    <xf numFmtId="4" fontId="13" fillId="0" borderId="42" xfId="20" applyNumberFormat="1" applyFont="1" applyBorder="1" applyAlignment="1">
      <alignment horizontal="left" indent="2"/>
    </xf>
    <xf numFmtId="0" fontId="9" fillId="5" borderId="0" xfId="20" applyFont="1" applyFill="1"/>
    <xf numFmtId="0" fontId="22" fillId="0" borderId="0" xfId="20" applyFont="1" applyProtection="1">
      <protection locked="0"/>
    </xf>
    <xf numFmtId="4" fontId="23" fillId="0" borderId="0" xfId="20" applyNumberFormat="1" applyFont="1" applyProtection="1">
      <protection locked="0"/>
    </xf>
    <xf numFmtId="3" fontId="3" fillId="4" borderId="4" xfId="9" applyNumberFormat="1" applyFont="1" applyFill="1" applyBorder="1" applyAlignment="1" applyProtection="1">
      <alignment horizontal="center"/>
      <protection locked="0"/>
    </xf>
    <xf numFmtId="4" fontId="3" fillId="4" borderId="0" xfId="20" applyNumberFormat="1" applyFill="1" applyProtection="1">
      <protection locked="0"/>
    </xf>
    <xf numFmtId="4" fontId="13" fillId="0" borderId="43" xfId="20" applyNumberFormat="1" applyFont="1" applyBorder="1" applyAlignment="1">
      <alignment horizontal="left" indent="2"/>
    </xf>
    <xf numFmtId="0" fontId="3" fillId="0" borderId="44" xfId="20" applyBorder="1" applyAlignment="1">
      <alignment horizontal="center"/>
    </xf>
    <xf numFmtId="0" fontId="9" fillId="0" borderId="45" xfId="20" applyFont="1" applyBorder="1" applyAlignment="1">
      <alignment horizontal="left"/>
    </xf>
    <xf numFmtId="0" fontId="3" fillId="0" borderId="45" xfId="20" applyBorder="1"/>
    <xf numFmtId="0" fontId="22" fillId="0" borderId="3" xfId="20" applyFont="1" applyBorder="1" applyAlignment="1">
      <alignment wrapText="1"/>
    </xf>
    <xf numFmtId="0" fontId="22" fillId="0" borderId="17" xfId="20" applyFont="1" applyBorder="1" applyProtection="1">
      <protection locked="0"/>
    </xf>
    <xf numFmtId="4" fontId="23" fillId="0" borderId="5" xfId="20" applyNumberFormat="1" applyFont="1" applyBorder="1" applyProtection="1">
      <protection locked="0"/>
    </xf>
    <xf numFmtId="0" fontId="22" fillId="0" borderId="38" xfId="20" applyFont="1" applyBorder="1" applyProtection="1">
      <protection locked="0"/>
    </xf>
    <xf numFmtId="4" fontId="23" fillId="5" borderId="5" xfId="20" applyNumberFormat="1" applyFont="1" applyFill="1" applyBorder="1"/>
    <xf numFmtId="4" fontId="23" fillId="0" borderId="35" xfId="20" applyNumberFormat="1" applyFont="1" applyBorder="1"/>
    <xf numFmtId="4" fontId="23" fillId="5" borderId="38" xfId="20" applyNumberFormat="1" applyFont="1" applyFill="1" applyBorder="1"/>
    <xf numFmtId="4" fontId="23" fillId="0" borderId="46" xfId="20" applyNumberFormat="1" applyFont="1" applyBorder="1"/>
    <xf numFmtId="0" fontId="30" fillId="5" borderId="0" xfId="20" applyFont="1" applyFill="1"/>
    <xf numFmtId="0" fontId="31" fillId="5" borderId="0" xfId="20" applyFont="1" applyFill="1"/>
    <xf numFmtId="4" fontId="13" fillId="0" borderId="17" xfId="20" applyNumberFormat="1" applyFont="1" applyBorder="1" applyAlignment="1">
      <alignment horizontal="left" indent="2"/>
    </xf>
    <xf numFmtId="4" fontId="23" fillId="0" borderId="42" xfId="20" applyNumberFormat="1" applyFont="1" applyBorder="1"/>
    <xf numFmtId="0" fontId="3" fillId="0" borderId="47" xfId="0" applyFont="1" applyBorder="1" applyAlignment="1">
      <alignment wrapText="1"/>
    </xf>
    <xf numFmtId="0" fontId="3" fillId="0" borderId="47" xfId="20" applyBorder="1"/>
    <xf numFmtId="0" fontId="3" fillId="4" borderId="47" xfId="20" applyFill="1" applyBorder="1" applyAlignment="1" applyProtection="1">
      <alignment wrapText="1"/>
      <protection locked="0"/>
    </xf>
    <xf numFmtId="0" fontId="3" fillId="0" borderId="0" xfId="0" applyFont="1" applyAlignment="1">
      <alignment wrapText="1"/>
    </xf>
    <xf numFmtId="172" fontId="10" fillId="4" borderId="48" xfId="20" applyNumberFormat="1" applyFont="1" applyFill="1" applyBorder="1" applyAlignment="1" applyProtection="1">
      <alignment horizontal="center"/>
      <protection locked="0"/>
    </xf>
    <xf numFmtId="2" fontId="10" fillId="4" borderId="32" xfId="20" applyNumberFormat="1" applyFont="1" applyFill="1" applyBorder="1" applyAlignment="1" applyProtection="1">
      <alignment horizontal="center" wrapText="1"/>
      <protection locked="0"/>
    </xf>
    <xf numFmtId="2" fontId="10" fillId="4" borderId="10" xfId="20" applyNumberFormat="1" applyFont="1" applyFill="1" applyBorder="1" applyAlignment="1" applyProtection="1">
      <alignment horizontal="center" wrapText="1"/>
      <protection locked="0"/>
    </xf>
    <xf numFmtId="172" fontId="10" fillId="5" borderId="10" xfId="20" applyNumberFormat="1" applyFont="1" applyFill="1" applyBorder="1" applyAlignment="1">
      <alignment horizontal="center"/>
    </xf>
    <xf numFmtId="172" fontId="10" fillId="5" borderId="33" xfId="20" applyNumberFormat="1" applyFont="1" applyFill="1" applyBorder="1" applyAlignment="1">
      <alignment horizontal="center"/>
    </xf>
    <xf numFmtId="172" fontId="10" fillId="4" borderId="33" xfId="20" applyNumberFormat="1" applyFont="1" applyFill="1" applyBorder="1" applyAlignment="1" applyProtection="1">
      <alignment horizontal="center"/>
      <protection locked="0"/>
    </xf>
    <xf numFmtId="4" fontId="9" fillId="0" borderId="49" xfId="20" applyNumberFormat="1" applyFont="1" applyBorder="1"/>
    <xf numFmtId="0" fontId="3" fillId="0" borderId="50" xfId="20" applyBorder="1" applyAlignment="1">
      <alignment horizontal="center"/>
    </xf>
    <xf numFmtId="0" fontId="13" fillId="0" borderId="50" xfId="20" applyFont="1" applyBorder="1"/>
    <xf numFmtId="4" fontId="10" fillId="0" borderId="51" xfId="20" applyNumberFormat="1" applyFont="1" applyBorder="1" applyAlignment="1">
      <alignment horizontal="right"/>
    </xf>
    <xf numFmtId="4" fontId="13" fillId="0" borderId="50" xfId="20" applyNumberFormat="1" applyFont="1" applyBorder="1" applyAlignment="1">
      <alignment horizontal="left" indent="2"/>
    </xf>
    <xf numFmtId="0" fontId="3" fillId="0" borderId="3" xfId="20" applyBorder="1"/>
    <xf numFmtId="0" fontId="3" fillId="0" borderId="17" xfId="20" applyBorder="1"/>
    <xf numFmtId="0" fontId="3" fillId="0" borderId="52" xfId="20" applyBorder="1"/>
    <xf numFmtId="4" fontId="23" fillId="5" borderId="5" xfId="20" applyNumberFormat="1" applyFont="1" applyFill="1" applyBorder="1" applyAlignment="1">
      <alignment horizontal="right"/>
    </xf>
    <xf numFmtId="172" fontId="10" fillId="5" borderId="27" xfId="20" applyNumberFormat="1" applyFont="1" applyFill="1" applyBorder="1" applyAlignment="1">
      <alignment horizontal="center"/>
    </xf>
    <xf numFmtId="172" fontId="10" fillId="5" borderId="53" xfId="20" applyNumberFormat="1" applyFont="1" applyFill="1" applyBorder="1" applyAlignment="1">
      <alignment horizontal="center"/>
    </xf>
    <xf numFmtId="0" fontId="13" fillId="0" borderId="3" xfId="20" applyFont="1" applyBorder="1" applyAlignment="1">
      <alignment wrapText="1"/>
    </xf>
    <xf numFmtId="0" fontId="13" fillId="0" borderId="3" xfId="20" applyFont="1" applyBorder="1" applyAlignment="1">
      <alignment horizontal="left"/>
    </xf>
    <xf numFmtId="0" fontId="3" fillId="0" borderId="3" xfId="20" applyBorder="1" applyAlignment="1">
      <alignment horizontal="left" wrapText="1"/>
    </xf>
    <xf numFmtId="0" fontId="3" fillId="0" borderId="41" xfId="20" applyBorder="1" applyAlignment="1">
      <alignment horizontal="left" wrapText="1"/>
    </xf>
    <xf numFmtId="0" fontId="3" fillId="0" borderId="42" xfId="20" applyBorder="1" applyAlignment="1">
      <alignment horizontal="left" wrapText="1"/>
    </xf>
    <xf numFmtId="0" fontId="3" fillId="0" borderId="38" xfId="20" applyBorder="1" applyAlignment="1">
      <alignment horizontal="left" wrapText="1"/>
    </xf>
    <xf numFmtId="0" fontId="3" fillId="0" borderId="39" xfId="20" applyBorder="1" applyAlignment="1">
      <alignment horizontal="left" wrapText="1"/>
    </xf>
    <xf numFmtId="0" fontId="3" fillId="0" borderId="28" xfId="20" applyBorder="1" applyAlignment="1">
      <alignment horizontal="left" wrapText="1"/>
    </xf>
    <xf numFmtId="0" fontId="3" fillId="0" borderId="37" xfId="20" applyBorder="1" applyAlignment="1">
      <alignment horizontal="left" wrapText="1"/>
    </xf>
    <xf numFmtId="0" fontId="3" fillId="0" borderId="41" xfId="20" applyBorder="1" applyAlignment="1">
      <alignment horizontal="left"/>
    </xf>
    <xf numFmtId="0" fontId="3" fillId="0" borderId="47" xfId="20" applyBorder="1" applyAlignment="1">
      <alignment horizontal="left"/>
    </xf>
    <xf numFmtId="0" fontId="22" fillId="0" borderId="42" xfId="20" applyFont="1" applyBorder="1" applyAlignment="1">
      <alignment horizontal="left"/>
    </xf>
    <xf numFmtId="0" fontId="22" fillId="0" borderId="43" xfId="20" applyFont="1" applyBorder="1" applyAlignment="1">
      <alignment horizontal="left" wrapText="1"/>
    </xf>
    <xf numFmtId="0" fontId="22" fillId="0" borderId="39" xfId="20" applyFont="1" applyBorder="1" applyAlignment="1">
      <alignment horizontal="left" wrapText="1"/>
    </xf>
    <xf numFmtId="0" fontId="22" fillId="0" borderId="47" xfId="20" applyFont="1" applyBorder="1" applyAlignment="1">
      <alignment horizontal="left"/>
    </xf>
    <xf numFmtId="0" fontId="22" fillId="0" borderId="3" xfId="20" applyFont="1" applyBorder="1" applyAlignment="1">
      <alignment horizontal="left"/>
    </xf>
    <xf numFmtId="0" fontId="3" fillId="0" borderId="54" xfId="20" applyBorder="1"/>
    <xf numFmtId="0" fontId="3" fillId="0" borderId="16" xfId="20" applyBorder="1"/>
    <xf numFmtId="0" fontId="3" fillId="4" borderId="16" xfId="20" applyFill="1" applyBorder="1" applyProtection="1">
      <protection locked="0"/>
    </xf>
    <xf numFmtId="0" fontId="3" fillId="4" borderId="53" xfId="20" applyFill="1" applyBorder="1" applyProtection="1">
      <protection locked="0"/>
    </xf>
    <xf numFmtId="0" fontId="13" fillId="0" borderId="47" xfId="20" applyFont="1" applyBorder="1" applyAlignment="1">
      <alignment wrapText="1"/>
    </xf>
    <xf numFmtId="0" fontId="3" fillId="0" borderId="55" xfId="20" applyBorder="1"/>
    <xf numFmtId="0" fontId="22" fillId="0" borderId="3" xfId="20" applyFont="1" applyBorder="1"/>
    <xf numFmtId="0" fontId="22" fillId="0" borderId="17" xfId="20" applyFont="1" applyBorder="1"/>
    <xf numFmtId="0" fontId="22" fillId="0" borderId="36" xfId="20" applyFont="1" applyBorder="1"/>
    <xf numFmtId="0" fontId="22" fillId="0" borderId="17" xfId="20" applyFont="1" applyBorder="1" applyAlignment="1">
      <alignment wrapText="1"/>
    </xf>
    <xf numFmtId="0" fontId="9" fillId="0" borderId="17" xfId="20" applyFont="1" applyBorder="1" applyAlignment="1">
      <alignment horizontal="left"/>
    </xf>
    <xf numFmtId="0" fontId="9" fillId="0" borderId="55" xfId="20" applyFont="1" applyBorder="1" applyAlignment="1">
      <alignment horizontal="left"/>
    </xf>
    <xf numFmtId="178" fontId="10" fillId="4" borderId="48" xfId="20" applyNumberFormat="1" applyFont="1" applyFill="1" applyBorder="1" applyAlignment="1" applyProtection="1">
      <alignment horizontal="center" wrapText="1"/>
      <protection locked="0"/>
    </xf>
    <xf numFmtId="0" fontId="10" fillId="4" borderId="48" xfId="20" applyFont="1" applyFill="1" applyBorder="1" applyAlignment="1" applyProtection="1">
      <alignment horizontal="center"/>
      <protection locked="0"/>
    </xf>
    <xf numFmtId="175" fontId="10" fillId="0" borderId="48" xfId="20" applyNumberFormat="1" applyFont="1" applyBorder="1" applyAlignment="1">
      <alignment horizontal="center"/>
    </xf>
    <xf numFmtId="3" fontId="10" fillId="4" borderId="48" xfId="20" applyNumberFormat="1" applyFont="1" applyFill="1" applyBorder="1" applyAlignment="1" applyProtection="1">
      <alignment horizontal="center"/>
      <protection locked="0"/>
    </xf>
    <xf numFmtId="4" fontId="10" fillId="4" borderId="48" xfId="20" applyNumberFormat="1" applyFont="1" applyFill="1" applyBorder="1" applyAlignment="1" applyProtection="1">
      <alignment horizontal="center"/>
      <protection locked="0"/>
    </xf>
    <xf numFmtId="4" fontId="3" fillId="4" borderId="14" xfId="9" applyNumberFormat="1" applyFont="1" applyFill="1" applyBorder="1" applyAlignment="1" applyProtection="1">
      <protection locked="0"/>
    </xf>
    <xf numFmtId="4" fontId="3" fillId="4" borderId="27" xfId="9" applyNumberFormat="1" applyFont="1" applyFill="1" applyBorder="1" applyAlignment="1" applyProtection="1">
      <protection locked="0"/>
    </xf>
    <xf numFmtId="4" fontId="3" fillId="4" borderId="56" xfId="9" applyNumberFormat="1" applyFont="1" applyFill="1" applyBorder="1" applyAlignment="1" applyProtection="1">
      <protection locked="0"/>
    </xf>
    <xf numFmtId="4" fontId="3" fillId="4" borderId="19" xfId="9" applyNumberFormat="1" applyFont="1" applyFill="1" applyBorder="1" applyAlignment="1" applyProtection="1">
      <protection locked="0"/>
    </xf>
    <xf numFmtId="4" fontId="3" fillId="4" borderId="57" xfId="9" applyNumberFormat="1" applyFont="1" applyFill="1" applyBorder="1" applyAlignment="1" applyProtection="1">
      <protection locked="0"/>
    </xf>
    <xf numFmtId="4" fontId="3" fillId="4" borderId="48" xfId="9" applyNumberFormat="1" applyFont="1" applyFill="1" applyBorder="1" applyAlignment="1" applyProtection="1">
      <alignment horizontal="center"/>
      <protection locked="0"/>
    </xf>
    <xf numFmtId="4" fontId="3" fillId="4" borderId="48" xfId="9" applyNumberFormat="1" applyFont="1" applyFill="1" applyBorder="1" applyAlignment="1" applyProtection="1">
      <protection locked="0"/>
    </xf>
    <xf numFmtId="2" fontId="10" fillId="4" borderId="8" xfId="20" applyNumberFormat="1" applyFont="1" applyFill="1" applyBorder="1" applyAlignment="1" applyProtection="1">
      <alignment horizontal="center" wrapText="1"/>
      <protection locked="0"/>
    </xf>
    <xf numFmtId="2" fontId="10" fillId="4" borderId="27" xfId="20" applyNumberFormat="1" applyFont="1" applyFill="1" applyBorder="1" applyAlignment="1" applyProtection="1">
      <alignment horizontal="center" wrapText="1"/>
      <protection locked="0"/>
    </xf>
    <xf numFmtId="172" fontId="10" fillId="4" borderId="27" xfId="20" applyNumberFormat="1" applyFont="1" applyFill="1" applyBorder="1" applyAlignment="1" applyProtection="1">
      <alignment horizontal="center"/>
      <protection locked="0"/>
    </xf>
    <xf numFmtId="3" fontId="3" fillId="4" borderId="48" xfId="9" applyNumberFormat="1" applyFont="1" applyFill="1" applyBorder="1" applyAlignment="1" applyProtection="1">
      <alignment horizontal="center"/>
      <protection locked="0"/>
    </xf>
    <xf numFmtId="3" fontId="3" fillId="4" borderId="8" xfId="9" applyNumberFormat="1" applyFont="1" applyFill="1" applyBorder="1" applyAlignment="1" applyProtection="1">
      <alignment horizontal="center"/>
      <protection locked="0"/>
    </xf>
    <xf numFmtId="3" fontId="3" fillId="4" borderId="57" xfId="9" applyNumberFormat="1" applyFont="1" applyFill="1" applyBorder="1" applyAlignment="1" applyProtection="1">
      <alignment horizontal="center"/>
      <protection locked="0"/>
    </xf>
    <xf numFmtId="17" fontId="10" fillId="0" borderId="48" xfId="20" applyNumberFormat="1" applyFont="1" applyBorder="1" applyAlignment="1">
      <alignment horizontal="center" wrapText="1"/>
    </xf>
    <xf numFmtId="4" fontId="9" fillId="0" borderId="58" xfId="20" applyNumberFormat="1" applyFont="1" applyBorder="1" applyAlignment="1">
      <alignment horizontal="right"/>
    </xf>
    <xf numFmtId="4" fontId="9" fillId="0" borderId="18" xfId="20" applyNumberFormat="1" applyFont="1" applyBorder="1" applyAlignment="1">
      <alignment horizontal="right"/>
    </xf>
    <xf numFmtId="4" fontId="9" fillId="0" borderId="59" xfId="20" applyNumberFormat="1" applyFont="1" applyBorder="1" applyAlignment="1">
      <alignment horizontal="right"/>
    </xf>
    <xf numFmtId="4" fontId="9" fillId="0" borderId="1" xfId="20" applyNumberFormat="1" applyFont="1" applyBorder="1" applyAlignment="1">
      <alignment horizontal="right"/>
    </xf>
    <xf numFmtId="4" fontId="9" fillId="0" borderId="60" xfId="20" applyNumberFormat="1" applyFont="1" applyBorder="1" applyAlignment="1">
      <alignment horizontal="right"/>
    </xf>
    <xf numFmtId="4" fontId="10" fillId="0" borderId="61" xfId="20" applyNumberFormat="1" applyFont="1" applyBorder="1" applyAlignment="1">
      <alignment horizontal="right"/>
    </xf>
    <xf numFmtId="4" fontId="23" fillId="0" borderId="58" xfId="20" applyNumberFormat="1" applyFont="1" applyBorder="1" applyAlignment="1">
      <alignment horizontal="right"/>
    </xf>
    <xf numFmtId="4" fontId="23" fillId="0" borderId="18" xfId="20" applyNumberFormat="1" applyFont="1" applyBorder="1" applyAlignment="1">
      <alignment horizontal="right"/>
    </xf>
    <xf numFmtId="4" fontId="32" fillId="0" borderId="1" xfId="20" applyNumberFormat="1" applyFont="1" applyBorder="1" applyAlignment="1">
      <alignment horizontal="right"/>
    </xf>
    <xf numFmtId="4" fontId="23" fillId="0" borderId="18" xfId="20" applyNumberFormat="1" applyFont="1" applyBorder="1" applyProtection="1">
      <protection locked="0"/>
    </xf>
    <xf numFmtId="4" fontId="9" fillId="0" borderId="62" xfId="20" applyNumberFormat="1" applyFont="1" applyBorder="1"/>
    <xf numFmtId="4" fontId="9" fillId="0" borderId="18" xfId="20" applyNumberFormat="1" applyFont="1" applyBorder="1"/>
    <xf numFmtId="4" fontId="9" fillId="0" borderId="59" xfId="20" applyNumberFormat="1" applyFont="1" applyBorder="1"/>
    <xf numFmtId="0" fontId="3" fillId="0" borderId="34" xfId="20" applyBorder="1"/>
    <xf numFmtId="0" fontId="13" fillId="0" borderId="34" xfId="20" applyFont="1" applyBorder="1"/>
    <xf numFmtId="0" fontId="22" fillId="0" borderId="34" xfId="20" applyFont="1" applyBorder="1"/>
    <xf numFmtId="0" fontId="22" fillId="0" borderId="34" xfId="20" applyFont="1" applyBorder="1" applyProtection="1">
      <protection locked="0"/>
    </xf>
    <xf numFmtId="0" fontId="9" fillId="0" borderId="34" xfId="20" applyFont="1" applyBorder="1" applyAlignment="1">
      <alignment horizontal="left"/>
    </xf>
    <xf numFmtId="0" fontId="3" fillId="0" borderId="15" xfId="20" applyBorder="1"/>
    <xf numFmtId="4" fontId="9" fillId="4" borderId="8" xfId="20" applyNumberFormat="1" applyFont="1" applyFill="1" applyBorder="1" applyProtection="1">
      <protection locked="0"/>
    </xf>
    <xf numFmtId="4" fontId="9" fillId="4" borderId="32" xfId="20" applyNumberFormat="1" applyFont="1" applyFill="1" applyBorder="1" applyProtection="1">
      <protection locked="0"/>
    </xf>
    <xf numFmtId="4" fontId="9" fillId="4" borderId="27" xfId="20" applyNumberFormat="1" applyFont="1" applyFill="1" applyBorder="1" applyProtection="1">
      <protection locked="0"/>
    </xf>
    <xf numFmtId="4" fontId="9" fillId="4" borderId="10" xfId="20" applyNumberFormat="1" applyFont="1" applyFill="1" applyBorder="1" applyProtection="1">
      <protection locked="0"/>
    </xf>
    <xf numFmtId="4" fontId="30" fillId="5" borderId="0" xfId="0" applyNumberFormat="1" applyFont="1" applyFill="1"/>
    <xf numFmtId="4" fontId="9" fillId="5" borderId="10" xfId="20" applyNumberFormat="1" applyFont="1" applyFill="1" applyBorder="1"/>
    <xf numFmtId="4" fontId="9" fillId="4" borderId="57" xfId="20" applyNumberFormat="1" applyFont="1" applyFill="1" applyBorder="1" applyProtection="1">
      <protection locked="0"/>
    </xf>
    <xf numFmtId="4" fontId="9" fillId="4" borderId="33" xfId="20" applyNumberFormat="1" applyFont="1" applyFill="1" applyBorder="1" applyProtection="1">
      <protection locked="0"/>
    </xf>
    <xf numFmtId="17" fontId="35" fillId="0" borderId="4" xfId="20" applyNumberFormat="1" applyFont="1" applyBorder="1" applyAlignment="1">
      <alignment horizontal="center" wrapText="1"/>
    </xf>
    <xf numFmtId="4" fontId="22" fillId="4" borderId="10" xfId="20" applyNumberFormat="1" applyFont="1" applyFill="1" applyBorder="1" applyProtection="1">
      <protection locked="0"/>
    </xf>
    <xf numFmtId="4" fontId="22" fillId="4" borderId="10" xfId="20" applyNumberFormat="1" applyFont="1" applyFill="1" applyBorder="1" applyAlignment="1" applyProtection="1">
      <alignment wrapText="1"/>
      <protection locked="0"/>
    </xf>
    <xf numFmtId="178" fontId="36" fillId="4" borderId="4" xfId="20" applyNumberFormat="1" applyFont="1" applyFill="1" applyBorder="1" applyAlignment="1" applyProtection="1">
      <alignment horizontal="center" wrapText="1"/>
      <protection locked="0"/>
    </xf>
    <xf numFmtId="177" fontId="36" fillId="4" borderId="4" xfId="20" applyNumberFormat="1" applyFont="1" applyFill="1" applyBorder="1" applyAlignment="1" applyProtection="1">
      <alignment horizontal="center" wrapText="1"/>
      <protection locked="0"/>
    </xf>
    <xf numFmtId="0" fontId="36" fillId="4" borderId="4" xfId="20" applyFont="1" applyFill="1" applyBorder="1" applyAlignment="1" applyProtection="1">
      <alignment horizontal="center"/>
      <protection locked="0"/>
    </xf>
    <xf numFmtId="172" fontId="36" fillId="4" borderId="4" xfId="20" applyNumberFormat="1" applyFont="1" applyFill="1" applyBorder="1" applyAlignment="1" applyProtection="1">
      <alignment horizontal="center"/>
      <protection locked="0"/>
    </xf>
    <xf numFmtId="4" fontId="36" fillId="4" borderId="4" xfId="20" applyNumberFormat="1" applyFont="1" applyFill="1" applyBorder="1" applyAlignment="1" applyProtection="1">
      <alignment horizontal="center"/>
      <protection locked="0"/>
    </xf>
    <xf numFmtId="4" fontId="37" fillId="4" borderId="9" xfId="9" applyNumberFormat="1" applyFont="1" applyFill="1" applyBorder="1" applyAlignment="1" applyProtection="1">
      <protection locked="0"/>
    </xf>
    <xf numFmtId="4" fontId="37" fillId="4" borderId="10" xfId="9" applyNumberFormat="1" applyFont="1" applyFill="1" applyBorder="1" applyAlignment="1" applyProtection="1">
      <protection locked="0"/>
    </xf>
    <xf numFmtId="4" fontId="37" fillId="4" borderId="11" xfId="9" applyNumberFormat="1" applyFont="1" applyFill="1" applyBorder="1" applyAlignment="1" applyProtection="1">
      <protection locked="0"/>
    </xf>
    <xf numFmtId="4" fontId="37" fillId="4" borderId="34" xfId="9" applyNumberFormat="1" applyFont="1" applyFill="1" applyBorder="1" applyAlignment="1" applyProtection="1">
      <protection locked="0"/>
    </xf>
    <xf numFmtId="4" fontId="37" fillId="4" borderId="33" xfId="9" applyNumberFormat="1" applyFont="1" applyFill="1" applyBorder="1" applyAlignment="1" applyProtection="1">
      <protection locked="0"/>
    </xf>
    <xf numFmtId="4" fontId="37" fillId="4" borderId="4" xfId="9" applyNumberFormat="1" applyFont="1" applyFill="1" applyBorder="1" applyAlignment="1" applyProtection="1">
      <alignment horizontal="center"/>
      <protection locked="0"/>
    </xf>
    <xf numFmtId="4" fontId="37" fillId="4" borderId="4" xfId="9" applyNumberFormat="1" applyFont="1" applyFill="1" applyBorder="1" applyAlignment="1" applyProtection="1">
      <protection locked="0"/>
    </xf>
    <xf numFmtId="172" fontId="36" fillId="4" borderId="10" xfId="20" applyNumberFormat="1" applyFont="1" applyFill="1" applyBorder="1" applyAlignment="1" applyProtection="1">
      <alignment horizontal="center"/>
      <protection locked="0"/>
    </xf>
    <xf numFmtId="172" fontId="36" fillId="4" borderId="33" xfId="20" applyNumberFormat="1" applyFont="1" applyFill="1" applyBorder="1" applyAlignment="1" applyProtection="1">
      <alignment horizontal="center"/>
      <protection locked="0"/>
    </xf>
    <xf numFmtId="3" fontId="37" fillId="4" borderId="32" xfId="9" applyNumberFormat="1" applyFont="1" applyFill="1" applyBorder="1" applyAlignment="1" applyProtection="1">
      <alignment horizontal="center"/>
      <protection locked="0"/>
    </xf>
    <xf numFmtId="3" fontId="37" fillId="4" borderId="33" xfId="9" applyNumberFormat="1" applyFont="1" applyFill="1" applyBorder="1" applyAlignment="1" applyProtection="1">
      <alignment horizontal="center"/>
      <protection locked="0"/>
    </xf>
    <xf numFmtId="4" fontId="38" fillId="4" borderId="10" xfId="20" applyNumberFormat="1" applyFont="1" applyFill="1" applyBorder="1" applyProtection="1">
      <protection locked="0"/>
    </xf>
    <xf numFmtId="0" fontId="39" fillId="4" borderId="0" xfId="20" applyFont="1" applyFill="1" applyProtection="1">
      <protection locked="0"/>
    </xf>
    <xf numFmtId="175" fontId="10" fillId="4" borderId="4" xfId="20" applyNumberFormat="1" applyFont="1" applyFill="1" applyBorder="1" applyAlignment="1" applyProtection="1">
      <alignment horizontal="center"/>
      <protection locked="0"/>
    </xf>
    <xf numFmtId="17" fontId="10" fillId="6" borderId="4" xfId="20" applyNumberFormat="1" applyFont="1" applyFill="1" applyBorder="1" applyAlignment="1">
      <alignment horizontal="center" wrapText="1"/>
    </xf>
    <xf numFmtId="0" fontId="41" fillId="0" borderId="0" xfId="0" applyFont="1" applyAlignment="1">
      <alignment wrapText="1"/>
    </xf>
    <xf numFmtId="14" fontId="0" fillId="0" borderId="0" xfId="0" applyNumberFormat="1" applyAlignment="1">
      <alignment horizontal="left" wrapText="1"/>
    </xf>
    <xf numFmtId="0" fontId="3" fillId="0" borderId="0" xfId="20" applyAlignment="1">
      <alignment horizontal="left"/>
    </xf>
    <xf numFmtId="3" fontId="42" fillId="4" borderId="48" xfId="9" applyNumberFormat="1" applyFont="1" applyFill="1" applyBorder="1" applyAlignment="1" applyProtection="1">
      <alignment horizontal="center"/>
      <protection locked="0"/>
    </xf>
    <xf numFmtId="0" fontId="11" fillId="8" borderId="12" xfId="0" applyFont="1" applyFill="1" applyBorder="1"/>
    <xf numFmtId="0" fontId="43" fillId="8" borderId="14" xfId="0" applyFont="1" applyFill="1" applyBorder="1" applyAlignment="1">
      <alignment horizontal="center" wrapText="1"/>
    </xf>
    <xf numFmtId="0" fontId="11" fillId="0" borderId="15" xfId="0" applyFont="1" applyBorder="1"/>
    <xf numFmtId="0" fontId="43" fillId="0" borderId="19" xfId="0" applyFont="1" applyBorder="1" applyAlignment="1">
      <alignment horizontal="center"/>
    </xf>
    <xf numFmtId="0" fontId="11" fillId="8" borderId="15" xfId="0" applyFont="1" applyFill="1" applyBorder="1"/>
    <xf numFmtId="179" fontId="43" fillId="8" borderId="19" xfId="0" applyNumberFormat="1" applyFont="1" applyFill="1" applyBorder="1" applyAlignment="1">
      <alignment horizontal="center"/>
    </xf>
    <xf numFmtId="178" fontId="43" fillId="0" borderId="19" xfId="20" applyNumberFormat="1" applyFont="1" applyBorder="1" applyAlignment="1" applyProtection="1">
      <alignment horizontal="center" wrapText="1"/>
      <protection locked="0"/>
    </xf>
    <xf numFmtId="0" fontId="0" fillId="0" borderId="0" xfId="0" applyAlignment="1">
      <alignment horizontal="center"/>
    </xf>
    <xf numFmtId="0" fontId="11" fillId="9" borderId="15" xfId="0" applyFont="1" applyFill="1" applyBorder="1"/>
    <xf numFmtId="4" fontId="44" fillId="9" borderId="19" xfId="0" applyNumberFormat="1" applyFont="1" applyFill="1" applyBorder="1" applyAlignment="1">
      <alignment horizontal="right"/>
    </xf>
    <xf numFmtId="0" fontId="11" fillId="11" borderId="15" xfId="0" applyFont="1" applyFill="1" applyBorder="1"/>
    <xf numFmtId="4" fontId="44" fillId="11" borderId="19" xfId="0" applyNumberFormat="1" applyFont="1" applyFill="1" applyBorder="1" applyAlignment="1">
      <alignment horizontal="right"/>
    </xf>
    <xf numFmtId="0" fontId="11" fillId="12" borderId="15" xfId="0" applyFont="1" applyFill="1" applyBorder="1"/>
    <xf numFmtId="4" fontId="44" fillId="12" borderId="19" xfId="0" applyNumberFormat="1" applyFont="1" applyFill="1" applyBorder="1" applyAlignment="1">
      <alignment horizontal="right"/>
    </xf>
    <xf numFmtId="0" fontId="11" fillId="13" borderId="15" xfId="0" applyFont="1" applyFill="1" applyBorder="1"/>
    <xf numFmtId="4" fontId="44" fillId="13" borderId="19" xfId="0" applyNumberFormat="1" applyFont="1" applyFill="1" applyBorder="1" applyAlignment="1">
      <alignment horizontal="right"/>
    </xf>
    <xf numFmtId="0" fontId="11" fillId="14" borderId="15" xfId="0" applyFont="1" applyFill="1" applyBorder="1"/>
    <xf numFmtId="4" fontId="44" fillId="14" borderId="19" xfId="0" applyNumberFormat="1" applyFont="1" applyFill="1" applyBorder="1" applyAlignment="1">
      <alignment horizontal="right"/>
    </xf>
    <xf numFmtId="3" fontId="40" fillId="13" borderId="19" xfId="0" applyNumberFormat="1" applyFont="1" applyFill="1" applyBorder="1" applyAlignment="1">
      <alignment horizontal="left"/>
    </xf>
    <xf numFmtId="0" fontId="11" fillId="15" borderId="15" xfId="0" applyFont="1" applyFill="1" applyBorder="1"/>
    <xf numFmtId="4" fontId="44" fillId="15" borderId="19" xfId="0" applyNumberFormat="1" applyFont="1" applyFill="1" applyBorder="1" applyAlignment="1">
      <alignment horizontal="right"/>
    </xf>
    <xf numFmtId="0" fontId="40" fillId="14" borderId="15" xfId="0" applyFont="1" applyFill="1" applyBorder="1"/>
    <xf numFmtId="0" fontId="40" fillId="13" borderId="15" xfId="0" applyFont="1" applyFill="1" applyBorder="1"/>
    <xf numFmtId="0" fontId="20" fillId="0" borderId="12" xfId="19" applyFont="1" applyBorder="1" applyAlignment="1">
      <alignment horizontal="centerContinuous"/>
    </xf>
    <xf numFmtId="0" fontId="20" fillId="0" borderId="13" xfId="19" applyFont="1" applyBorder="1" applyAlignment="1">
      <alignment horizontal="centerContinuous"/>
    </xf>
    <xf numFmtId="0" fontId="20" fillId="0" borderId="14" xfId="19" applyFont="1" applyBorder="1" applyAlignment="1">
      <alignment horizontal="centerContinuous"/>
    </xf>
    <xf numFmtId="0" fontId="5" fillId="0" borderId="0" xfId="19" applyFont="1"/>
    <xf numFmtId="0" fontId="5" fillId="0" borderId="15" xfId="19" applyFont="1" applyBorder="1" applyAlignment="1">
      <alignment horizontal="center"/>
    </xf>
    <xf numFmtId="0" fontId="5" fillId="0" borderId="16" xfId="19" applyFont="1" applyBorder="1" applyAlignment="1">
      <alignment horizontal="left"/>
    </xf>
    <xf numFmtId="0" fontId="5" fillId="0" borderId="17" xfId="19" applyFont="1" applyBorder="1" applyAlignment="1">
      <alignment horizontal="left"/>
    </xf>
    <xf numFmtId="0" fontId="3" fillId="0" borderId="17" xfId="19" applyFont="1" applyBorder="1" applyAlignment="1">
      <alignment horizontal="left"/>
    </xf>
    <xf numFmtId="0" fontId="5" fillId="0" borderId="18" xfId="19" applyFont="1" applyBorder="1" applyAlignment="1">
      <alignment horizontal="left"/>
    </xf>
    <xf numFmtId="0" fontId="5" fillId="0" borderId="19" xfId="19" applyFont="1" applyBorder="1" applyAlignment="1">
      <alignment horizontal="center"/>
    </xf>
    <xf numFmtId="0" fontId="5" fillId="0" borderId="20" xfId="19" applyFont="1" applyBorder="1" applyAlignment="1">
      <alignment horizontal="center"/>
    </xf>
    <xf numFmtId="3" fontId="20" fillId="0" borderId="21" xfId="14" applyFont="1" applyBorder="1" applyAlignment="1">
      <alignment horizontal="center"/>
    </xf>
    <xf numFmtId="3" fontId="20" fillId="0" borderId="22" xfId="14" applyFont="1" applyBorder="1" applyAlignment="1">
      <alignment horizontal="center"/>
    </xf>
    <xf numFmtId="0" fontId="5" fillId="0" borderId="23" xfId="19" applyFont="1" applyBorder="1" applyAlignment="1">
      <alignment horizontal="center"/>
    </xf>
    <xf numFmtId="0" fontId="5" fillId="0" borderId="24" xfId="19" applyFont="1" applyBorder="1" applyAlignment="1">
      <alignment horizontal="center"/>
    </xf>
    <xf numFmtId="3" fontId="5" fillId="0" borderId="24" xfId="14" applyFont="1" applyBorder="1" applyAlignment="1">
      <alignment horizontal="center"/>
    </xf>
    <xf numFmtId="3" fontId="5" fillId="0" borderId="5" xfId="14" applyFont="1" applyBorder="1" applyAlignment="1">
      <alignment horizontal="center"/>
    </xf>
    <xf numFmtId="4" fontId="7" fillId="0" borderId="25" xfId="14" applyNumberFormat="1" applyFont="1" applyBorder="1" applyAlignment="1">
      <alignment horizontal="center"/>
    </xf>
    <xf numFmtId="3" fontId="4" fillId="0" borderId="65" xfId="14" applyFont="1" applyBorder="1" applyAlignment="1">
      <alignment horizontal="center"/>
    </xf>
    <xf numFmtId="3" fontId="4" fillId="0" borderId="46" xfId="14" applyFont="1" applyBorder="1" applyAlignment="1">
      <alignment horizontal="center"/>
    </xf>
    <xf numFmtId="0" fontId="18" fillId="0" borderId="0" xfId="19" applyFont="1"/>
    <xf numFmtId="0" fontId="5" fillId="0" borderId="27" xfId="19" applyFont="1" applyBorder="1" applyAlignment="1">
      <alignment horizontal="left"/>
    </xf>
    <xf numFmtId="0" fontId="5" fillId="0" borderId="0" xfId="19" applyFont="1" applyAlignment="1">
      <alignment horizontal="center"/>
    </xf>
    <xf numFmtId="3" fontId="20" fillId="0" borderId="26" xfId="14" applyFont="1" applyBorder="1" applyAlignment="1">
      <alignment horizontal="center"/>
    </xf>
    <xf numFmtId="0" fontId="5" fillId="0" borderId="28" xfId="19" applyFont="1" applyBorder="1" applyAlignment="1">
      <alignment horizontal="center"/>
    </xf>
    <xf numFmtId="3" fontId="5" fillId="0" borderId="18" xfId="14" applyFont="1" applyBorder="1" applyAlignment="1">
      <alignment horizontal="center"/>
    </xf>
    <xf numFmtId="3" fontId="5" fillId="0" borderId="27" xfId="14" applyFont="1" applyBorder="1" applyAlignment="1">
      <alignment horizontal="center"/>
    </xf>
    <xf numFmtId="3" fontId="5" fillId="0" borderId="25" xfId="14" applyFont="1" applyBorder="1" applyAlignment="1">
      <alignment horizontal="center"/>
    </xf>
    <xf numFmtId="0" fontId="5" fillId="0" borderId="21" xfId="19" applyFont="1" applyBorder="1" applyAlignment="1">
      <alignment horizontal="center"/>
    </xf>
    <xf numFmtId="3" fontId="5" fillId="0" borderId="21" xfId="14" applyFont="1" applyBorder="1" applyAlignment="1">
      <alignment horizontal="center"/>
    </xf>
    <xf numFmtId="3" fontId="5" fillId="0" borderId="22" xfId="14" applyFont="1" applyBorder="1" applyAlignment="1">
      <alignment horizontal="center"/>
    </xf>
    <xf numFmtId="3" fontId="5" fillId="0" borderId="26" xfId="14" applyFont="1" applyBorder="1" applyAlignment="1">
      <alignment horizontal="center"/>
    </xf>
    <xf numFmtId="0" fontId="20" fillId="0" borderId="12" xfId="19" applyFont="1" applyBorder="1" applyAlignment="1">
      <alignment horizontal="center"/>
    </xf>
    <xf numFmtId="0" fontId="5" fillId="0" borderId="11" xfId="19" applyFont="1" applyBorder="1" applyAlignment="1">
      <alignment horizontal="center"/>
    </xf>
    <xf numFmtId="0" fontId="5" fillId="0" borderId="10" xfId="19" applyFont="1" applyBorder="1" applyAlignment="1">
      <alignment horizontal="center"/>
    </xf>
    <xf numFmtId="4" fontId="5" fillId="0" borderId="18" xfId="14" applyNumberFormat="1" applyFont="1" applyBorder="1" applyAlignment="1">
      <alignment horizontal="center"/>
    </xf>
    <xf numFmtId="4" fontId="5" fillId="0" borderId="27" xfId="14" applyNumberFormat="1" applyFont="1" applyBorder="1" applyAlignment="1">
      <alignment horizontal="center"/>
    </xf>
    <xf numFmtId="0" fontId="5" fillId="0" borderId="33" xfId="19" applyFont="1" applyBorder="1" applyAlignment="1">
      <alignment horizontal="center"/>
    </xf>
    <xf numFmtId="4" fontId="5" fillId="0" borderId="59" xfId="14" applyNumberFormat="1" applyFont="1" applyBorder="1" applyAlignment="1">
      <alignment horizontal="center"/>
    </xf>
    <xf numFmtId="4" fontId="5" fillId="0" borderId="57" xfId="14" applyNumberFormat="1" applyFont="1" applyBorder="1" applyAlignment="1">
      <alignment horizontal="center"/>
    </xf>
    <xf numFmtId="0" fontId="5" fillId="0" borderId="32" xfId="19" applyFont="1" applyBorder="1" applyAlignment="1">
      <alignment horizontal="center"/>
    </xf>
    <xf numFmtId="4" fontId="5" fillId="0" borderId="46" xfId="14" applyNumberFormat="1" applyFont="1" applyBorder="1" applyAlignment="1">
      <alignment horizontal="center"/>
    </xf>
    <xf numFmtId="4" fontId="5" fillId="0" borderId="8" xfId="14" applyNumberFormat="1" applyFont="1" applyBorder="1" applyAlignment="1">
      <alignment horizontal="center"/>
    </xf>
    <xf numFmtId="3" fontId="36" fillId="4" borderId="4" xfId="20" applyNumberFormat="1" applyFont="1" applyFill="1" applyBorder="1" applyAlignment="1" applyProtection="1">
      <alignment horizontal="center"/>
      <protection locked="0"/>
    </xf>
    <xf numFmtId="175" fontId="10" fillId="8" borderId="4" xfId="20" applyNumberFormat="1" applyFont="1" applyFill="1" applyBorder="1" applyAlignment="1" applyProtection="1">
      <alignment horizontal="center"/>
      <protection locked="0"/>
    </xf>
    <xf numFmtId="178" fontId="36" fillId="7" borderId="4" xfId="20" applyNumberFormat="1" applyFont="1" applyFill="1" applyBorder="1" applyAlignment="1" applyProtection="1">
      <alignment horizontal="center" wrapText="1"/>
      <protection locked="0"/>
    </xf>
    <xf numFmtId="172" fontId="36" fillId="7" borderId="4" xfId="20" applyNumberFormat="1" applyFont="1" applyFill="1" applyBorder="1" applyAlignment="1" applyProtection="1">
      <alignment horizontal="center"/>
      <protection locked="0"/>
    </xf>
    <xf numFmtId="4" fontId="36" fillId="7" borderId="4" xfId="20" applyNumberFormat="1" applyFont="1" applyFill="1" applyBorder="1" applyAlignment="1" applyProtection="1">
      <alignment horizontal="center"/>
      <protection locked="0"/>
    </xf>
    <xf numFmtId="4" fontId="37" fillId="7" borderId="9" xfId="9" applyNumberFormat="1" applyFont="1" applyFill="1" applyBorder="1" applyAlignment="1" applyProtection="1">
      <protection locked="0"/>
    </xf>
    <xf numFmtId="3" fontId="37" fillId="7" borderId="32" xfId="9" applyNumberFormat="1" applyFont="1" applyFill="1" applyBorder="1" applyAlignment="1" applyProtection="1">
      <alignment horizontal="center"/>
      <protection locked="0"/>
    </xf>
    <xf numFmtId="3" fontId="37" fillId="7" borderId="33" xfId="9" applyNumberFormat="1" applyFont="1" applyFill="1" applyBorder="1" applyAlignment="1" applyProtection="1">
      <alignment horizontal="center"/>
      <protection locked="0"/>
    </xf>
    <xf numFmtId="0" fontId="11" fillId="0" borderId="0" xfId="0" applyFont="1" applyAlignment="1">
      <alignment horizontal="left"/>
    </xf>
    <xf numFmtId="0" fontId="11" fillId="0" borderId="0" xfId="0" applyFont="1" applyAlignment="1">
      <alignment horizontal="center"/>
    </xf>
    <xf numFmtId="4" fontId="17" fillId="0" borderId="0" xfId="0" applyNumberFormat="1" applyFont="1"/>
    <xf numFmtId="0" fontId="43" fillId="8" borderId="9" xfId="0" applyFont="1" applyFill="1" applyBorder="1" applyAlignment="1">
      <alignment horizontal="center" wrapText="1"/>
    </xf>
    <xf numFmtId="179" fontId="43" fillId="8" borderId="34" xfId="0" applyNumberFormat="1" applyFont="1" applyFill="1" applyBorder="1" applyAlignment="1">
      <alignment horizontal="center"/>
    </xf>
    <xf numFmtId="178" fontId="43" fillId="0" borderId="34" xfId="20" applyNumberFormat="1" applyFont="1" applyBorder="1" applyAlignment="1">
      <alignment horizontal="center" wrapText="1"/>
    </xf>
    <xf numFmtId="0" fontId="11" fillId="9" borderId="15" xfId="0" applyFont="1" applyFill="1" applyBorder="1" applyAlignment="1">
      <alignment horizontal="center"/>
    </xf>
    <xf numFmtId="0" fontId="11" fillId="10" borderId="15" xfId="0" applyFont="1" applyFill="1" applyBorder="1" applyAlignment="1">
      <alignment horizontal="center"/>
    </xf>
    <xf numFmtId="0" fontId="48" fillId="0" borderId="0" xfId="0" applyFont="1"/>
    <xf numFmtId="175" fontId="10" fillId="7" borderId="4" xfId="20" applyNumberFormat="1" applyFont="1" applyFill="1" applyBorder="1" applyAlignment="1">
      <alignment horizontal="center"/>
    </xf>
    <xf numFmtId="3" fontId="10" fillId="7" borderId="48" xfId="20" applyNumberFormat="1" applyFont="1" applyFill="1" applyBorder="1" applyAlignment="1" applyProtection="1">
      <alignment horizontal="center"/>
      <protection locked="0"/>
    </xf>
    <xf numFmtId="175" fontId="10" fillId="7" borderId="4" xfId="20" applyNumberFormat="1" applyFont="1" applyFill="1" applyBorder="1" applyAlignment="1" applyProtection="1">
      <alignment horizontal="center"/>
      <protection locked="0"/>
    </xf>
    <xf numFmtId="0" fontId="49" fillId="0" borderId="0" xfId="20" applyFont="1" applyProtection="1">
      <protection locked="0"/>
    </xf>
    <xf numFmtId="0" fontId="5" fillId="0" borderId="0" xfId="20" applyFont="1" applyAlignment="1">
      <alignment horizontal="center" wrapText="1"/>
    </xf>
    <xf numFmtId="0" fontId="5" fillId="0" borderId="4" xfId="30" applyFont="1" applyBorder="1" applyAlignment="1">
      <alignment horizontal="center"/>
    </xf>
    <xf numFmtId="0" fontId="20" fillId="0" borderId="4" xfId="30" applyFont="1" applyBorder="1"/>
    <xf numFmtId="0" fontId="5" fillId="7" borderId="4" xfId="30" applyFont="1" applyFill="1" applyBorder="1" applyAlignment="1" applyProtection="1">
      <alignment horizontal="center" wrapText="1"/>
      <protection locked="0"/>
    </xf>
    <xf numFmtId="0" fontId="5" fillId="0" borderId="0" xfId="30" applyFont="1"/>
    <xf numFmtId="0" fontId="5" fillId="0" borderId="4" xfId="30" applyFont="1" applyBorder="1" applyAlignment="1">
      <alignment wrapText="1"/>
    </xf>
    <xf numFmtId="0" fontId="5" fillId="7" borderId="4" xfId="30" applyFont="1" applyFill="1" applyBorder="1" applyAlignment="1" applyProtection="1">
      <alignment horizontal="center"/>
      <protection locked="0"/>
    </xf>
    <xf numFmtId="0" fontId="5" fillId="0" borderId="4" xfId="30" applyFont="1" applyBorder="1"/>
    <xf numFmtId="4" fontId="52" fillId="0" borderId="4" xfId="30" applyNumberFormat="1" applyFont="1" applyBorder="1"/>
    <xf numFmtId="4" fontId="5" fillId="7" borderId="4" xfId="30" applyNumberFormat="1" applyFont="1" applyFill="1" applyBorder="1" applyProtection="1">
      <protection locked="0"/>
    </xf>
    <xf numFmtId="0" fontId="6" fillId="0" borderId="4" xfId="30" applyFont="1" applyBorder="1"/>
    <xf numFmtId="4" fontId="18" fillId="16" borderId="4" xfId="30" applyNumberFormat="1" applyFont="1" applyFill="1" applyBorder="1"/>
    <xf numFmtId="0" fontId="5" fillId="0" borderId="0" xfId="30" applyFont="1" applyAlignment="1">
      <alignment horizontal="center"/>
    </xf>
    <xf numFmtId="4" fontId="5" fillId="0" borderId="0" xfId="30" applyNumberFormat="1" applyFont="1"/>
    <xf numFmtId="0" fontId="3" fillId="0" borderId="66" xfId="20" applyBorder="1" applyAlignment="1">
      <alignment horizontal="left" wrapText="1"/>
    </xf>
    <xf numFmtId="4" fontId="37" fillId="4" borderId="32" xfId="9" applyNumberFormat="1" applyFont="1" applyFill="1" applyBorder="1" applyAlignment="1" applyProtection="1">
      <protection locked="0"/>
    </xf>
    <xf numFmtId="0" fontId="10" fillId="7" borderId="48" xfId="20" applyFont="1" applyFill="1" applyBorder="1" applyAlignment="1" applyProtection="1">
      <alignment horizontal="center"/>
      <protection locked="0"/>
    </xf>
    <xf numFmtId="172" fontId="10" fillId="7" borderId="48" xfId="20" applyNumberFormat="1" applyFont="1" applyFill="1" applyBorder="1" applyAlignment="1" applyProtection="1">
      <alignment horizontal="center"/>
      <protection locked="0"/>
    </xf>
    <xf numFmtId="172" fontId="10" fillId="7" borderId="33" xfId="20" applyNumberFormat="1" applyFont="1" applyFill="1" applyBorder="1" applyAlignment="1" applyProtection="1">
      <alignment horizontal="center"/>
      <protection locked="0"/>
    </xf>
    <xf numFmtId="4" fontId="10" fillId="7" borderId="48" xfId="20" applyNumberFormat="1" applyFont="1" applyFill="1" applyBorder="1" applyAlignment="1" applyProtection="1">
      <alignment horizontal="center"/>
      <protection locked="0"/>
    </xf>
    <xf numFmtId="4" fontId="23" fillId="7" borderId="5" xfId="20" applyNumberFormat="1" applyFont="1" applyFill="1" applyBorder="1" applyAlignment="1">
      <alignment horizontal="right"/>
    </xf>
    <xf numFmtId="180" fontId="36" fillId="7" borderId="4" xfId="20" applyNumberFormat="1" applyFont="1" applyFill="1" applyBorder="1" applyAlignment="1" applyProtection="1">
      <alignment horizontal="center" wrapText="1"/>
      <protection locked="0"/>
    </xf>
    <xf numFmtId="178" fontId="10" fillId="7" borderId="48" xfId="20" applyNumberFormat="1" applyFont="1" applyFill="1" applyBorder="1" applyAlignment="1" applyProtection="1">
      <alignment horizontal="center" wrapText="1"/>
      <protection locked="0"/>
    </xf>
    <xf numFmtId="0" fontId="10" fillId="7" borderId="4" xfId="20" applyFont="1" applyFill="1" applyBorder="1" applyAlignment="1" applyProtection="1">
      <alignment horizontal="center"/>
      <protection locked="0"/>
    </xf>
    <xf numFmtId="176" fontId="3" fillId="0" borderId="0" xfId="0" applyNumberFormat="1" applyFont="1" applyAlignment="1">
      <alignment horizontal="left"/>
    </xf>
    <xf numFmtId="0" fontId="15" fillId="0" borderId="0" xfId="0" applyFont="1"/>
    <xf numFmtId="172" fontId="5" fillId="7" borderId="4" xfId="30" applyNumberFormat="1" applyFont="1" applyFill="1" applyBorder="1" applyAlignment="1" applyProtection="1">
      <alignment horizontal="center"/>
      <protection locked="0"/>
    </xf>
    <xf numFmtId="0" fontId="53" fillId="0" borderId="0" xfId="30" applyFont="1"/>
    <xf numFmtId="0" fontId="54" fillId="0" borderId="0" xfId="30" applyFont="1" applyAlignment="1">
      <alignment wrapText="1"/>
    </xf>
    <xf numFmtId="0" fontId="53" fillId="0" borderId="0" xfId="30" applyFont="1" applyAlignment="1">
      <alignment wrapText="1"/>
    </xf>
    <xf numFmtId="0" fontId="5" fillId="0" borderId="0" xfId="30" applyFont="1" applyAlignment="1">
      <alignment wrapText="1"/>
    </xf>
    <xf numFmtId="0" fontId="3" fillId="17" borderId="34" xfId="20" applyFill="1" applyBorder="1"/>
    <xf numFmtId="0" fontId="13" fillId="17" borderId="34" xfId="20" applyFont="1" applyFill="1" applyBorder="1"/>
    <xf numFmtId="0" fontId="22" fillId="17" borderId="34" xfId="20" applyFont="1" applyFill="1" applyBorder="1"/>
    <xf numFmtId="0" fontId="3" fillId="17" borderId="15" xfId="20" applyFill="1" applyBorder="1"/>
    <xf numFmtId="0" fontId="22" fillId="17" borderId="34" xfId="20" applyFont="1" applyFill="1" applyBorder="1" applyProtection="1">
      <protection locked="0"/>
    </xf>
    <xf numFmtId="0" fontId="9" fillId="17" borderId="34" xfId="20" applyFont="1" applyFill="1" applyBorder="1" applyAlignment="1">
      <alignment horizontal="left"/>
    </xf>
    <xf numFmtId="0" fontId="13" fillId="18" borderId="24" xfId="20" applyFont="1" applyFill="1" applyBorder="1" applyAlignment="1">
      <alignment horizontal="center"/>
    </xf>
    <xf numFmtId="0" fontId="13" fillId="18" borderId="5" xfId="20" applyFont="1" applyFill="1" applyBorder="1" applyAlignment="1">
      <alignment horizontal="center"/>
    </xf>
    <xf numFmtId="0" fontId="13" fillId="18" borderId="25" xfId="20" applyFont="1" applyFill="1" applyBorder="1" applyAlignment="1">
      <alignment horizontal="center"/>
    </xf>
    <xf numFmtId="0" fontId="3" fillId="18" borderId="24" xfId="20" applyFill="1" applyBorder="1" applyAlignment="1">
      <alignment horizontal="center"/>
    </xf>
    <xf numFmtId="0" fontId="3" fillId="18" borderId="5" xfId="20" applyFill="1" applyBorder="1" applyAlignment="1">
      <alignment horizontal="center"/>
    </xf>
    <xf numFmtId="0" fontId="3" fillId="18" borderId="25" xfId="20" applyFill="1" applyBorder="1" applyAlignment="1">
      <alignment horizontal="center"/>
    </xf>
    <xf numFmtId="0" fontId="3" fillId="4" borderId="24" xfId="20" applyFill="1" applyBorder="1" applyAlignment="1" applyProtection="1">
      <alignment horizontal="center"/>
      <protection locked="0"/>
    </xf>
    <xf numFmtId="0" fontId="22" fillId="18" borderId="24" xfId="20" applyFont="1" applyFill="1" applyBorder="1" applyAlignment="1">
      <alignment horizontal="center" wrapText="1"/>
    </xf>
    <xf numFmtId="0" fontId="22" fillId="18" borderId="5" xfId="20" applyFont="1" applyFill="1" applyBorder="1" applyAlignment="1">
      <alignment horizontal="center" wrapText="1"/>
    </xf>
    <xf numFmtId="0" fontId="22" fillId="18" borderId="25" xfId="20" applyFont="1" applyFill="1" applyBorder="1" applyAlignment="1">
      <alignment horizontal="center" wrapText="1"/>
    </xf>
    <xf numFmtId="0" fontId="22" fillId="18" borderId="24" xfId="20" applyFont="1" applyFill="1" applyBorder="1" applyAlignment="1">
      <alignment horizontal="center"/>
    </xf>
    <xf numFmtId="0" fontId="22" fillId="18" borderId="5" xfId="20" applyFont="1" applyFill="1" applyBorder="1" applyAlignment="1">
      <alignment horizontal="center"/>
    </xf>
    <xf numFmtId="0" fontId="22" fillId="18" borderId="25" xfId="20" applyFont="1" applyFill="1" applyBorder="1" applyAlignment="1">
      <alignment horizontal="center"/>
    </xf>
    <xf numFmtId="0" fontId="3" fillId="0" borderId="37" xfId="20" applyBorder="1" applyAlignment="1">
      <alignment horizontal="center"/>
    </xf>
    <xf numFmtId="0" fontId="22" fillId="18" borderId="68" xfId="20" applyFont="1" applyFill="1" applyBorder="1" applyAlignment="1">
      <alignment horizontal="center" wrapText="1"/>
    </xf>
    <xf numFmtId="0" fontId="22" fillId="18" borderId="67" xfId="20" applyFont="1" applyFill="1" applyBorder="1" applyAlignment="1">
      <alignment horizontal="center" wrapText="1"/>
    </xf>
    <xf numFmtId="0" fontId="22" fillId="18" borderId="69" xfId="20" applyFont="1" applyFill="1" applyBorder="1" applyAlignment="1">
      <alignment horizontal="center" wrapText="1"/>
    </xf>
    <xf numFmtId="0" fontId="3" fillId="18" borderId="70" xfId="20" applyFill="1" applyBorder="1" applyAlignment="1">
      <alignment horizontal="center"/>
    </xf>
    <xf numFmtId="0" fontId="3" fillId="18" borderId="6" xfId="20" applyFill="1" applyBorder="1" applyAlignment="1">
      <alignment horizontal="center"/>
    </xf>
    <xf numFmtId="0" fontId="3" fillId="18" borderId="71" xfId="20" applyFill="1" applyBorder="1" applyAlignment="1">
      <alignment horizontal="center"/>
    </xf>
    <xf numFmtId="0" fontId="22" fillId="0" borderId="72" xfId="20" applyFont="1" applyBorder="1" applyAlignment="1">
      <alignment horizontal="center"/>
    </xf>
    <xf numFmtId="0" fontId="3" fillId="4" borderId="76" xfId="20" applyFill="1" applyBorder="1" applyAlignment="1" applyProtection="1">
      <alignment horizontal="center"/>
      <protection locked="0"/>
    </xf>
    <xf numFmtId="171" fontId="9" fillId="4" borderId="32" xfId="20" applyNumberFormat="1" applyFont="1" applyFill="1" applyBorder="1" applyProtection="1">
      <protection locked="0"/>
    </xf>
    <xf numFmtId="171" fontId="9" fillId="4" borderId="10" xfId="20" applyNumberFormat="1" applyFont="1" applyFill="1" applyBorder="1" applyProtection="1">
      <protection locked="0"/>
    </xf>
    <xf numFmtId="9" fontId="3" fillId="4" borderId="0" xfId="20" applyNumberFormat="1" applyFill="1" applyProtection="1">
      <protection locked="0"/>
    </xf>
    <xf numFmtId="10" fontId="3" fillId="4" borderId="0" xfId="20" applyNumberFormat="1" applyFill="1" applyProtection="1">
      <protection locked="0"/>
    </xf>
    <xf numFmtId="0" fontId="61" fillId="0" borderId="0" xfId="0" applyFont="1"/>
    <xf numFmtId="0" fontId="43" fillId="0" borderId="34" xfId="0" applyFont="1" applyBorder="1" applyAlignment="1">
      <alignment horizontal="center"/>
    </xf>
    <xf numFmtId="0" fontId="47" fillId="0" borderId="12" xfId="0" applyFont="1" applyBorder="1"/>
    <xf numFmtId="0" fontId="47" fillId="0" borderId="14" xfId="0" applyFont="1" applyBorder="1"/>
    <xf numFmtId="0" fontId="47" fillId="0" borderId="15" xfId="0" applyFont="1" applyBorder="1"/>
    <xf numFmtId="0" fontId="47" fillId="0" borderId="19" xfId="0" applyFont="1" applyBorder="1"/>
    <xf numFmtId="1" fontId="43" fillId="8" borderId="34" xfId="0" applyNumberFormat="1" applyFont="1" applyFill="1" applyBorder="1" applyAlignment="1">
      <alignment horizontal="center"/>
    </xf>
    <xf numFmtId="1" fontId="43" fillId="8" borderId="19" xfId="0" applyNumberFormat="1" applyFont="1" applyFill="1" applyBorder="1" applyAlignment="1">
      <alignment horizontal="center"/>
    </xf>
    <xf numFmtId="0" fontId="11" fillId="20" borderId="0" xfId="0" applyFont="1" applyFill="1" applyAlignment="1">
      <alignment horizontal="center"/>
    </xf>
    <xf numFmtId="0" fontId="62" fillId="0" borderId="34" xfId="0" applyFont="1" applyBorder="1" applyAlignment="1">
      <alignment horizontal="center"/>
    </xf>
    <xf numFmtId="0" fontId="62" fillId="0" borderId="19" xfId="0" applyFont="1" applyBorder="1" applyAlignment="1">
      <alignment horizontal="center"/>
    </xf>
    <xf numFmtId="0" fontId="47" fillId="0" borderId="63" xfId="0" applyFont="1" applyBorder="1"/>
    <xf numFmtId="0" fontId="47" fillId="0" borderId="56" xfId="0" applyFont="1" applyBorder="1"/>
    <xf numFmtId="0" fontId="11" fillId="19" borderId="0" xfId="0" applyFont="1" applyFill="1" applyAlignment="1">
      <alignment horizontal="center"/>
    </xf>
    <xf numFmtId="0" fontId="40" fillId="0" borderId="0" xfId="0" applyFont="1" applyAlignment="1">
      <alignment horizontal="center"/>
    </xf>
    <xf numFmtId="0" fontId="40" fillId="0" borderId="0" xfId="0" applyFont="1" applyAlignment="1">
      <alignment horizontal="left"/>
    </xf>
    <xf numFmtId="178" fontId="43" fillId="0" borderId="19" xfId="20" applyNumberFormat="1" applyFont="1" applyBorder="1" applyAlignment="1">
      <alignment horizontal="center" wrapText="1"/>
    </xf>
    <xf numFmtId="2" fontId="43" fillId="0" borderId="34" xfId="20" applyNumberFormat="1" applyFont="1" applyBorder="1" applyAlignment="1">
      <alignment horizontal="center" wrapText="1"/>
    </xf>
    <xf numFmtId="2" fontId="43" fillId="0" borderId="19" xfId="20" applyNumberFormat="1" applyFont="1" applyBorder="1" applyAlignment="1">
      <alignment horizontal="center" wrapText="1"/>
    </xf>
    <xf numFmtId="17" fontId="46" fillId="0" borderId="0" xfId="0" applyNumberFormat="1" applyFont="1"/>
    <xf numFmtId="0" fontId="44" fillId="0" borderId="19" xfId="0" applyFont="1" applyBorder="1"/>
    <xf numFmtId="0" fontId="11" fillId="0" borderId="47" xfId="0" applyFont="1" applyBorder="1"/>
    <xf numFmtId="4" fontId="11" fillId="0" borderId="0" xfId="0" applyNumberFormat="1" applyFont="1"/>
    <xf numFmtId="0" fontId="26" fillId="7" borderId="0" xfId="0" applyFont="1" applyFill="1" applyAlignment="1" applyProtection="1">
      <alignment horizontal="center"/>
      <protection locked="0"/>
    </xf>
    <xf numFmtId="0" fontId="20" fillId="0" borderId="0" xfId="19" applyFont="1"/>
    <xf numFmtId="0" fontId="58" fillId="0" borderId="0" xfId="20" applyFont="1"/>
    <xf numFmtId="0" fontId="3" fillId="0" borderId="0" xfId="20" applyAlignment="1">
      <alignment horizontal="right"/>
    </xf>
    <xf numFmtId="4" fontId="9" fillId="0" borderId="0" xfId="20" applyNumberFormat="1" applyFont="1"/>
    <xf numFmtId="0" fontId="58" fillId="0" borderId="0" xfId="20" applyFont="1" applyAlignment="1">
      <alignment horizontal="center"/>
    </xf>
    <xf numFmtId="0" fontId="63" fillId="0" borderId="0" xfId="20" applyFont="1"/>
    <xf numFmtId="181" fontId="63" fillId="0" borderId="0" xfId="57" applyNumberFormat="1" applyFont="1" applyProtection="1"/>
    <xf numFmtId="0" fontId="58" fillId="0" borderId="3" xfId="20" applyFont="1" applyBorder="1"/>
    <xf numFmtId="0" fontId="58" fillId="0" borderId="17" xfId="20" applyFont="1" applyBorder="1"/>
    <xf numFmtId="0" fontId="63" fillId="8" borderId="0" xfId="20" applyFont="1" applyFill="1"/>
    <xf numFmtId="0" fontId="58" fillId="0" borderId="52" xfId="20" applyFont="1" applyBorder="1"/>
    <xf numFmtId="0" fontId="58" fillId="0" borderId="55" xfId="20" applyFont="1" applyBorder="1"/>
    <xf numFmtId="0" fontId="64" fillId="0" borderId="36" xfId="20" applyFont="1" applyBorder="1"/>
    <xf numFmtId="0" fontId="64" fillId="0" borderId="50" xfId="20" applyFont="1" applyBorder="1"/>
    <xf numFmtId="0" fontId="65" fillId="0" borderId="3" xfId="20" applyFont="1" applyBorder="1"/>
    <xf numFmtId="0" fontId="65" fillId="0" borderId="17" xfId="20" applyFont="1" applyBorder="1"/>
    <xf numFmtId="0" fontId="58" fillId="17" borderId="0" xfId="20" applyFont="1" applyFill="1" applyAlignment="1">
      <alignment horizontal="center"/>
    </xf>
    <xf numFmtId="0" fontId="65" fillId="17" borderId="17" xfId="20" applyFont="1" applyFill="1" applyBorder="1"/>
    <xf numFmtId="0" fontId="66" fillId="17" borderId="0" xfId="20" applyFont="1" applyFill="1"/>
    <xf numFmtId="0" fontId="63" fillId="17" borderId="0" xfId="20" applyFont="1" applyFill="1"/>
    <xf numFmtId="0" fontId="65" fillId="0" borderId="36" xfId="20" applyFont="1" applyBorder="1"/>
    <xf numFmtId="2" fontId="22" fillId="0" borderId="5" xfId="0" applyNumberFormat="1" applyFont="1" applyBorder="1" applyAlignment="1">
      <alignment horizontal="center"/>
    </xf>
    <xf numFmtId="0" fontId="11" fillId="7" borderId="0" xfId="0" applyFont="1" applyFill="1" applyProtection="1">
      <protection locked="0"/>
    </xf>
    <xf numFmtId="17" fontId="11" fillId="7" borderId="0" xfId="0" applyNumberFormat="1" applyFont="1" applyFill="1" applyProtection="1">
      <protection locked="0"/>
    </xf>
    <xf numFmtId="0" fontId="3" fillId="0" borderId="24" xfId="20" applyBorder="1" applyAlignment="1">
      <alignment horizontal="center"/>
    </xf>
    <xf numFmtId="4" fontId="3" fillId="7" borderId="14" xfId="9" applyNumberFormat="1" applyFont="1" applyFill="1" applyBorder="1" applyAlignment="1" applyProtection="1">
      <protection locked="0"/>
    </xf>
    <xf numFmtId="4" fontId="3" fillId="7" borderId="27" xfId="9" applyNumberFormat="1" applyFont="1" applyFill="1" applyBorder="1" applyAlignment="1" applyProtection="1">
      <protection locked="0"/>
    </xf>
    <xf numFmtId="4" fontId="3" fillId="7" borderId="56" xfId="9" applyNumberFormat="1" applyFont="1" applyFill="1" applyBorder="1" applyAlignment="1" applyProtection="1">
      <protection locked="0"/>
    </xf>
    <xf numFmtId="4" fontId="3" fillId="7" borderId="57" xfId="9" applyNumberFormat="1" applyFont="1" applyFill="1" applyBorder="1" applyAlignment="1" applyProtection="1">
      <protection locked="0"/>
    </xf>
    <xf numFmtId="4" fontId="3" fillId="7" borderId="48" xfId="9" applyNumberFormat="1" applyFont="1" applyFill="1" applyBorder="1" applyAlignment="1" applyProtection="1">
      <alignment horizontal="center"/>
      <protection locked="0"/>
    </xf>
    <xf numFmtId="4" fontId="3" fillId="7" borderId="48" xfId="9" applyNumberFormat="1" applyFont="1" applyFill="1" applyBorder="1" applyAlignment="1" applyProtection="1">
      <protection locked="0"/>
    </xf>
    <xf numFmtId="2" fontId="10" fillId="7" borderId="8" xfId="20" applyNumberFormat="1" applyFont="1" applyFill="1" applyBorder="1" applyAlignment="1" applyProtection="1">
      <alignment horizontal="center" wrapText="1"/>
      <protection locked="0"/>
    </xf>
    <xf numFmtId="2" fontId="10" fillId="7" borderId="27" xfId="20" applyNumberFormat="1" applyFont="1" applyFill="1" applyBorder="1" applyAlignment="1" applyProtection="1">
      <alignment horizontal="center" wrapText="1"/>
      <protection locked="0"/>
    </xf>
    <xf numFmtId="3" fontId="3" fillId="7" borderId="48" xfId="9" applyNumberFormat="1" applyFont="1" applyFill="1" applyBorder="1" applyAlignment="1" applyProtection="1">
      <alignment horizontal="center"/>
      <protection locked="0"/>
    </xf>
    <xf numFmtId="3" fontId="3" fillId="7" borderId="8" xfId="9" applyNumberFormat="1" applyFont="1" applyFill="1" applyBorder="1" applyAlignment="1" applyProtection="1">
      <alignment horizontal="center"/>
      <protection locked="0"/>
    </xf>
    <xf numFmtId="3" fontId="3" fillId="7" borderId="57" xfId="9" applyNumberFormat="1" applyFont="1" applyFill="1" applyBorder="1" applyAlignment="1" applyProtection="1">
      <alignment horizontal="center"/>
      <protection locked="0"/>
    </xf>
    <xf numFmtId="171" fontId="9" fillId="7" borderId="8" xfId="20" applyNumberFormat="1" applyFont="1" applyFill="1" applyBorder="1" applyProtection="1">
      <protection locked="0"/>
    </xf>
    <xf numFmtId="171" fontId="9" fillId="7" borderId="27" xfId="20" applyNumberFormat="1" applyFont="1" applyFill="1" applyBorder="1" applyProtection="1">
      <protection locked="0"/>
    </xf>
    <xf numFmtId="4" fontId="9" fillId="7" borderId="27" xfId="20" applyNumberFormat="1" applyFont="1" applyFill="1" applyBorder="1" applyProtection="1">
      <protection locked="0"/>
    </xf>
    <xf numFmtId="4" fontId="9" fillId="7" borderId="57" xfId="20" applyNumberFormat="1" applyFont="1" applyFill="1" applyBorder="1" applyProtection="1">
      <protection locked="0"/>
    </xf>
    <xf numFmtId="4" fontId="3" fillId="7" borderId="8" xfId="9" applyNumberFormat="1" applyFont="1" applyFill="1" applyBorder="1" applyAlignment="1" applyProtection="1">
      <protection locked="0"/>
    </xf>
    <xf numFmtId="4" fontId="11" fillId="10" borderId="15" xfId="0" applyNumberFormat="1" applyFont="1" applyFill="1" applyBorder="1"/>
    <xf numFmtId="4" fontId="11" fillId="9" borderId="15" xfId="0" applyNumberFormat="1" applyFont="1" applyFill="1" applyBorder="1"/>
    <xf numFmtId="4" fontId="11" fillId="12" borderId="15" xfId="0" applyNumberFormat="1" applyFont="1" applyFill="1" applyBorder="1"/>
    <xf numFmtId="4" fontId="11" fillId="13" borderId="15" xfId="0" applyNumberFormat="1" applyFont="1" applyFill="1" applyBorder="1"/>
    <xf numFmtId="4" fontId="11" fillId="14" borderId="15" xfId="0" applyNumberFormat="1" applyFont="1" applyFill="1" applyBorder="1"/>
    <xf numFmtId="0" fontId="67" fillId="0" borderId="0" xfId="20" applyFont="1"/>
    <xf numFmtId="2" fontId="3" fillId="4" borderId="77" xfId="20" applyNumberFormat="1" applyFill="1" applyBorder="1" applyAlignment="1" applyProtection="1">
      <alignment horizontal="center"/>
      <protection locked="0"/>
    </xf>
    <xf numFmtId="2" fontId="22" fillId="0" borderId="80" xfId="0" applyNumberFormat="1" applyFont="1" applyBorder="1" applyAlignment="1">
      <alignment horizontal="center"/>
    </xf>
    <xf numFmtId="0" fontId="58" fillId="0" borderId="0" xfId="20" applyFont="1" applyAlignment="1">
      <alignment horizontal="right"/>
    </xf>
    <xf numFmtId="9" fontId="58" fillId="0" borderId="0" xfId="20" applyNumberFormat="1" applyFont="1"/>
    <xf numFmtId="0" fontId="3" fillId="0" borderId="10" xfId="20" applyBorder="1"/>
    <xf numFmtId="4" fontId="9" fillId="0" borderId="24" xfId="20" applyNumberFormat="1" applyFont="1" applyBorder="1" applyAlignment="1">
      <alignment horizontal="right"/>
    </xf>
    <xf numFmtId="4" fontId="68" fillId="0" borderId="0" xfId="20" applyNumberFormat="1" applyFont="1"/>
    <xf numFmtId="4" fontId="69" fillId="0" borderId="0" xfId="20" applyNumberFormat="1" applyFont="1"/>
    <xf numFmtId="4" fontId="11" fillId="22" borderId="18" xfId="0" applyNumberFormat="1" applyFont="1" applyFill="1" applyBorder="1" applyProtection="1">
      <protection locked="0"/>
    </xf>
    <xf numFmtId="4" fontId="11" fillId="22" borderId="38" xfId="0" applyNumberFormat="1" applyFont="1" applyFill="1" applyBorder="1" applyProtection="1">
      <protection locked="0"/>
    </xf>
    <xf numFmtId="4" fontId="11" fillId="21" borderId="60" xfId="0" applyNumberFormat="1" applyFont="1" applyFill="1" applyBorder="1" applyProtection="1">
      <protection locked="0"/>
    </xf>
    <xf numFmtId="4" fontId="11" fillId="21" borderId="43" xfId="0" applyNumberFormat="1" applyFont="1" applyFill="1" applyBorder="1" applyProtection="1">
      <protection locked="0"/>
    </xf>
    <xf numFmtId="4" fontId="11" fillId="22" borderId="5" xfId="0" applyNumberFormat="1" applyFont="1" applyFill="1" applyBorder="1" applyProtection="1">
      <protection locked="0"/>
    </xf>
    <xf numFmtId="4" fontId="11" fillId="21" borderId="67" xfId="0" applyNumberFormat="1" applyFont="1" applyFill="1" applyBorder="1" applyProtection="1">
      <protection locked="0"/>
    </xf>
    <xf numFmtId="4" fontId="11" fillId="21" borderId="5" xfId="0" applyNumberFormat="1" applyFont="1" applyFill="1" applyBorder="1" applyProtection="1">
      <protection locked="0"/>
    </xf>
    <xf numFmtId="4" fontId="43" fillId="8" borderId="19" xfId="0" applyNumberFormat="1" applyFont="1" applyFill="1" applyBorder="1" applyAlignment="1">
      <alignment horizontal="center"/>
    </xf>
    <xf numFmtId="178" fontId="43" fillId="0" borderId="56" xfId="20" applyNumberFormat="1" applyFont="1" applyBorder="1" applyAlignment="1" applyProtection="1">
      <alignment horizontal="center" wrapText="1"/>
      <protection locked="0"/>
    </xf>
    <xf numFmtId="0" fontId="11" fillId="0" borderId="63" xfId="0" applyFont="1" applyBorder="1" applyAlignment="1">
      <alignment vertical="center"/>
    </xf>
    <xf numFmtId="4" fontId="23" fillId="8" borderId="5" xfId="20" applyNumberFormat="1" applyFont="1" applyFill="1" applyBorder="1" applyAlignment="1">
      <alignment horizontal="right"/>
    </xf>
    <xf numFmtId="9" fontId="3" fillId="4" borderId="0" xfId="210" applyFont="1" applyFill="1" applyProtection="1">
      <protection locked="0"/>
    </xf>
    <xf numFmtId="4" fontId="11" fillId="0" borderId="0" xfId="16" applyFont="1" applyProtection="1"/>
    <xf numFmtId="0" fontId="11" fillId="7" borderId="0" xfId="0" applyFont="1" applyFill="1" applyAlignment="1" applyProtection="1">
      <alignment horizontal="center"/>
      <protection locked="0"/>
    </xf>
    <xf numFmtId="0" fontId="11" fillId="0" borderId="85" xfId="0" applyFont="1" applyBorder="1"/>
    <xf numFmtId="0" fontId="43" fillId="0" borderId="86" xfId="0" applyFont="1" applyBorder="1" applyAlignment="1">
      <alignment horizontal="center"/>
    </xf>
    <xf numFmtId="0" fontId="11" fillId="8" borderId="85" xfId="0" applyFont="1" applyFill="1" applyBorder="1"/>
    <xf numFmtId="179" fontId="43" fillId="8" borderId="86" xfId="0" applyNumberFormat="1" applyFont="1" applyFill="1" applyBorder="1" applyAlignment="1">
      <alignment horizontal="center"/>
    </xf>
    <xf numFmtId="178" fontId="43" fillId="0" borderId="86" xfId="20" applyNumberFormat="1" applyFont="1" applyBorder="1" applyAlignment="1">
      <alignment horizontal="center" wrapText="1"/>
    </xf>
    <xf numFmtId="1" fontId="43" fillId="8" borderId="86" xfId="0" applyNumberFormat="1" applyFont="1" applyFill="1" applyBorder="1" applyAlignment="1">
      <alignment horizontal="center"/>
    </xf>
    <xf numFmtId="2" fontId="43" fillId="0" borderId="86" xfId="20" applyNumberFormat="1" applyFont="1" applyBorder="1" applyAlignment="1">
      <alignment horizontal="center" wrapText="1"/>
    </xf>
    <xf numFmtId="0" fontId="62" fillId="0" borderId="86" xfId="0" applyFont="1" applyBorder="1" applyAlignment="1">
      <alignment horizontal="center"/>
    </xf>
    <xf numFmtId="4" fontId="11" fillId="10" borderId="87" xfId="0" applyNumberFormat="1" applyFont="1" applyFill="1" applyBorder="1"/>
    <xf numFmtId="4" fontId="11" fillId="9" borderId="87" xfId="0" applyNumberFormat="1" applyFont="1" applyFill="1" applyBorder="1"/>
    <xf numFmtId="0" fontId="11" fillId="14" borderId="85" xfId="0" applyFont="1" applyFill="1" applyBorder="1" applyAlignment="1">
      <alignment horizontal="center"/>
    </xf>
    <xf numFmtId="0" fontId="11" fillId="13" borderId="85" xfId="0" applyFont="1" applyFill="1" applyBorder="1" applyAlignment="1">
      <alignment horizontal="center"/>
    </xf>
    <xf numFmtId="0" fontId="47" fillId="0" borderId="0" xfId="0" applyFont="1"/>
    <xf numFmtId="178" fontId="70" fillId="0" borderId="0" xfId="20" applyNumberFormat="1" applyFont="1" applyAlignment="1">
      <alignment horizontal="center" wrapText="1"/>
    </xf>
    <xf numFmtId="0" fontId="71" fillId="0" borderId="0" xfId="0" applyFont="1"/>
    <xf numFmtId="0" fontId="71" fillId="0" borderId="0" xfId="0" applyFont="1" applyAlignment="1">
      <alignment horizontal="center"/>
    </xf>
    <xf numFmtId="4" fontId="71" fillId="0" borderId="0" xfId="0" applyNumberFormat="1" applyFont="1"/>
    <xf numFmtId="4" fontId="71" fillId="23" borderId="4" xfId="0" applyNumberFormat="1" applyFont="1" applyFill="1" applyBorder="1" applyAlignment="1">
      <alignment horizontal="center"/>
    </xf>
    <xf numFmtId="0" fontId="73" fillId="0" borderId="0" xfId="0" applyFont="1"/>
    <xf numFmtId="4" fontId="73" fillId="0" borderId="0" xfId="0" applyNumberFormat="1" applyFont="1"/>
    <xf numFmtId="4" fontId="74" fillId="0" borderId="0" xfId="0" applyNumberFormat="1" applyFont="1"/>
    <xf numFmtId="0" fontId="70" fillId="23" borderId="92" xfId="20" applyFont="1" applyFill="1" applyBorder="1" applyAlignment="1">
      <alignment horizontal="center" wrapText="1"/>
    </xf>
    <xf numFmtId="178" fontId="70" fillId="23" borderId="91" xfId="20" applyNumberFormat="1" applyFont="1" applyFill="1" applyBorder="1" applyAlignment="1">
      <alignment horizontal="center" wrapText="1"/>
    </xf>
    <xf numFmtId="1" fontId="70" fillId="23" borderId="90" xfId="0" applyNumberFormat="1" applyFont="1" applyFill="1" applyBorder="1" applyAlignment="1">
      <alignment horizontal="center" wrapText="1"/>
    </xf>
    <xf numFmtId="1" fontId="70" fillId="23" borderId="91" xfId="0" applyNumberFormat="1" applyFont="1" applyFill="1" applyBorder="1" applyAlignment="1">
      <alignment horizontal="center"/>
    </xf>
    <xf numFmtId="4" fontId="70" fillId="23" borderId="90" xfId="0" applyNumberFormat="1" applyFont="1" applyFill="1" applyBorder="1" applyAlignment="1">
      <alignment horizontal="center" wrapText="1"/>
    </xf>
    <xf numFmtId="4" fontId="70" fillId="23" borderId="91" xfId="0" applyNumberFormat="1" applyFont="1" applyFill="1" applyBorder="1" applyAlignment="1">
      <alignment horizontal="center"/>
    </xf>
    <xf numFmtId="0" fontId="11" fillId="8" borderId="82" xfId="0" applyFont="1" applyFill="1" applyBorder="1"/>
    <xf numFmtId="0" fontId="11" fillId="8" borderId="83" xfId="0" applyFont="1" applyFill="1" applyBorder="1"/>
    <xf numFmtId="0" fontId="43" fillId="8" borderId="84" xfId="0" applyFont="1" applyFill="1" applyBorder="1" applyAlignment="1">
      <alignment horizontal="center" wrapText="1"/>
    </xf>
    <xf numFmtId="0" fontId="43" fillId="8" borderId="93" xfId="0" applyFont="1" applyFill="1" applyBorder="1" applyAlignment="1">
      <alignment horizontal="center" wrapText="1"/>
    </xf>
    <xf numFmtId="0" fontId="43" fillId="8" borderId="94" xfId="0" applyFont="1" applyFill="1" applyBorder="1" applyAlignment="1">
      <alignment horizontal="center" wrapText="1"/>
    </xf>
    <xf numFmtId="178" fontId="43" fillId="8" borderId="34" xfId="20" applyNumberFormat="1" applyFont="1" applyFill="1" applyBorder="1" applyAlignment="1">
      <alignment horizontal="center" wrapText="1"/>
    </xf>
    <xf numFmtId="178" fontId="43" fillId="8" borderId="19" xfId="20" applyNumberFormat="1" applyFont="1" applyFill="1" applyBorder="1" applyAlignment="1">
      <alignment horizontal="center" wrapText="1"/>
    </xf>
    <xf numFmtId="178" fontId="43" fillId="8" borderId="86" xfId="20" applyNumberFormat="1" applyFont="1" applyFill="1" applyBorder="1" applyAlignment="1">
      <alignment horizontal="center" wrapText="1"/>
    </xf>
    <xf numFmtId="179" fontId="43" fillId="0" borderId="15" xfId="20" applyNumberFormat="1" applyFont="1" applyBorder="1" applyAlignment="1">
      <alignment horizontal="center" wrapText="1"/>
    </xf>
    <xf numFmtId="3" fontId="71" fillId="23" borderId="4" xfId="0" applyNumberFormat="1" applyFont="1" applyFill="1" applyBorder="1" applyAlignment="1">
      <alignment horizontal="center"/>
    </xf>
    <xf numFmtId="178" fontId="70" fillId="23" borderId="34" xfId="20" applyNumberFormat="1" applyFont="1" applyFill="1" applyBorder="1" applyAlignment="1">
      <alignment horizontal="center" wrapText="1"/>
    </xf>
    <xf numFmtId="0" fontId="70" fillId="23" borderId="11" xfId="20" applyFont="1" applyFill="1" applyBorder="1" applyAlignment="1">
      <alignment horizontal="center" wrapText="1"/>
    </xf>
    <xf numFmtId="0" fontId="48" fillId="0" borderId="0" xfId="0" applyFont="1" applyAlignment="1">
      <alignment horizontal="center" vertical="top"/>
    </xf>
    <xf numFmtId="0" fontId="48" fillId="0" borderId="0" xfId="0" applyFont="1" applyAlignment="1">
      <alignment vertical="top" wrapText="1"/>
    </xf>
    <xf numFmtId="0" fontId="75" fillId="0" borderId="0" xfId="0" applyFont="1"/>
    <xf numFmtId="0" fontId="75" fillId="0" borderId="0" xfId="0" applyFont="1" applyAlignment="1">
      <alignment vertical="top" wrapText="1"/>
    </xf>
    <xf numFmtId="0" fontId="76" fillId="0" borderId="95" xfId="0" applyFont="1" applyBorder="1"/>
    <xf numFmtId="179" fontId="76" fillId="7" borderId="96" xfId="0" applyNumberFormat="1" applyFont="1" applyFill="1" applyBorder="1"/>
    <xf numFmtId="0" fontId="76" fillId="0" borderId="97" xfId="0" applyFont="1" applyBorder="1"/>
    <xf numFmtId="0" fontId="76" fillId="7" borderId="88" xfId="0" applyFont="1" applyFill="1" applyBorder="1"/>
    <xf numFmtId="0" fontId="76" fillId="0" borderId="98" xfId="0" applyFont="1" applyBorder="1"/>
    <xf numFmtId="0" fontId="76" fillId="7" borderId="89" xfId="0" applyFont="1" applyFill="1" applyBorder="1"/>
    <xf numFmtId="0" fontId="76" fillId="0" borderId="31" xfId="0" applyFont="1" applyBorder="1"/>
    <xf numFmtId="179" fontId="76" fillId="0" borderId="31" xfId="0" applyNumberFormat="1" applyFont="1" applyBorder="1"/>
    <xf numFmtId="0" fontId="77" fillId="8" borderId="0" xfId="0" applyFont="1" applyFill="1"/>
    <xf numFmtId="0" fontId="76" fillId="8" borderId="0" xfId="0" applyFont="1" applyFill="1"/>
    <xf numFmtId="0" fontId="0" fillId="0" borderId="48" xfId="0" applyBorder="1" applyAlignment="1">
      <alignment horizontal="center"/>
    </xf>
    <xf numFmtId="179" fontId="11" fillId="7" borderId="0" xfId="0" applyNumberFormat="1" applyFont="1" applyFill="1" applyAlignment="1" applyProtection="1">
      <alignment horizontal="center"/>
      <protection locked="0"/>
    </xf>
    <xf numFmtId="0" fontId="40" fillId="0" borderId="0" xfId="0" applyFont="1" applyAlignment="1">
      <alignment horizontal="center" vertical="top"/>
    </xf>
    <xf numFmtId="0" fontId="22" fillId="4" borderId="32" xfId="20" applyFont="1" applyFill="1" applyBorder="1" applyProtection="1">
      <protection locked="0"/>
    </xf>
    <xf numFmtId="0" fontId="22" fillId="4" borderId="10" xfId="20" applyFont="1" applyFill="1" applyBorder="1" applyProtection="1">
      <protection locked="0"/>
    </xf>
    <xf numFmtId="0" fontId="22" fillId="4" borderId="33" xfId="20" applyFont="1" applyFill="1" applyBorder="1" applyProtection="1">
      <protection locked="0"/>
    </xf>
    <xf numFmtId="4" fontId="23" fillId="4" borderId="32" xfId="20" applyNumberFormat="1" applyFont="1" applyFill="1" applyBorder="1" applyProtection="1">
      <protection locked="0"/>
    </xf>
    <xf numFmtId="0" fontId="22" fillId="4" borderId="13" xfId="20" applyFont="1" applyFill="1" applyBorder="1" applyAlignment="1" applyProtection="1">
      <alignment wrapText="1"/>
      <protection locked="0"/>
    </xf>
    <xf numFmtId="4" fontId="83" fillId="4" borderId="10" xfId="9" applyNumberFormat="1" applyFont="1" applyFill="1" applyBorder="1" applyAlignment="1" applyProtection="1">
      <protection locked="0"/>
    </xf>
    <xf numFmtId="0" fontId="22" fillId="4" borderId="0" xfId="20" applyFont="1" applyFill="1" applyAlignment="1" applyProtection="1">
      <alignment wrapText="1"/>
      <protection locked="0"/>
    </xf>
    <xf numFmtId="4" fontId="23" fillId="4" borderId="33" xfId="20" applyNumberFormat="1" applyFont="1" applyFill="1" applyBorder="1" applyProtection="1">
      <protection locked="0"/>
    </xf>
    <xf numFmtId="0" fontId="22" fillId="4" borderId="47" xfId="20" applyFont="1" applyFill="1" applyBorder="1" applyAlignment="1" applyProtection="1">
      <alignment wrapText="1"/>
      <protection locked="0"/>
    </xf>
    <xf numFmtId="0" fontId="9" fillId="19" borderId="0" xfId="20" applyFont="1" applyFill="1"/>
    <xf numFmtId="0" fontId="0" fillId="24" borderId="0" xfId="0" applyFill="1"/>
    <xf numFmtId="0" fontId="84" fillId="24" borderId="12" xfId="0" applyFont="1" applyFill="1" applyBorder="1"/>
    <xf numFmtId="0" fontId="84" fillId="24" borderId="14" xfId="0" applyFont="1" applyFill="1" applyBorder="1"/>
    <xf numFmtId="0" fontId="84" fillId="24" borderId="15" xfId="0" applyFont="1" applyFill="1" applyBorder="1"/>
    <xf numFmtId="0" fontId="84" fillId="24" borderId="19" xfId="0" applyFont="1" applyFill="1" applyBorder="1"/>
    <xf numFmtId="0" fontId="84" fillId="24" borderId="63" xfId="0" applyFont="1" applyFill="1" applyBorder="1"/>
    <xf numFmtId="0" fontId="84" fillId="24" borderId="56" xfId="0" applyFont="1" applyFill="1" applyBorder="1"/>
    <xf numFmtId="0" fontId="43" fillId="0" borderId="0" xfId="0" applyFont="1" applyAlignment="1">
      <alignment horizontal="center"/>
    </xf>
    <xf numFmtId="179" fontId="43" fillId="8" borderId="0" xfId="0" applyNumberFormat="1" applyFont="1" applyFill="1" applyAlignment="1">
      <alignment horizontal="center"/>
    </xf>
    <xf numFmtId="178" fontId="43" fillId="0" borderId="0" xfId="20" applyNumberFormat="1" applyFont="1" applyAlignment="1">
      <alignment horizontal="center" wrapText="1"/>
    </xf>
    <xf numFmtId="1" fontId="43" fillId="8" borderId="0" xfId="0" applyNumberFormat="1" applyFont="1" applyFill="1" applyAlignment="1">
      <alignment horizontal="center"/>
    </xf>
    <xf numFmtId="2" fontId="43" fillId="0" borderId="0" xfId="20" applyNumberFormat="1" applyFont="1" applyAlignment="1">
      <alignment horizontal="center" wrapText="1"/>
    </xf>
    <xf numFmtId="0" fontId="62" fillId="0" borderId="0" xfId="0" applyFont="1" applyAlignment="1">
      <alignment horizontal="center"/>
    </xf>
    <xf numFmtId="0" fontId="43" fillId="8" borderId="13" xfId="0" applyFont="1" applyFill="1" applyBorder="1" applyAlignment="1">
      <alignment horizontal="center" wrapText="1"/>
    </xf>
    <xf numFmtId="0" fontId="43" fillId="8" borderId="90" xfId="0" applyFont="1" applyFill="1" applyBorder="1" applyAlignment="1">
      <alignment horizontal="center" wrapText="1"/>
    </xf>
    <xf numFmtId="0" fontId="43" fillId="0" borderId="91" xfId="0" applyFont="1" applyBorder="1" applyAlignment="1">
      <alignment horizontal="center"/>
    </xf>
    <xf numFmtId="179" fontId="43" fillId="8" borderId="91" xfId="0" applyNumberFormat="1" applyFont="1" applyFill="1" applyBorder="1" applyAlignment="1">
      <alignment horizontal="center"/>
    </xf>
    <xf numFmtId="178" fontId="43" fillId="0" borderId="91" xfId="20" applyNumberFormat="1" applyFont="1" applyBorder="1" applyAlignment="1">
      <alignment horizontal="center" wrapText="1"/>
    </xf>
    <xf numFmtId="1" fontId="43" fillId="8" borderId="91" xfId="0" applyNumberFormat="1" applyFont="1" applyFill="1" applyBorder="1" applyAlignment="1">
      <alignment horizontal="center"/>
    </xf>
    <xf numFmtId="2" fontId="43" fillId="0" borderId="91" xfId="20" applyNumberFormat="1" applyFont="1" applyBorder="1" applyAlignment="1">
      <alignment horizontal="center" wrapText="1"/>
    </xf>
    <xf numFmtId="0" fontId="62" fillId="0" borderId="91" xfId="0" applyFont="1" applyBorder="1" applyAlignment="1">
      <alignment horizontal="center"/>
    </xf>
    <xf numFmtId="4" fontId="23" fillId="7" borderId="8" xfId="20" applyNumberFormat="1" applyFont="1" applyFill="1" applyBorder="1" applyProtection="1">
      <protection locked="0"/>
    </xf>
    <xf numFmtId="4" fontId="23" fillId="7" borderId="27" xfId="20" applyNumberFormat="1" applyFont="1" applyFill="1" applyBorder="1" applyProtection="1">
      <protection locked="0"/>
    </xf>
    <xf numFmtId="4" fontId="23" fillId="7" borderId="57" xfId="20" applyNumberFormat="1" applyFont="1" applyFill="1" applyBorder="1" applyProtection="1">
      <protection locked="0"/>
    </xf>
    <xf numFmtId="0" fontId="3" fillId="0" borderId="101" xfId="20" applyBorder="1" applyAlignment="1">
      <alignment horizontal="left" wrapText="1"/>
    </xf>
    <xf numFmtId="0" fontId="3" fillId="0" borderId="102" xfId="20" applyBorder="1" applyAlignment="1">
      <alignment horizontal="left" wrapText="1"/>
    </xf>
    <xf numFmtId="0" fontId="3" fillId="0" borderId="103" xfId="20" applyBorder="1" applyAlignment="1">
      <alignment horizontal="left" wrapText="1"/>
    </xf>
    <xf numFmtId="0" fontId="3" fillId="0" borderId="26" xfId="20" applyBorder="1" applyAlignment="1">
      <alignment horizontal="left" wrapText="1"/>
    </xf>
    <xf numFmtId="0" fontId="3" fillId="0" borderId="56" xfId="20" applyBorder="1" applyAlignment="1">
      <alignment horizontal="left"/>
    </xf>
    <xf numFmtId="0" fontId="22" fillId="0" borderId="101" xfId="20" applyFont="1" applyBorder="1" applyAlignment="1">
      <alignment horizontal="left"/>
    </xf>
    <xf numFmtId="0" fontId="22" fillId="0" borderId="7" xfId="20" applyFont="1" applyBorder="1" applyAlignment="1">
      <alignment wrapText="1"/>
    </xf>
    <xf numFmtId="0" fontId="22" fillId="0" borderId="56" xfId="20" applyFont="1" applyBorder="1" applyAlignment="1">
      <alignment horizontal="left"/>
    </xf>
    <xf numFmtId="0" fontId="22" fillId="0" borderId="7" xfId="20" applyFont="1" applyBorder="1" applyAlignment="1">
      <alignment horizontal="left"/>
    </xf>
    <xf numFmtId="0" fontId="3" fillId="8" borderId="8" xfId="20" applyFill="1" applyBorder="1"/>
    <xf numFmtId="0" fontId="3" fillId="8" borderId="27" xfId="20" applyFill="1" applyBorder="1"/>
    <xf numFmtId="0" fontId="3" fillId="8" borderId="10" xfId="20" applyFill="1" applyBorder="1"/>
    <xf numFmtId="0" fontId="3" fillId="4" borderId="10" xfId="20" applyFill="1" applyBorder="1" applyProtection="1">
      <protection locked="0"/>
    </xf>
    <xf numFmtId="0" fontId="3" fillId="4" borderId="33" xfId="20" applyFill="1" applyBorder="1" applyProtection="1">
      <protection locked="0"/>
    </xf>
    <xf numFmtId="0" fontId="11" fillId="10" borderId="81" xfId="0" applyFont="1" applyFill="1" applyBorder="1" applyAlignment="1">
      <alignment horizontal="center"/>
    </xf>
    <xf numFmtId="0" fontId="11" fillId="10" borderId="81" xfId="0" applyFont="1" applyFill="1" applyBorder="1"/>
    <xf numFmtId="4" fontId="44" fillId="10" borderId="7" xfId="0" applyNumberFormat="1" applyFont="1" applyFill="1" applyBorder="1" applyAlignment="1">
      <alignment horizontal="right"/>
    </xf>
    <xf numFmtId="0" fontId="11" fillId="9" borderId="16" xfId="0" applyFont="1" applyFill="1" applyBorder="1" applyAlignment="1">
      <alignment horizontal="center"/>
    </xf>
    <xf numFmtId="0" fontId="11" fillId="9" borderId="16" xfId="0" applyFont="1" applyFill="1" applyBorder="1"/>
    <xf numFmtId="0" fontId="11" fillId="9" borderId="17" xfId="0" applyFont="1" applyFill="1" applyBorder="1" applyAlignment="1">
      <alignment horizontal="right" wrapText="1"/>
    </xf>
    <xf numFmtId="4" fontId="44" fillId="9" borderId="27" xfId="0" applyNumberFormat="1" applyFont="1" applyFill="1" applyBorder="1" applyAlignment="1">
      <alignment horizontal="right"/>
    </xf>
    <xf numFmtId="0" fontId="11" fillId="10" borderId="16" xfId="0" applyFont="1" applyFill="1" applyBorder="1" applyAlignment="1">
      <alignment horizontal="center"/>
    </xf>
    <xf numFmtId="0" fontId="11" fillId="10" borderId="16" xfId="0" applyFont="1" applyFill="1" applyBorder="1"/>
    <xf numFmtId="0" fontId="11" fillId="10" borderId="17" xfId="0" applyFont="1" applyFill="1" applyBorder="1" applyAlignment="1">
      <alignment horizontal="right" wrapText="1"/>
    </xf>
    <xf numFmtId="4" fontId="44" fillId="10" borderId="27" xfId="0" applyNumberFormat="1" applyFont="1" applyFill="1" applyBorder="1" applyAlignment="1">
      <alignment horizontal="right"/>
    </xf>
    <xf numFmtId="0" fontId="11" fillId="11" borderId="16" xfId="0" applyFont="1" applyFill="1" applyBorder="1" applyAlignment="1">
      <alignment horizontal="center"/>
    </xf>
    <xf numFmtId="0" fontId="11" fillId="11" borderId="16" xfId="0" applyFont="1" applyFill="1" applyBorder="1"/>
    <xf numFmtId="0" fontId="11" fillId="11" borderId="17" xfId="0" applyFont="1" applyFill="1" applyBorder="1" applyAlignment="1">
      <alignment horizontal="right" wrapText="1"/>
    </xf>
    <xf numFmtId="4" fontId="44" fillId="11" borderId="27" xfId="0" applyNumberFormat="1" applyFont="1" applyFill="1" applyBorder="1" applyAlignment="1">
      <alignment horizontal="right"/>
    </xf>
    <xf numFmtId="0" fontId="11" fillId="12" borderId="16" xfId="0" applyFont="1" applyFill="1" applyBorder="1" applyAlignment="1">
      <alignment horizontal="center"/>
    </xf>
    <xf numFmtId="0" fontId="11" fillId="12" borderId="16" xfId="0" applyFont="1" applyFill="1" applyBorder="1"/>
    <xf numFmtId="0" fontId="11" fillId="12" borderId="17" xfId="0" applyFont="1" applyFill="1" applyBorder="1" applyAlignment="1">
      <alignment horizontal="right" wrapText="1"/>
    </xf>
    <xf numFmtId="4" fontId="44" fillId="12" borderId="27" xfId="0" applyNumberFormat="1" applyFont="1" applyFill="1" applyBorder="1" applyAlignment="1">
      <alignment horizontal="right"/>
    </xf>
    <xf numFmtId="0" fontId="11" fillId="13" borderId="16" xfId="0" applyFont="1" applyFill="1" applyBorder="1" applyAlignment="1">
      <alignment horizontal="center"/>
    </xf>
    <xf numFmtId="0" fontId="11" fillId="13" borderId="16" xfId="0" applyFont="1" applyFill="1" applyBorder="1"/>
    <xf numFmtId="0" fontId="11" fillId="13" borderId="17" xfId="0" applyFont="1" applyFill="1" applyBorder="1" applyAlignment="1">
      <alignment horizontal="right" wrapText="1"/>
    </xf>
    <xf numFmtId="4" fontId="44" fillId="13" borderId="27" xfId="0" applyNumberFormat="1" applyFont="1" applyFill="1" applyBorder="1" applyAlignment="1">
      <alignment horizontal="right"/>
    </xf>
    <xf numFmtId="0" fontId="11" fillId="14" borderId="16" xfId="0" applyFont="1" applyFill="1" applyBorder="1" applyAlignment="1">
      <alignment horizontal="center"/>
    </xf>
    <xf numFmtId="0" fontId="11" fillId="14" borderId="16" xfId="0" applyFont="1" applyFill="1" applyBorder="1"/>
    <xf numFmtId="0" fontId="11" fillId="14" borderId="17" xfId="0" applyFont="1" applyFill="1" applyBorder="1" applyAlignment="1">
      <alignment horizontal="right" wrapText="1"/>
    </xf>
    <xf numFmtId="4" fontId="44" fillId="14" borderId="27" xfId="0" applyNumberFormat="1" applyFont="1" applyFill="1" applyBorder="1" applyAlignment="1">
      <alignment horizontal="right"/>
    </xf>
    <xf numFmtId="0" fontId="26" fillId="7" borderId="0" xfId="0" applyFont="1" applyFill="1" applyProtection="1">
      <protection locked="0"/>
    </xf>
    <xf numFmtId="0" fontId="10" fillId="25" borderId="4" xfId="0" applyFont="1" applyFill="1" applyBorder="1" applyAlignment="1" applyProtection="1">
      <alignment horizontal="center" wrapText="1"/>
      <protection locked="0"/>
    </xf>
    <xf numFmtId="0" fontId="86" fillId="0" borderId="15" xfId="0" quotePrefix="1" applyFont="1" applyBorder="1"/>
    <xf numFmtId="0" fontId="11" fillId="10" borderId="91" xfId="0" applyFont="1" applyFill="1" applyBorder="1" applyAlignment="1">
      <alignment horizontal="center"/>
    </xf>
    <xf numFmtId="0" fontId="11" fillId="9" borderId="91" xfId="0" applyFont="1" applyFill="1" applyBorder="1" applyAlignment="1">
      <alignment horizontal="center"/>
    </xf>
    <xf numFmtId="0" fontId="3" fillId="0" borderId="46" xfId="20" applyBorder="1" applyAlignment="1">
      <alignment horizontal="center"/>
    </xf>
    <xf numFmtId="0" fontId="3" fillId="0" borderId="18" xfId="20" applyBorder="1" applyAlignment="1">
      <alignment horizontal="center"/>
    </xf>
    <xf numFmtId="0" fontId="3" fillId="8" borderId="18" xfId="20" applyFill="1" applyBorder="1" applyAlignment="1">
      <alignment horizontal="center"/>
    </xf>
    <xf numFmtId="0" fontId="3" fillId="0" borderId="60" xfId="20" applyBorder="1" applyAlignment="1">
      <alignment horizontal="center"/>
    </xf>
    <xf numFmtId="0" fontId="3" fillId="0" borderId="67" xfId="20" applyBorder="1" applyAlignment="1">
      <alignment horizontal="center"/>
    </xf>
    <xf numFmtId="4" fontId="9" fillId="8" borderId="60" xfId="20" applyNumberFormat="1" applyFont="1" applyFill="1" applyBorder="1" applyAlignment="1">
      <alignment horizontal="right"/>
    </xf>
    <xf numFmtId="0" fontId="3" fillId="0" borderId="59" xfId="20" applyBorder="1" applyAlignment="1">
      <alignment horizontal="center"/>
    </xf>
    <xf numFmtId="0" fontId="3" fillId="0" borderId="22" xfId="20" applyBorder="1" applyAlignment="1">
      <alignment horizontal="center"/>
    </xf>
    <xf numFmtId="0" fontId="3" fillId="0" borderId="36" xfId="20" applyBorder="1" applyAlignment="1">
      <alignment horizontal="center"/>
    </xf>
    <xf numFmtId="0" fontId="0" fillId="0" borderId="47" xfId="0" applyBorder="1"/>
    <xf numFmtId="0" fontId="0" fillId="8" borderId="0" xfId="0" applyFill="1"/>
    <xf numFmtId="0" fontId="0" fillId="0" borderId="78" xfId="0" applyBorder="1"/>
    <xf numFmtId="0" fontId="3" fillId="0" borderId="15" xfId="20" applyBorder="1" applyAlignment="1">
      <alignment horizontal="center"/>
    </xf>
    <xf numFmtId="4" fontId="23" fillId="0" borderId="18" xfId="20" applyNumberFormat="1" applyFont="1" applyBorder="1"/>
    <xf numFmtId="0" fontId="22" fillId="0" borderId="38" xfId="20" applyFont="1" applyBorder="1"/>
    <xf numFmtId="0" fontId="0" fillId="0" borderId="79" xfId="0" applyBorder="1"/>
    <xf numFmtId="0" fontId="22" fillId="0" borderId="0" xfId="20" applyFont="1"/>
    <xf numFmtId="4" fontId="23" fillId="0" borderId="0" xfId="20" applyNumberFormat="1" applyFont="1"/>
    <xf numFmtId="183" fontId="10" fillId="7" borderId="48" xfId="20" applyNumberFormat="1" applyFont="1" applyFill="1" applyBorder="1" applyAlignment="1" applyProtection="1">
      <alignment horizontal="center" wrapText="1"/>
      <protection locked="0"/>
    </xf>
    <xf numFmtId="184" fontId="36" fillId="4" borderId="4" xfId="20" applyNumberFormat="1" applyFont="1" applyFill="1" applyBorder="1" applyAlignment="1" applyProtection="1">
      <alignment horizontal="center" wrapText="1"/>
      <protection locked="0"/>
    </xf>
    <xf numFmtId="183" fontId="36" fillId="4" borderId="4" xfId="20" applyNumberFormat="1" applyFont="1" applyFill="1" applyBorder="1" applyAlignment="1" applyProtection="1">
      <alignment horizontal="center" wrapText="1"/>
      <protection locked="0"/>
    </xf>
    <xf numFmtId="0" fontId="11" fillId="0" borderId="63" xfId="0" applyFont="1" applyBorder="1" applyAlignment="1">
      <alignment horizontal="center"/>
    </xf>
    <xf numFmtId="0" fontId="11" fillId="13" borderId="16" xfId="0" applyFont="1" applyFill="1" applyBorder="1" applyAlignment="1">
      <alignment horizontal="left"/>
    </xf>
    <xf numFmtId="0" fontId="11" fillId="14" borderId="16" xfId="0" applyFont="1" applyFill="1" applyBorder="1" applyAlignment="1">
      <alignment horizontal="left"/>
    </xf>
    <xf numFmtId="4" fontId="11" fillId="22" borderId="24" xfId="0" applyNumberFormat="1" applyFont="1" applyFill="1" applyBorder="1" applyProtection="1">
      <protection locked="0"/>
    </xf>
    <xf numFmtId="4" fontId="11" fillId="21" borderId="68" xfId="0" applyNumberFormat="1" applyFont="1" applyFill="1" applyBorder="1" applyProtection="1">
      <protection locked="0"/>
    </xf>
    <xf numFmtId="0" fontId="11" fillId="10" borderId="81" xfId="0" applyFont="1" applyFill="1" applyBorder="1" applyAlignment="1">
      <alignment horizontal="left"/>
    </xf>
    <xf numFmtId="0" fontId="11" fillId="9" borderId="16" xfId="0" applyFont="1" applyFill="1" applyBorder="1" applyAlignment="1">
      <alignment horizontal="left"/>
    </xf>
    <xf numFmtId="0" fontId="11" fillId="10" borderId="16" xfId="0" applyFont="1" applyFill="1" applyBorder="1" applyAlignment="1">
      <alignment horizontal="left"/>
    </xf>
    <xf numFmtId="0" fontId="11" fillId="11" borderId="16" xfId="0" applyFont="1" applyFill="1" applyBorder="1" applyAlignment="1">
      <alignment horizontal="left"/>
    </xf>
    <xf numFmtId="0" fontId="11" fillId="12" borderId="16" xfId="0" applyFont="1" applyFill="1" applyBorder="1" applyAlignment="1">
      <alignment horizontal="left"/>
    </xf>
    <xf numFmtId="4" fontId="11" fillId="14" borderId="16" xfId="0" applyNumberFormat="1" applyFont="1" applyFill="1" applyBorder="1" applyAlignment="1">
      <alignment horizontal="right"/>
    </xf>
    <xf numFmtId="4" fontId="11" fillId="13" borderId="16" xfId="0" applyNumberFormat="1" applyFont="1" applyFill="1" applyBorder="1" applyAlignment="1">
      <alignment horizontal="right"/>
    </xf>
    <xf numFmtId="4" fontId="11" fillId="10" borderId="81" xfId="0" applyNumberFormat="1" applyFont="1" applyFill="1" applyBorder="1" applyAlignment="1">
      <alignment horizontal="right"/>
    </xf>
    <xf numFmtId="4" fontId="11" fillId="9" borderId="16" xfId="0" applyNumberFormat="1" applyFont="1" applyFill="1" applyBorder="1" applyAlignment="1">
      <alignment horizontal="right"/>
    </xf>
    <xf numFmtId="4" fontId="11" fillId="10" borderId="16" xfId="0" applyNumberFormat="1" applyFont="1" applyFill="1" applyBorder="1" applyAlignment="1">
      <alignment horizontal="right"/>
    </xf>
    <xf numFmtId="4" fontId="11" fillId="11" borderId="16" xfId="0" applyNumberFormat="1" applyFont="1" applyFill="1" applyBorder="1" applyAlignment="1">
      <alignment horizontal="right"/>
    </xf>
    <xf numFmtId="4" fontId="11" fillId="12" borderId="16" xfId="0" applyNumberFormat="1" applyFont="1" applyFill="1" applyBorder="1" applyAlignment="1">
      <alignment horizontal="right"/>
    </xf>
    <xf numFmtId="4" fontId="26" fillId="11" borderId="15" xfId="0" applyNumberFormat="1" applyFont="1" applyFill="1" applyBorder="1"/>
    <xf numFmtId="0" fontId="11" fillId="13" borderId="63" xfId="0" applyFont="1" applyFill="1" applyBorder="1"/>
    <xf numFmtId="4" fontId="71" fillId="0" borderId="85" xfId="0" applyNumberFormat="1" applyFont="1" applyBorder="1"/>
    <xf numFmtId="4" fontId="70" fillId="0" borderId="85" xfId="0" applyNumberFormat="1" applyFont="1" applyBorder="1"/>
    <xf numFmtId="4" fontId="72" fillId="0" borderId="85" xfId="0" applyNumberFormat="1" applyFont="1" applyBorder="1" applyAlignment="1">
      <alignment horizontal="left"/>
    </xf>
    <xf numFmtId="0" fontId="71" fillId="0" borderId="85" xfId="0" applyFont="1" applyBorder="1"/>
    <xf numFmtId="0" fontId="70" fillId="23" borderId="91" xfId="20" applyFont="1" applyFill="1" applyBorder="1" applyAlignment="1">
      <alignment horizontal="center" wrapText="1"/>
    </xf>
    <xf numFmtId="4" fontId="71" fillId="23" borderId="97" xfId="0" applyNumberFormat="1" applyFont="1" applyFill="1" applyBorder="1" applyAlignment="1">
      <alignment horizontal="center"/>
    </xf>
    <xf numFmtId="0" fontId="71" fillId="0" borderId="74" xfId="0" applyFont="1" applyBorder="1"/>
    <xf numFmtId="175" fontId="10" fillId="0" borderId="48" xfId="0" applyNumberFormat="1" applyFont="1" applyBorder="1" applyAlignment="1">
      <alignment horizontal="center"/>
    </xf>
    <xf numFmtId="0" fontId="73" fillId="11" borderId="0" xfId="0" applyFont="1" applyFill="1"/>
    <xf numFmtId="0" fontId="3" fillId="4" borderId="4" xfId="20" applyFill="1" applyBorder="1" applyProtection="1">
      <protection locked="0"/>
    </xf>
    <xf numFmtId="0" fontId="3" fillId="4" borderId="4" xfId="20" applyFill="1" applyBorder="1" applyAlignment="1" applyProtection="1">
      <alignment horizontal="center"/>
      <protection locked="0"/>
    </xf>
    <xf numFmtId="0" fontId="87" fillId="4" borderId="4" xfId="20" applyFont="1" applyFill="1" applyBorder="1" applyAlignment="1" applyProtection="1">
      <alignment horizontal="center"/>
      <protection locked="0"/>
    </xf>
    <xf numFmtId="4" fontId="11" fillId="21" borderId="38" xfId="0" applyNumberFormat="1" applyFont="1" applyFill="1" applyBorder="1" applyProtection="1">
      <protection locked="0"/>
    </xf>
    <xf numFmtId="0" fontId="3" fillId="11" borderId="17" xfId="20" applyFill="1" applyBorder="1"/>
    <xf numFmtId="4" fontId="9" fillId="11" borderId="18" xfId="20" applyNumberFormat="1" applyFont="1" applyFill="1" applyBorder="1" applyAlignment="1">
      <alignment horizontal="right"/>
    </xf>
    <xf numFmtId="0" fontId="58" fillId="11" borderId="17" xfId="20" applyFont="1" applyFill="1" applyBorder="1"/>
    <xf numFmtId="0" fontId="88" fillId="0" borderId="34" xfId="20" applyFont="1" applyBorder="1" applyAlignment="1">
      <alignment horizontal="center" wrapText="1"/>
    </xf>
    <xf numFmtId="0" fontId="3" fillId="12" borderId="0" xfId="20" applyFill="1" applyAlignment="1" applyProtection="1">
      <alignment horizontal="center"/>
      <protection locked="0"/>
    </xf>
    <xf numFmtId="0" fontId="67" fillId="0" borderId="0" xfId="20" applyFont="1" applyAlignment="1">
      <alignment horizontal="center"/>
    </xf>
    <xf numFmtId="4" fontId="11" fillId="10" borderId="106" xfId="0" applyNumberFormat="1" applyFont="1" applyFill="1" applyBorder="1" applyAlignment="1">
      <alignment horizontal="right"/>
    </xf>
    <xf numFmtId="4" fontId="11" fillId="9" borderId="104" xfId="0" applyNumberFormat="1" applyFont="1" applyFill="1" applyBorder="1" applyAlignment="1">
      <alignment horizontal="right"/>
    </xf>
    <xf numFmtId="4" fontId="11" fillId="10" borderId="104" xfId="0" applyNumberFormat="1" applyFont="1" applyFill="1" applyBorder="1" applyAlignment="1">
      <alignment horizontal="right"/>
    </xf>
    <xf numFmtId="4" fontId="11" fillId="12" borderId="104" xfId="0" applyNumberFormat="1" applyFont="1" applyFill="1" applyBorder="1" applyAlignment="1">
      <alignment horizontal="right"/>
    </xf>
    <xf numFmtId="4" fontId="11" fillId="11" borderId="104" xfId="0" applyNumberFormat="1" applyFont="1" applyFill="1" applyBorder="1" applyAlignment="1">
      <alignment horizontal="right"/>
    </xf>
    <xf numFmtId="4" fontId="11" fillId="13" borderId="104" xfId="0" applyNumberFormat="1" applyFont="1" applyFill="1" applyBorder="1" applyAlignment="1">
      <alignment horizontal="right"/>
    </xf>
    <xf numFmtId="4" fontId="11" fillId="14" borderId="104" xfId="0" applyNumberFormat="1" applyFont="1" applyFill="1" applyBorder="1" applyAlignment="1">
      <alignment horizontal="right"/>
    </xf>
    <xf numFmtId="0" fontId="43" fillId="8" borderId="12" xfId="0" applyFont="1" applyFill="1" applyBorder="1" applyAlignment="1">
      <alignment horizontal="center" wrapText="1"/>
    </xf>
    <xf numFmtId="0" fontId="43" fillId="0" borderId="15" xfId="0" applyFont="1" applyBorder="1" applyAlignment="1">
      <alignment horizontal="center"/>
    </xf>
    <xf numFmtId="179" fontId="43" fillId="8" borderId="15" xfId="0" applyNumberFormat="1" applyFont="1" applyFill="1" applyBorder="1" applyAlignment="1">
      <alignment horizontal="center"/>
    </xf>
    <xf numFmtId="178" fontId="43" fillId="0" borderId="15" xfId="20" applyNumberFormat="1" applyFont="1" applyBorder="1" applyAlignment="1">
      <alignment horizontal="center" wrapText="1"/>
    </xf>
    <xf numFmtId="1" fontId="43" fillId="8" borderId="15" xfId="0" applyNumberFormat="1" applyFont="1" applyFill="1" applyBorder="1" applyAlignment="1">
      <alignment horizontal="center"/>
    </xf>
    <xf numFmtId="2" fontId="43" fillId="0" borderId="15" xfId="20" applyNumberFormat="1" applyFont="1" applyBorder="1" applyAlignment="1">
      <alignment horizontal="center" wrapText="1"/>
    </xf>
    <xf numFmtId="0" fontId="62" fillId="0" borderId="15" xfId="0" applyFont="1" applyBorder="1" applyAlignment="1">
      <alignment horizontal="center"/>
    </xf>
    <xf numFmtId="0" fontId="11" fillId="11" borderId="34" xfId="0" applyFont="1" applyFill="1" applyBorder="1"/>
    <xf numFmtId="0" fontId="11" fillId="12" borderId="34" xfId="0" applyFont="1" applyFill="1" applyBorder="1"/>
    <xf numFmtId="0" fontId="11" fillId="12" borderId="91" xfId="0" applyFont="1" applyFill="1" applyBorder="1" applyAlignment="1">
      <alignment horizontal="center"/>
    </xf>
    <xf numFmtId="0" fontId="11" fillId="11" borderId="91" xfId="0" applyFont="1" applyFill="1" applyBorder="1" applyAlignment="1">
      <alignment horizontal="center"/>
    </xf>
    <xf numFmtId="17" fontId="10" fillId="7" borderId="48" xfId="20" applyNumberFormat="1" applyFont="1" applyFill="1" applyBorder="1" applyAlignment="1" applyProtection="1">
      <alignment horizontal="center" wrapText="1"/>
      <protection locked="0"/>
    </xf>
    <xf numFmtId="4" fontId="40" fillId="13" borderId="19" xfId="0" applyNumberFormat="1" applyFont="1" applyFill="1" applyBorder="1" applyAlignment="1">
      <alignment horizontal="right"/>
    </xf>
    <xf numFmtId="4" fontId="10" fillId="26" borderId="48" xfId="20" applyNumberFormat="1" applyFont="1" applyFill="1" applyBorder="1" applyAlignment="1" applyProtection="1">
      <alignment horizontal="center"/>
      <protection locked="0"/>
    </xf>
    <xf numFmtId="0" fontId="7" fillId="0" borderId="54" xfId="20" applyFont="1" applyBorder="1"/>
    <xf numFmtId="0" fontId="7" fillId="0" borderId="16" xfId="20" applyFont="1" applyBorder="1"/>
    <xf numFmtId="17" fontId="90" fillId="17" borderId="4" xfId="20" applyNumberFormat="1" applyFont="1" applyFill="1" applyBorder="1" applyAlignment="1">
      <alignment horizontal="center" wrapText="1"/>
    </xf>
    <xf numFmtId="0" fontId="91" fillId="27" borderId="17" xfId="20" applyFont="1" applyFill="1" applyBorder="1"/>
    <xf numFmtId="4" fontId="92" fillId="27" borderId="18" xfId="20" applyNumberFormat="1" applyFont="1" applyFill="1" applyBorder="1" applyAlignment="1">
      <alignment horizontal="right"/>
    </xf>
    <xf numFmtId="4" fontId="93" fillId="27" borderId="38" xfId="20" applyNumberFormat="1" applyFont="1" applyFill="1" applyBorder="1" applyAlignment="1">
      <alignment horizontal="left" indent="2"/>
    </xf>
    <xf numFmtId="0" fontId="91" fillId="12" borderId="17" xfId="20" applyFont="1" applyFill="1" applyBorder="1"/>
    <xf numFmtId="4" fontId="92" fillId="12" borderId="5" xfId="20" applyNumberFormat="1" applyFont="1" applyFill="1" applyBorder="1" applyAlignment="1">
      <alignment horizontal="right"/>
    </xf>
    <xf numFmtId="4" fontId="93" fillId="12" borderId="38" xfId="20" applyNumberFormat="1" applyFont="1" applyFill="1" applyBorder="1" applyAlignment="1">
      <alignment horizontal="left" indent="2"/>
    </xf>
    <xf numFmtId="0" fontId="91" fillId="10" borderId="41" xfId="20" applyFont="1" applyFill="1" applyBorder="1" applyAlignment="1">
      <alignment wrapText="1"/>
    </xf>
    <xf numFmtId="4" fontId="92" fillId="10" borderId="46" xfId="20" applyNumberFormat="1" applyFont="1" applyFill="1" applyBorder="1"/>
    <xf numFmtId="4" fontId="93" fillId="10" borderId="38" xfId="20" applyNumberFormat="1" applyFont="1" applyFill="1" applyBorder="1" applyAlignment="1">
      <alignment horizontal="left" indent="2"/>
    </xf>
    <xf numFmtId="0" fontId="22" fillId="28" borderId="17" xfId="20" applyFont="1" applyFill="1" applyBorder="1" applyAlignment="1">
      <alignment wrapText="1"/>
    </xf>
    <xf numFmtId="4" fontId="23" fillId="28" borderId="46" xfId="20" applyNumberFormat="1" applyFont="1" applyFill="1" applyBorder="1"/>
    <xf numFmtId="4" fontId="79" fillId="28" borderId="17" xfId="20" applyNumberFormat="1" applyFont="1" applyFill="1" applyBorder="1" applyAlignment="1">
      <alignment horizontal="left" indent="2"/>
    </xf>
    <xf numFmtId="0" fontId="31" fillId="29" borderId="0" xfId="20" applyFont="1" applyFill="1"/>
    <xf numFmtId="4" fontId="23" fillId="29" borderId="5" xfId="20" applyNumberFormat="1" applyFont="1" applyFill="1" applyBorder="1"/>
    <xf numFmtId="4" fontId="23" fillId="29" borderId="38" xfId="20" applyNumberFormat="1" applyFont="1" applyFill="1" applyBorder="1"/>
    <xf numFmtId="0" fontId="80" fillId="29" borderId="0" xfId="20" applyFont="1" applyFill="1"/>
    <xf numFmtId="4" fontId="94" fillId="29" borderId="5" xfId="20" applyNumberFormat="1" applyFont="1" applyFill="1" applyBorder="1" applyAlignment="1">
      <alignment horizontal="right"/>
    </xf>
    <xf numFmtId="0" fontId="95" fillId="29" borderId="0" xfId="20" applyFont="1" applyFill="1"/>
    <xf numFmtId="4" fontId="23" fillId="27" borderId="18" xfId="20" applyNumberFormat="1" applyFont="1" applyFill="1" applyBorder="1" applyAlignment="1">
      <alignment horizontal="right"/>
    </xf>
    <xf numFmtId="4" fontId="13" fillId="27" borderId="38" xfId="20" applyNumberFormat="1" applyFont="1" applyFill="1" applyBorder="1" applyAlignment="1">
      <alignment horizontal="left" indent="2"/>
    </xf>
    <xf numFmtId="4" fontId="23" fillId="12" borderId="5" xfId="20" applyNumberFormat="1" applyFont="1" applyFill="1" applyBorder="1" applyAlignment="1">
      <alignment horizontal="right"/>
    </xf>
    <xf numFmtId="4" fontId="13" fillId="12" borderId="38" xfId="20" applyNumberFormat="1" applyFont="1" applyFill="1" applyBorder="1" applyAlignment="1">
      <alignment horizontal="left" indent="2"/>
    </xf>
    <xf numFmtId="0" fontId="22" fillId="12" borderId="17" xfId="20" applyFont="1" applyFill="1" applyBorder="1"/>
    <xf numFmtId="0" fontId="22" fillId="27" borderId="17" xfId="20" applyFont="1" applyFill="1" applyBorder="1"/>
    <xf numFmtId="0" fontId="22" fillId="15" borderId="17" xfId="20" applyFont="1" applyFill="1" applyBorder="1"/>
    <xf numFmtId="4" fontId="23" fillId="15" borderId="46" xfId="20" applyNumberFormat="1" applyFont="1" applyFill="1" applyBorder="1"/>
    <xf numFmtId="4" fontId="13" fillId="15" borderId="38" xfId="20" applyNumberFormat="1" applyFont="1" applyFill="1" applyBorder="1" applyAlignment="1">
      <alignment horizontal="left" indent="2"/>
    </xf>
    <xf numFmtId="0" fontId="22" fillId="28" borderId="17" xfId="20" applyFont="1" applyFill="1" applyBorder="1"/>
    <xf numFmtId="4" fontId="13" fillId="28" borderId="17" xfId="20" applyNumberFormat="1" applyFont="1" applyFill="1" applyBorder="1" applyAlignment="1">
      <alignment horizontal="left" indent="2"/>
    </xf>
    <xf numFmtId="185" fontId="36" fillId="4" borderId="4" xfId="20" applyNumberFormat="1" applyFont="1" applyFill="1" applyBorder="1" applyAlignment="1" applyProtection="1">
      <alignment horizontal="center" wrapText="1"/>
      <protection locked="0"/>
    </xf>
    <xf numFmtId="4" fontId="9" fillId="26" borderId="27" xfId="20" applyNumberFormat="1" applyFont="1" applyFill="1" applyBorder="1" applyProtection="1">
      <protection locked="0"/>
    </xf>
    <xf numFmtId="0" fontId="10" fillId="0" borderId="48" xfId="20" applyFont="1" applyBorder="1" applyAlignment="1" applyProtection="1">
      <alignment horizontal="center"/>
      <protection locked="0"/>
    </xf>
    <xf numFmtId="0" fontId="3" fillId="0" borderId="53" xfId="20" applyBorder="1" applyProtection="1">
      <protection locked="0"/>
    </xf>
    <xf numFmtId="175" fontId="10" fillId="24" borderId="4" xfId="20" applyNumberFormat="1" applyFont="1" applyFill="1" applyBorder="1" applyAlignment="1" applyProtection="1">
      <alignment horizontal="center"/>
      <protection locked="0"/>
    </xf>
    <xf numFmtId="0" fontId="11" fillId="24" borderId="0" xfId="0" applyFont="1" applyFill="1" applyAlignment="1">
      <alignment horizontal="center"/>
    </xf>
    <xf numFmtId="0" fontId="11" fillId="14" borderId="81" xfId="0" applyFont="1" applyFill="1" applyBorder="1" applyAlignment="1">
      <alignment horizontal="center"/>
    </xf>
    <xf numFmtId="0" fontId="11" fillId="30" borderId="16" xfId="0" applyFont="1" applyFill="1" applyBorder="1" applyAlignment="1">
      <alignment horizontal="center"/>
    </xf>
    <xf numFmtId="4" fontId="97" fillId="9" borderId="27" xfId="0" applyNumberFormat="1" applyFont="1" applyFill="1" applyBorder="1" applyAlignment="1">
      <alignment horizontal="right"/>
    </xf>
    <xf numFmtId="0" fontId="11" fillId="11" borderId="81" xfId="0" applyFont="1" applyFill="1" applyBorder="1" applyAlignment="1">
      <alignment horizontal="center"/>
    </xf>
    <xf numFmtId="0" fontId="11" fillId="13" borderId="10" xfId="0" applyFont="1" applyFill="1" applyBorder="1" applyAlignment="1">
      <alignment horizontal="center"/>
    </xf>
    <xf numFmtId="0" fontId="11" fillId="13" borderId="81" xfId="0" applyFont="1" applyFill="1" applyBorder="1" applyAlignment="1">
      <alignment horizontal="center"/>
    </xf>
    <xf numFmtId="0" fontId="11" fillId="14" borderId="10" xfId="0" applyFont="1" applyFill="1" applyBorder="1" applyAlignment="1">
      <alignment horizontal="center"/>
    </xf>
    <xf numFmtId="0" fontId="11" fillId="14" borderId="107" xfId="0" applyFont="1" applyFill="1" applyBorder="1" applyAlignment="1">
      <alignment horizontal="center"/>
    </xf>
    <xf numFmtId="0" fontId="11" fillId="13" borderId="10" xfId="0" applyFont="1" applyFill="1" applyBorder="1" applyAlignment="1">
      <alignment horizontal="left"/>
    </xf>
    <xf numFmtId="4" fontId="11" fillId="13" borderId="10" xfId="0" applyNumberFormat="1" applyFont="1" applyFill="1" applyBorder="1" applyAlignment="1">
      <alignment horizontal="right"/>
    </xf>
    <xf numFmtId="0" fontId="11" fillId="13" borderId="81" xfId="0" applyFont="1" applyFill="1" applyBorder="1" applyAlignment="1">
      <alignment horizontal="left"/>
    </xf>
    <xf numFmtId="4" fontId="11" fillId="13" borderId="81" xfId="0" applyNumberFormat="1" applyFont="1" applyFill="1" applyBorder="1" applyAlignment="1">
      <alignment horizontal="right"/>
    </xf>
    <xf numFmtId="0" fontId="11" fillId="14" borderId="81" xfId="0" applyFont="1" applyFill="1" applyBorder="1" applyAlignment="1">
      <alignment horizontal="left"/>
    </xf>
    <xf numFmtId="4" fontId="11" fillId="14" borderId="81" xfId="0" applyNumberFormat="1" applyFont="1" applyFill="1" applyBorder="1" applyAlignment="1">
      <alignment horizontal="right"/>
    </xf>
    <xf numFmtId="4" fontId="11" fillId="30" borderId="16" xfId="0" applyNumberFormat="1" applyFont="1" applyFill="1" applyBorder="1" applyAlignment="1">
      <alignment horizontal="right"/>
    </xf>
    <xf numFmtId="0" fontId="11" fillId="11" borderId="99" xfId="0" applyFont="1" applyFill="1" applyBorder="1" applyAlignment="1">
      <alignment horizontal="center"/>
    </xf>
    <xf numFmtId="0" fontId="11" fillId="11" borderId="99" xfId="0" applyFont="1" applyFill="1" applyBorder="1" applyAlignment="1">
      <alignment horizontal="left"/>
    </xf>
    <xf numFmtId="4" fontId="11" fillId="11" borderId="99" xfId="0" applyNumberFormat="1" applyFont="1" applyFill="1" applyBorder="1" applyAlignment="1">
      <alignment horizontal="right"/>
    </xf>
    <xf numFmtId="4" fontId="11" fillId="11" borderId="15" xfId="0" applyNumberFormat="1" applyFont="1" applyFill="1" applyBorder="1"/>
    <xf numFmtId="0" fontId="11" fillId="11" borderId="85" xfId="0" applyFont="1" applyFill="1" applyBorder="1" applyAlignment="1">
      <alignment horizontal="center"/>
    </xf>
    <xf numFmtId="0" fontId="11" fillId="12" borderId="85" xfId="0" applyFont="1" applyFill="1" applyBorder="1" applyAlignment="1">
      <alignment horizontal="center"/>
    </xf>
    <xf numFmtId="0" fontId="11" fillId="11" borderId="105" xfId="0" applyFont="1" applyFill="1" applyBorder="1" applyAlignment="1">
      <alignment horizontal="center"/>
    </xf>
    <xf numFmtId="0" fontId="11" fillId="11" borderId="64" xfId="0" applyFont="1" applyFill="1" applyBorder="1"/>
    <xf numFmtId="4" fontId="11" fillId="11" borderId="64" xfId="0" applyNumberFormat="1" applyFont="1" applyFill="1" applyBorder="1"/>
    <xf numFmtId="4" fontId="11" fillId="11" borderId="88" xfId="0" applyNumberFormat="1" applyFont="1" applyFill="1" applyBorder="1"/>
    <xf numFmtId="0" fontId="11" fillId="9" borderId="97" xfId="0" applyFont="1" applyFill="1" applyBorder="1" applyAlignment="1">
      <alignment horizontal="center"/>
    </xf>
    <xf numFmtId="0" fontId="11" fillId="9" borderId="4" xfId="0" applyFont="1" applyFill="1" applyBorder="1"/>
    <xf numFmtId="4" fontId="26" fillId="9" borderId="64" xfId="0" applyNumberFormat="1" applyFont="1" applyFill="1" applyBorder="1"/>
    <xf numFmtId="4" fontId="26" fillId="9" borderId="88" xfId="0" applyNumberFormat="1" applyFont="1" applyFill="1" applyBorder="1"/>
    <xf numFmtId="0" fontId="11" fillId="14" borderId="91" xfId="0" applyFont="1" applyFill="1" applyBorder="1" applyAlignment="1">
      <alignment horizontal="center"/>
    </xf>
    <xf numFmtId="0" fontId="11" fillId="13" borderId="91" xfId="0" applyFont="1" applyFill="1" applyBorder="1" applyAlignment="1">
      <alignment horizontal="center"/>
    </xf>
    <xf numFmtId="4" fontId="11" fillId="14" borderId="87" xfId="0" applyNumberFormat="1" applyFont="1" applyFill="1" applyBorder="1"/>
    <xf numFmtId="4" fontId="11" fillId="13" borderId="87" xfId="0" applyNumberFormat="1" applyFont="1" applyFill="1" applyBorder="1"/>
    <xf numFmtId="0" fontId="11" fillId="14" borderId="111" xfId="0" applyFont="1" applyFill="1" applyBorder="1" applyAlignment="1">
      <alignment horizontal="center"/>
    </xf>
    <xf numFmtId="0" fontId="11" fillId="14" borderId="112" xfId="0" applyFont="1" applyFill="1" applyBorder="1"/>
    <xf numFmtId="4" fontId="11" fillId="14" borderId="112" xfId="0" applyNumberFormat="1" applyFont="1" applyFill="1" applyBorder="1"/>
    <xf numFmtId="4" fontId="11" fillId="14" borderId="89" xfId="0" applyNumberFormat="1" applyFont="1" applyFill="1" applyBorder="1"/>
    <xf numFmtId="0" fontId="43" fillId="8" borderId="113" xfId="0" applyFont="1" applyFill="1" applyBorder="1" applyAlignment="1">
      <alignment horizontal="center" wrapText="1"/>
    </xf>
    <xf numFmtId="0" fontId="43" fillId="0" borderId="110" xfId="0" applyFont="1" applyBorder="1" applyAlignment="1">
      <alignment horizontal="center"/>
    </xf>
    <xf numFmtId="179" fontId="43" fillId="8" borderId="110" xfId="0" applyNumberFormat="1" applyFont="1" applyFill="1" applyBorder="1" applyAlignment="1">
      <alignment horizontal="center"/>
    </xf>
    <xf numFmtId="178" fontId="43" fillId="0" borderId="110" xfId="20" applyNumberFormat="1" applyFont="1" applyBorder="1" applyAlignment="1">
      <alignment horizontal="center" wrapText="1"/>
    </xf>
    <xf numFmtId="1" fontId="43" fillId="8" borderId="110" xfId="0" applyNumberFormat="1" applyFont="1" applyFill="1" applyBorder="1" applyAlignment="1">
      <alignment horizontal="center"/>
    </xf>
    <xf numFmtId="2" fontId="43" fillId="0" borderId="110" xfId="20" applyNumberFormat="1" applyFont="1" applyBorder="1" applyAlignment="1">
      <alignment horizontal="center" wrapText="1"/>
    </xf>
    <xf numFmtId="0" fontId="62" fillId="0" borderId="110" xfId="0" applyFont="1" applyBorder="1" applyAlignment="1">
      <alignment horizontal="center"/>
    </xf>
    <xf numFmtId="4" fontId="11" fillId="10" borderId="114" xfId="0" applyNumberFormat="1" applyFont="1" applyFill="1" applyBorder="1" applyAlignment="1">
      <alignment horizontal="right"/>
    </xf>
    <xf numFmtId="4" fontId="11" fillId="9" borderId="115" xfId="0" applyNumberFormat="1" applyFont="1" applyFill="1" applyBorder="1" applyAlignment="1">
      <alignment horizontal="right"/>
    </xf>
    <xf numFmtId="4" fontId="11" fillId="10" borderId="115" xfId="0" applyNumberFormat="1" applyFont="1" applyFill="1" applyBorder="1" applyAlignment="1">
      <alignment horizontal="right"/>
    </xf>
    <xf numFmtId="4" fontId="11" fillId="30" borderId="115" xfId="0" applyNumberFormat="1" applyFont="1" applyFill="1" applyBorder="1" applyAlignment="1">
      <alignment horizontal="right"/>
    </xf>
    <xf numFmtId="4" fontId="11" fillId="11" borderId="115" xfId="0" applyNumberFormat="1" applyFont="1" applyFill="1" applyBorder="1" applyAlignment="1">
      <alignment horizontal="right"/>
    </xf>
    <xf numFmtId="4" fontId="11" fillId="12" borderId="115" xfId="0" applyNumberFormat="1" applyFont="1" applyFill="1" applyBorder="1" applyAlignment="1">
      <alignment horizontal="right"/>
    </xf>
    <xf numFmtId="4" fontId="11" fillId="14" borderId="114" xfId="0" applyNumberFormat="1" applyFont="1" applyFill="1" applyBorder="1" applyAlignment="1">
      <alignment horizontal="right"/>
    </xf>
    <xf numFmtId="4" fontId="11" fillId="13" borderId="115" xfId="0" applyNumberFormat="1" applyFont="1" applyFill="1" applyBorder="1" applyAlignment="1">
      <alignment horizontal="right"/>
    </xf>
    <xf numFmtId="4" fontId="11" fillId="14" borderId="115" xfId="0" applyNumberFormat="1" applyFont="1" applyFill="1" applyBorder="1" applyAlignment="1">
      <alignment horizontal="right"/>
    </xf>
    <xf numFmtId="4" fontId="11" fillId="13" borderId="114" xfId="0" applyNumberFormat="1" applyFont="1" applyFill="1" applyBorder="1" applyAlignment="1">
      <alignment horizontal="right"/>
    </xf>
    <xf numFmtId="4" fontId="11" fillId="14" borderId="16" xfId="0" applyNumberFormat="1" applyFont="1" applyFill="1" applyBorder="1"/>
    <xf numFmtId="4" fontId="40" fillId="14" borderId="16" xfId="0" applyNumberFormat="1" applyFont="1" applyFill="1" applyBorder="1"/>
    <xf numFmtId="4" fontId="40" fillId="14" borderId="115" xfId="0" applyNumberFormat="1" applyFont="1" applyFill="1" applyBorder="1"/>
    <xf numFmtId="4" fontId="40" fillId="13" borderId="115" xfId="0" applyNumberFormat="1" applyFont="1" applyFill="1" applyBorder="1"/>
    <xf numFmtId="0" fontId="11" fillId="8" borderId="0" xfId="0" applyFont="1" applyFill="1" applyAlignment="1">
      <alignment horizontal="center"/>
    </xf>
    <xf numFmtId="4" fontId="40" fillId="14" borderId="19" xfId="0" applyNumberFormat="1" applyFont="1" applyFill="1" applyBorder="1" applyAlignment="1">
      <alignment horizontal="right"/>
    </xf>
    <xf numFmtId="4" fontId="11" fillId="22" borderId="60" xfId="0" applyNumberFormat="1" applyFont="1" applyFill="1" applyBorder="1" applyProtection="1">
      <protection locked="0"/>
    </xf>
    <xf numFmtId="4" fontId="11" fillId="22" borderId="43" xfId="0" applyNumberFormat="1" applyFont="1" applyFill="1" applyBorder="1" applyProtection="1">
      <protection locked="0"/>
    </xf>
    <xf numFmtId="4" fontId="9" fillId="26" borderId="57" xfId="20" applyNumberFormat="1" applyFont="1" applyFill="1" applyBorder="1" applyProtection="1">
      <protection locked="0"/>
    </xf>
    <xf numFmtId="0" fontId="3" fillId="7" borderId="24" xfId="20" applyFill="1" applyBorder="1" applyAlignment="1" applyProtection="1">
      <alignment horizontal="center"/>
      <protection locked="0"/>
    </xf>
    <xf numFmtId="0" fontId="20" fillId="0" borderId="27" xfId="20" applyFont="1" applyBorder="1" applyAlignment="1">
      <alignment vertical="center" wrapText="1"/>
    </xf>
    <xf numFmtId="0" fontId="11" fillId="14" borderId="99" xfId="0" applyFont="1" applyFill="1" applyBorder="1"/>
    <xf numFmtId="0" fontId="11" fillId="14" borderId="52" xfId="0" applyFont="1" applyFill="1" applyBorder="1" applyAlignment="1">
      <alignment horizontal="right" wrapText="1"/>
    </xf>
    <xf numFmtId="4" fontId="44" fillId="14" borderId="100" xfId="0" applyNumberFormat="1" applyFont="1" applyFill="1" applyBorder="1" applyAlignment="1">
      <alignment horizontal="right"/>
    </xf>
    <xf numFmtId="0" fontId="11" fillId="14" borderId="99" xfId="0" applyFont="1" applyFill="1" applyBorder="1" applyAlignment="1">
      <alignment horizontal="center"/>
    </xf>
    <xf numFmtId="0" fontId="11" fillId="14" borderId="99" xfId="0" applyFont="1" applyFill="1" applyBorder="1" applyAlignment="1">
      <alignment horizontal="left"/>
    </xf>
    <xf numFmtId="4" fontId="11" fillId="14" borderId="99" xfId="0" applyNumberFormat="1" applyFont="1" applyFill="1" applyBorder="1" applyAlignment="1">
      <alignment horizontal="right"/>
    </xf>
    <xf numFmtId="4" fontId="11" fillId="14" borderId="109" xfId="0" applyNumberFormat="1" applyFont="1" applyFill="1" applyBorder="1" applyAlignment="1">
      <alignment horizontal="right"/>
    </xf>
    <xf numFmtId="0" fontId="11" fillId="14" borderId="107" xfId="0" applyFont="1" applyFill="1" applyBorder="1" applyAlignment="1">
      <alignment horizontal="left"/>
    </xf>
    <xf numFmtId="4" fontId="11" fillId="14" borderId="107" xfId="0" applyNumberFormat="1" applyFont="1" applyFill="1" applyBorder="1" applyAlignment="1">
      <alignment horizontal="right"/>
    </xf>
    <xf numFmtId="4" fontId="11" fillId="14" borderId="116" xfId="0" applyNumberFormat="1" applyFont="1" applyFill="1" applyBorder="1" applyAlignment="1">
      <alignment horizontal="right"/>
    </xf>
    <xf numFmtId="0" fontId="10" fillId="7" borderId="48" xfId="20" applyFont="1" applyFill="1" applyBorder="1" applyAlignment="1" applyProtection="1">
      <alignment horizontal="center" wrapText="1"/>
      <protection locked="0"/>
    </xf>
    <xf numFmtId="0" fontId="3" fillId="0" borderId="19" xfId="20" applyBorder="1"/>
    <xf numFmtId="0" fontId="13" fillId="0" borderId="19" xfId="20" applyFont="1" applyBorder="1"/>
    <xf numFmtId="0" fontId="22" fillId="0" borderId="19" xfId="20" applyFont="1" applyBorder="1"/>
    <xf numFmtId="0" fontId="22" fillId="0" borderId="19" xfId="20" applyFont="1" applyBorder="1" applyProtection="1">
      <protection locked="0"/>
    </xf>
    <xf numFmtId="0" fontId="22" fillId="0" borderId="11" xfId="20" applyFont="1" applyBorder="1" applyProtection="1">
      <protection locked="0"/>
    </xf>
    <xf numFmtId="0" fontId="22" fillId="0" borderId="56" xfId="20" applyFont="1" applyBorder="1" applyProtection="1">
      <protection locked="0"/>
    </xf>
    <xf numFmtId="0" fontId="50" fillId="7" borderId="0" xfId="0" applyFont="1" applyFill="1" applyProtection="1">
      <protection locked="0"/>
    </xf>
    <xf numFmtId="17" fontId="50" fillId="7" borderId="0" xfId="0" applyNumberFormat="1" applyFont="1" applyFill="1" applyProtection="1">
      <protection locked="0"/>
    </xf>
    <xf numFmtId="3" fontId="3" fillId="4" borderId="0" xfId="20" applyNumberFormat="1" applyFill="1" applyProtection="1">
      <protection locked="0"/>
    </xf>
    <xf numFmtId="0" fontId="3" fillId="0" borderId="107" xfId="20" applyBorder="1"/>
    <xf numFmtId="0" fontId="22" fillId="0" borderId="121" xfId="20" applyFont="1" applyBorder="1"/>
    <xf numFmtId="0" fontId="22" fillId="0" borderId="117" xfId="20" applyFont="1" applyBorder="1"/>
    <xf numFmtId="2" fontId="10" fillId="7" borderId="32" xfId="20" applyNumberFormat="1" applyFont="1" applyFill="1" applyBorder="1" applyAlignment="1" applyProtection="1">
      <alignment horizontal="center" wrapText="1"/>
      <protection locked="0"/>
    </xf>
    <xf numFmtId="164" fontId="10" fillId="7" borderId="27" xfId="57" applyFont="1" applyFill="1" applyBorder="1" applyAlignment="1" applyProtection="1">
      <alignment horizontal="center"/>
      <protection locked="0"/>
    </xf>
    <xf numFmtId="2" fontId="10" fillId="7" borderId="27" xfId="57" applyNumberFormat="1" applyFont="1" applyFill="1" applyBorder="1" applyAlignment="1" applyProtection="1">
      <alignment horizontal="center"/>
      <protection locked="0"/>
    </xf>
    <xf numFmtId="2" fontId="36" fillId="4" borderId="10" xfId="57" applyNumberFormat="1" applyFont="1" applyFill="1" applyBorder="1" applyAlignment="1" applyProtection="1">
      <alignment horizontal="center"/>
      <protection locked="0"/>
    </xf>
    <xf numFmtId="2" fontId="10" fillId="7" borderId="19" xfId="57" applyNumberFormat="1" applyFont="1" applyFill="1" applyBorder="1" applyAlignment="1" applyProtection="1">
      <alignment horizontal="center"/>
      <protection locked="0"/>
    </xf>
    <xf numFmtId="2" fontId="36" fillId="4" borderId="34" xfId="57" applyNumberFormat="1" applyFont="1" applyFill="1" applyBorder="1" applyAlignment="1" applyProtection="1">
      <alignment horizontal="center"/>
      <protection locked="0"/>
    </xf>
    <xf numFmtId="0" fontId="13" fillId="9" borderId="10" xfId="20" applyFont="1" applyFill="1" applyBorder="1" applyAlignment="1">
      <alignment horizontal="left" wrapText="1"/>
    </xf>
    <xf numFmtId="0" fontId="13" fillId="9" borderId="10" xfId="20" applyFont="1" applyFill="1" applyBorder="1"/>
    <xf numFmtId="0" fontId="63" fillId="11" borderId="0" xfId="20" applyFont="1" applyFill="1" applyAlignment="1">
      <alignment horizontal="right"/>
    </xf>
    <xf numFmtId="0" fontId="11" fillId="10" borderId="17" xfId="0" applyFont="1" applyFill="1" applyBorder="1" applyAlignment="1">
      <alignment horizontal="right"/>
    </xf>
    <xf numFmtId="0" fontId="7" fillId="0" borderId="81" xfId="20" applyFont="1" applyBorder="1"/>
    <xf numFmtId="0" fontId="13" fillId="0" borderId="4" xfId="20" applyFont="1" applyBorder="1" applyAlignment="1">
      <alignment horizontal="left"/>
    </xf>
    <xf numFmtId="0" fontId="55" fillId="0" borderId="4" xfId="20" applyFont="1" applyBorder="1" applyAlignment="1">
      <alignment vertical="center" wrapText="1"/>
    </xf>
    <xf numFmtId="17" fontId="10" fillId="24" borderId="48" xfId="20" applyNumberFormat="1" applyFont="1" applyFill="1" applyBorder="1" applyAlignment="1">
      <alignment horizontal="center" wrapText="1"/>
    </xf>
    <xf numFmtId="17" fontId="10" fillId="24" borderId="4" xfId="20" applyNumberFormat="1" applyFont="1" applyFill="1" applyBorder="1" applyAlignment="1">
      <alignment horizontal="center" wrapText="1"/>
    </xf>
    <xf numFmtId="4" fontId="9" fillId="26" borderId="10" xfId="20" applyNumberFormat="1" applyFont="1" applyFill="1" applyBorder="1" applyProtection="1">
      <protection locked="0"/>
    </xf>
    <xf numFmtId="4" fontId="9" fillId="7" borderId="27" xfId="20" quotePrefix="1" applyNumberFormat="1" applyFont="1" applyFill="1" applyBorder="1" applyProtection="1">
      <protection locked="0"/>
    </xf>
    <xf numFmtId="0" fontId="3" fillId="24" borderId="24" xfId="20" applyFill="1" applyBorder="1" applyAlignment="1">
      <alignment horizontal="center"/>
    </xf>
    <xf numFmtId="4" fontId="9" fillId="7" borderId="7" xfId="20" applyNumberFormat="1" applyFont="1" applyFill="1" applyBorder="1" applyProtection="1">
      <protection locked="0"/>
    </xf>
    <xf numFmtId="4" fontId="22" fillId="31" borderId="10" xfId="20" applyNumberFormat="1" applyFont="1" applyFill="1" applyBorder="1" applyAlignment="1" applyProtection="1">
      <alignment wrapText="1"/>
      <protection locked="0"/>
    </xf>
    <xf numFmtId="4" fontId="11" fillId="21" borderId="124" xfId="0" applyNumberFormat="1" applyFont="1" applyFill="1" applyBorder="1" applyProtection="1">
      <protection locked="0"/>
    </xf>
    <xf numFmtId="4" fontId="11" fillId="21" borderId="28" xfId="0" applyNumberFormat="1" applyFont="1" applyFill="1" applyBorder="1" applyProtection="1">
      <protection locked="0"/>
    </xf>
    <xf numFmtId="4" fontId="11" fillId="22" borderId="125" xfId="0" applyNumberFormat="1" applyFont="1" applyFill="1" applyBorder="1" applyProtection="1">
      <protection locked="0"/>
    </xf>
    <xf numFmtId="4" fontId="11" fillId="22" borderId="126" xfId="0" applyNumberFormat="1" applyFont="1" applyFill="1" applyBorder="1" applyProtection="1">
      <protection locked="0"/>
    </xf>
    <xf numFmtId="0" fontId="11" fillId="0" borderId="78" xfId="0" applyFont="1" applyBorder="1"/>
    <xf numFmtId="4" fontId="11" fillId="21" borderId="122" xfId="0" applyNumberFormat="1" applyFont="1" applyFill="1" applyBorder="1" applyProtection="1">
      <protection locked="0"/>
    </xf>
    <xf numFmtId="4" fontId="11" fillId="22" borderId="127" xfId="0" applyNumberFormat="1" applyFont="1" applyFill="1" applyBorder="1" applyProtection="1">
      <protection locked="0"/>
    </xf>
    <xf numFmtId="0" fontId="4" fillId="31" borderId="24" xfId="21" applyFill="1" applyBorder="1" applyAlignment="1">
      <alignment horizontal="center"/>
    </xf>
    <xf numFmtId="0" fontId="4" fillId="31" borderId="21" xfId="21" applyFill="1" applyBorder="1" applyAlignment="1">
      <alignment horizontal="center"/>
    </xf>
    <xf numFmtId="0" fontId="11" fillId="13" borderId="107" xfId="0" applyFont="1" applyFill="1" applyBorder="1" applyAlignment="1">
      <alignment horizontal="center"/>
    </xf>
    <xf numFmtId="0" fontId="11" fillId="13" borderId="99" xfId="0" applyFont="1" applyFill="1" applyBorder="1"/>
    <xf numFmtId="0" fontId="11" fillId="13" borderId="52" xfId="0" applyFont="1" applyFill="1" applyBorder="1" applyAlignment="1">
      <alignment horizontal="right" wrapText="1"/>
    </xf>
    <xf numFmtId="4" fontId="44" fillId="13" borderId="100" xfId="0" applyNumberFormat="1" applyFont="1" applyFill="1" applyBorder="1" applyAlignment="1">
      <alignment horizontal="right"/>
    </xf>
    <xf numFmtId="4" fontId="11" fillId="13" borderId="53" xfId="0" applyNumberFormat="1" applyFont="1" applyFill="1" applyBorder="1" applyAlignment="1">
      <alignment horizontal="right"/>
    </xf>
    <xf numFmtId="0" fontId="11" fillId="13" borderId="53" xfId="0" applyFont="1" applyFill="1" applyBorder="1" applyAlignment="1">
      <alignment horizontal="center"/>
    </xf>
    <xf numFmtId="0" fontId="11" fillId="13" borderId="53" xfId="0" applyFont="1" applyFill="1" applyBorder="1" applyAlignment="1">
      <alignment horizontal="left"/>
    </xf>
    <xf numFmtId="4" fontId="11" fillId="13" borderId="130" xfId="0" applyNumberFormat="1" applyFont="1" applyFill="1" applyBorder="1" applyAlignment="1">
      <alignment horizontal="right"/>
    </xf>
    <xf numFmtId="2" fontId="102" fillId="0" borderId="122" xfId="20" applyNumberFormat="1" applyFont="1" applyBorder="1" applyAlignment="1">
      <alignment vertical="top" wrapText="1"/>
    </xf>
    <xf numFmtId="4" fontId="9" fillId="7" borderId="100" xfId="20" applyNumberFormat="1" applyFont="1" applyFill="1" applyBorder="1" applyProtection="1">
      <protection locked="0"/>
    </xf>
    <xf numFmtId="4" fontId="9" fillId="4" borderId="107" xfId="20" applyNumberFormat="1" applyFont="1" applyFill="1" applyBorder="1" applyProtection="1">
      <protection locked="0"/>
    </xf>
    <xf numFmtId="4" fontId="9" fillId="4" borderId="108" xfId="20" applyNumberFormat="1" applyFont="1" applyFill="1" applyBorder="1" applyProtection="1">
      <protection locked="0"/>
    </xf>
    <xf numFmtId="4" fontId="38" fillId="31" borderId="4" xfId="20" applyNumberFormat="1" applyFont="1" applyFill="1" applyBorder="1" applyProtection="1">
      <protection locked="0"/>
    </xf>
    <xf numFmtId="4" fontId="9" fillId="26" borderId="10" xfId="20" applyNumberFormat="1" applyFont="1" applyFill="1" applyBorder="1"/>
    <xf numFmtId="2" fontId="102" fillId="0" borderId="68" xfId="20" applyNumberFormat="1" applyFont="1" applyBorder="1" applyAlignment="1">
      <alignment vertical="top" wrapText="1"/>
    </xf>
    <xf numFmtId="4" fontId="23" fillId="12" borderId="18" xfId="20" applyNumberFormat="1" applyFont="1" applyFill="1" applyBorder="1" applyAlignment="1">
      <alignment horizontal="right"/>
    </xf>
    <xf numFmtId="4" fontId="112" fillId="26" borderId="27" xfId="0" applyNumberFormat="1" applyFont="1" applyFill="1" applyBorder="1" applyAlignment="1">
      <alignment horizontal="center"/>
    </xf>
    <xf numFmtId="4" fontId="112" fillId="26" borderId="27" xfId="0" applyNumberFormat="1" applyFont="1" applyFill="1" applyBorder="1"/>
    <xf numFmtId="4" fontId="112" fillId="4" borderId="10" xfId="20" applyNumberFormat="1" applyFont="1" applyFill="1" applyBorder="1" applyProtection="1">
      <protection locked="0"/>
    </xf>
    <xf numFmtId="4" fontId="112" fillId="31" borderId="4" xfId="20" applyNumberFormat="1" applyFont="1" applyFill="1" applyBorder="1" applyProtection="1">
      <protection locked="0"/>
    </xf>
    <xf numFmtId="175" fontId="10" fillId="24" borderId="4" xfId="20" applyNumberFormat="1" applyFont="1" applyFill="1" applyBorder="1" applyAlignment="1">
      <alignment horizontal="center"/>
    </xf>
    <xf numFmtId="0" fontId="13" fillId="0" borderId="7" xfId="20" applyFont="1" applyBorder="1" applyAlignment="1">
      <alignment horizontal="left" wrapText="1"/>
    </xf>
    <xf numFmtId="4" fontId="9" fillId="24" borderId="6" xfId="20" applyNumberFormat="1" applyFont="1" applyFill="1" applyBorder="1" applyAlignment="1">
      <alignment horizontal="right"/>
    </xf>
    <xf numFmtId="0" fontId="3" fillId="8" borderId="10" xfId="20" applyFill="1" applyBorder="1" applyAlignment="1">
      <alignment wrapText="1"/>
    </xf>
    <xf numFmtId="0" fontId="3" fillId="18" borderId="24" xfId="20" applyFill="1" applyBorder="1" applyAlignment="1" applyProtection="1">
      <alignment horizontal="center"/>
      <protection locked="0"/>
    </xf>
    <xf numFmtId="0" fontId="3" fillId="8" borderId="10" xfId="20" applyFill="1" applyBorder="1" applyProtection="1">
      <protection locked="0"/>
    </xf>
    <xf numFmtId="172" fontId="10" fillId="26" borderId="48" xfId="20" applyNumberFormat="1" applyFont="1" applyFill="1" applyBorder="1" applyAlignment="1" applyProtection="1">
      <alignment horizontal="center"/>
      <protection locked="0"/>
    </xf>
    <xf numFmtId="179" fontId="10" fillId="31" borderId="48" xfId="20" applyNumberFormat="1" applyFont="1" applyFill="1" applyBorder="1" applyAlignment="1" applyProtection="1">
      <alignment horizontal="center"/>
      <protection locked="0"/>
    </xf>
    <xf numFmtId="4" fontId="9" fillId="0" borderId="124" xfId="20" applyNumberFormat="1" applyFont="1" applyBorder="1" applyAlignment="1">
      <alignment horizontal="right"/>
    </xf>
    <xf numFmtId="4" fontId="13" fillId="0" borderId="0" xfId="20" applyNumberFormat="1" applyFont="1" applyAlignment="1">
      <alignment horizontal="left" indent="2"/>
    </xf>
    <xf numFmtId="17" fontId="10" fillId="15" borderId="48" xfId="20" applyNumberFormat="1" applyFont="1" applyFill="1" applyBorder="1" applyAlignment="1" applyProtection="1">
      <alignment horizontal="center" wrapText="1"/>
      <protection locked="0"/>
    </xf>
    <xf numFmtId="17" fontId="10" fillId="15" borderId="48" xfId="20" applyNumberFormat="1" applyFont="1" applyFill="1" applyBorder="1" applyAlignment="1">
      <alignment horizontal="center" wrapText="1"/>
    </xf>
    <xf numFmtId="183" fontId="10" fillId="15" borderId="48" xfId="20" applyNumberFormat="1" applyFont="1" applyFill="1" applyBorder="1" applyAlignment="1" applyProtection="1">
      <alignment horizontal="center" wrapText="1"/>
      <protection locked="0"/>
    </xf>
    <xf numFmtId="0" fontId="10" fillId="15" borderId="48" xfId="20" applyFont="1" applyFill="1" applyBorder="1" applyAlignment="1" applyProtection="1">
      <alignment horizontal="center"/>
      <protection locked="0"/>
    </xf>
    <xf numFmtId="4" fontId="9" fillId="15" borderId="6" xfId="20" applyNumberFormat="1" applyFont="1" applyFill="1" applyBorder="1" applyAlignment="1">
      <alignment horizontal="right"/>
    </xf>
    <xf numFmtId="4" fontId="9" fillId="15" borderId="5" xfId="20" applyNumberFormat="1" applyFont="1" applyFill="1" applyBorder="1" applyAlignment="1">
      <alignment horizontal="right"/>
    </xf>
    <xf numFmtId="4" fontId="9" fillId="15" borderId="18" xfId="20" applyNumberFormat="1" applyFont="1" applyFill="1" applyBorder="1" applyAlignment="1">
      <alignment horizontal="right"/>
    </xf>
    <xf numFmtId="4" fontId="9" fillId="15" borderId="60" xfId="20" applyNumberFormat="1" applyFont="1" applyFill="1" applyBorder="1" applyAlignment="1">
      <alignment horizontal="right"/>
    </xf>
    <xf numFmtId="4" fontId="9" fillId="15" borderId="1" xfId="20" applyNumberFormat="1" applyFont="1" applyFill="1" applyBorder="1" applyAlignment="1">
      <alignment horizontal="right"/>
    </xf>
    <xf numFmtId="4" fontId="9" fillId="15" borderId="124" xfId="20" applyNumberFormat="1" applyFont="1" applyFill="1" applyBorder="1" applyAlignment="1">
      <alignment horizontal="right"/>
    </xf>
    <xf numFmtId="4" fontId="10" fillId="15" borderId="61" xfId="20" applyNumberFormat="1" applyFont="1" applyFill="1" applyBorder="1" applyAlignment="1">
      <alignment horizontal="right"/>
    </xf>
    <xf numFmtId="4" fontId="23" fillId="15" borderId="58" xfId="20" applyNumberFormat="1" applyFont="1" applyFill="1" applyBorder="1" applyAlignment="1">
      <alignment horizontal="right"/>
    </xf>
    <xf numFmtId="4" fontId="23" fillId="15" borderId="6" xfId="20" applyNumberFormat="1" applyFont="1" applyFill="1" applyBorder="1" applyAlignment="1">
      <alignment horizontal="right"/>
    </xf>
    <xf numFmtId="4" fontId="23" fillId="15" borderId="18" xfId="20" applyNumberFormat="1" applyFont="1" applyFill="1" applyBorder="1" applyAlignment="1">
      <alignment horizontal="right"/>
    </xf>
    <xf numFmtId="4" fontId="92" fillId="15" borderId="18" xfId="20" applyNumberFormat="1" applyFont="1" applyFill="1" applyBorder="1" applyAlignment="1">
      <alignment horizontal="right"/>
    </xf>
    <xf numFmtId="0" fontId="95" fillId="15" borderId="0" xfId="20" applyFont="1" applyFill="1"/>
    <xf numFmtId="4" fontId="23" fillId="15" borderId="5" xfId="20" applyNumberFormat="1" applyFont="1" applyFill="1" applyBorder="1" applyAlignment="1">
      <alignment horizontal="right"/>
    </xf>
    <xf numFmtId="4" fontId="32" fillId="15" borderId="1" xfId="20" applyNumberFormat="1" applyFont="1" applyFill="1" applyBorder="1" applyAlignment="1">
      <alignment horizontal="right"/>
    </xf>
    <xf numFmtId="4" fontId="92" fillId="15" borderId="46" xfId="20" applyNumberFormat="1" applyFont="1" applyFill="1" applyBorder="1"/>
    <xf numFmtId="0" fontId="31" fillId="15" borderId="0" xfId="20" applyFont="1" applyFill="1"/>
    <xf numFmtId="4" fontId="23" fillId="15" borderId="18" xfId="20" applyNumberFormat="1" applyFont="1" applyFill="1" applyBorder="1"/>
    <xf numFmtId="4" fontId="23" fillId="15" borderId="0" xfId="20" applyNumberFormat="1" applyFont="1" applyFill="1"/>
    <xf numFmtId="4" fontId="9" fillId="15" borderId="49" xfId="20" applyNumberFormat="1" applyFont="1" applyFill="1" applyBorder="1"/>
    <xf numFmtId="4" fontId="9" fillId="15" borderId="5" xfId="20" applyNumberFormat="1" applyFont="1" applyFill="1" applyBorder="1"/>
    <xf numFmtId="4" fontId="9" fillId="15" borderId="22" xfId="20" applyNumberFormat="1" applyFont="1" applyFill="1" applyBorder="1"/>
    <xf numFmtId="0" fontId="9" fillId="15" borderId="0" xfId="20" applyFont="1" applyFill="1"/>
    <xf numFmtId="4" fontId="9" fillId="15" borderId="0" xfId="20" applyNumberFormat="1" applyFont="1" applyFill="1" applyProtection="1">
      <protection locked="0"/>
    </xf>
    <xf numFmtId="4" fontId="9" fillId="15" borderId="0" xfId="20" applyNumberFormat="1" applyFont="1" applyFill="1"/>
    <xf numFmtId="4" fontId="68" fillId="15" borderId="0" xfId="20" applyNumberFormat="1" applyFont="1" applyFill="1"/>
    <xf numFmtId="4" fontId="69" fillId="15" borderId="0" xfId="20" applyNumberFormat="1" applyFont="1" applyFill="1"/>
    <xf numFmtId="0" fontId="63" fillId="15" borderId="0" xfId="20" applyFont="1" applyFill="1"/>
    <xf numFmtId="181" fontId="63" fillId="15" borderId="0" xfId="57" applyNumberFormat="1" applyFont="1" applyFill="1" applyProtection="1"/>
    <xf numFmtId="0" fontId="63" fillId="15" borderId="0" xfId="20" applyFont="1" applyFill="1" applyAlignment="1">
      <alignment horizontal="right"/>
    </xf>
    <xf numFmtId="0" fontId="66" fillId="15" borderId="0" xfId="20" applyFont="1" applyFill="1"/>
    <xf numFmtId="4" fontId="9" fillId="8" borderId="7" xfId="20" applyNumberFormat="1" applyFont="1" applyFill="1" applyBorder="1" applyProtection="1">
      <protection locked="0"/>
    </xf>
    <xf numFmtId="4" fontId="38" fillId="8" borderId="10" xfId="20" applyNumberFormat="1" applyFont="1" applyFill="1" applyBorder="1" applyProtection="1">
      <protection locked="0"/>
    </xf>
    <xf numFmtId="0" fontId="61" fillId="32" borderId="16" xfId="0" applyFont="1" applyFill="1" applyBorder="1" applyAlignment="1">
      <alignment horizontal="center"/>
    </xf>
    <xf numFmtId="0" fontId="61" fillId="32" borderId="16" xfId="0" applyFont="1" applyFill="1" applyBorder="1"/>
    <xf numFmtId="0" fontId="61" fillId="32" borderId="17" xfId="0" applyFont="1" applyFill="1" applyBorder="1" applyAlignment="1">
      <alignment horizontal="right" wrapText="1"/>
    </xf>
    <xf numFmtId="4" fontId="114" fillId="32" borderId="27" xfId="0" applyNumberFormat="1" applyFont="1" applyFill="1" applyBorder="1" applyAlignment="1">
      <alignment horizontal="right"/>
    </xf>
    <xf numFmtId="0" fontId="11" fillId="11" borderId="41" xfId="0" applyFont="1" applyFill="1" applyBorder="1" applyAlignment="1">
      <alignment horizontal="right" wrapText="1"/>
    </xf>
    <xf numFmtId="0" fontId="11" fillId="12" borderId="10" xfId="0" applyFont="1" applyFill="1" applyBorder="1" applyAlignment="1">
      <alignment horizontal="center"/>
    </xf>
    <xf numFmtId="0" fontId="61" fillId="33" borderId="99" xfId="0" applyFont="1" applyFill="1" applyBorder="1" applyAlignment="1">
      <alignment horizontal="center"/>
    </xf>
    <xf numFmtId="0" fontId="61" fillId="33" borderId="99" xfId="0" applyFont="1" applyFill="1" applyBorder="1"/>
    <xf numFmtId="0" fontId="61" fillId="33" borderId="52" xfId="0" applyFont="1" applyFill="1" applyBorder="1" applyAlignment="1">
      <alignment horizontal="right" wrapText="1"/>
    </xf>
    <xf numFmtId="4" fontId="114" fillId="33" borderId="100" xfId="0" applyNumberFormat="1" applyFont="1" applyFill="1" applyBorder="1" applyAlignment="1">
      <alignment horizontal="right"/>
    </xf>
    <xf numFmtId="0" fontId="115" fillId="34" borderId="119" xfId="0" applyFont="1" applyFill="1" applyBorder="1"/>
    <xf numFmtId="4" fontId="116" fillId="34" borderId="120" xfId="0" applyNumberFormat="1" applyFont="1" applyFill="1" applyBorder="1" applyAlignment="1">
      <alignment horizontal="right"/>
    </xf>
    <xf numFmtId="0" fontId="61" fillId="32" borderId="16" xfId="0" applyFont="1" applyFill="1" applyBorder="1" applyAlignment="1">
      <alignment horizontal="left"/>
    </xf>
    <xf numFmtId="4" fontId="61" fillId="32" borderId="16" xfId="0" applyNumberFormat="1" applyFont="1" applyFill="1" applyBorder="1" applyAlignment="1">
      <alignment horizontal="right"/>
    </xf>
    <xf numFmtId="4" fontId="61" fillId="34" borderId="128" xfId="0" applyNumberFormat="1" applyFont="1" applyFill="1" applyBorder="1" applyAlignment="1">
      <alignment horizontal="right"/>
    </xf>
    <xf numFmtId="186" fontId="61" fillId="34" borderId="0" xfId="0" applyNumberFormat="1" applyFont="1" applyFill="1"/>
    <xf numFmtId="4" fontId="61" fillId="32" borderId="104" xfId="0" applyNumberFormat="1" applyFont="1" applyFill="1" applyBorder="1" applyAlignment="1">
      <alignment horizontal="right"/>
    </xf>
    <xf numFmtId="3" fontId="40" fillId="14" borderId="16" xfId="0" applyNumberFormat="1" applyFont="1" applyFill="1" applyBorder="1"/>
    <xf numFmtId="4" fontId="40" fillId="14" borderId="104" xfId="0" applyNumberFormat="1" applyFont="1" applyFill="1" applyBorder="1"/>
    <xf numFmtId="0" fontId="61" fillId="34" borderId="119" xfId="0" applyFont="1" applyFill="1" applyBorder="1" applyAlignment="1">
      <alignment horizontal="center"/>
    </xf>
    <xf numFmtId="0" fontId="61" fillId="34" borderId="119" xfId="0" applyFont="1" applyFill="1" applyBorder="1" applyAlignment="1">
      <alignment horizontal="left"/>
    </xf>
    <xf numFmtId="4" fontId="61" fillId="34" borderId="119" xfId="0" applyNumberFormat="1" applyFont="1" applyFill="1" applyBorder="1" applyAlignment="1">
      <alignment horizontal="right"/>
    </xf>
    <xf numFmtId="4" fontId="61" fillId="34" borderId="120" xfId="0" applyNumberFormat="1" applyFont="1" applyFill="1" applyBorder="1"/>
    <xf numFmtId="4" fontId="11" fillId="14" borderId="16" xfId="0" applyNumberFormat="1" applyFont="1" applyFill="1" applyBorder="1" applyAlignment="1">
      <alignment horizontal="center"/>
    </xf>
    <xf numFmtId="4" fontId="40" fillId="13" borderId="16" xfId="0" applyNumberFormat="1" applyFont="1" applyFill="1" applyBorder="1" applyAlignment="1">
      <alignment horizontal="center"/>
    </xf>
    <xf numFmtId="4" fontId="40" fillId="14" borderId="16" xfId="0" applyNumberFormat="1" applyFont="1" applyFill="1" applyBorder="1" applyAlignment="1">
      <alignment horizontal="center"/>
    </xf>
    <xf numFmtId="0" fontId="11" fillId="12" borderId="32" xfId="0" applyFont="1" applyFill="1" applyBorder="1" applyAlignment="1">
      <alignment horizontal="center"/>
    </xf>
    <xf numFmtId="0" fontId="11" fillId="11" borderId="34" xfId="0" applyFont="1" applyFill="1" applyBorder="1" applyAlignment="1">
      <alignment horizontal="center"/>
    </xf>
    <xf numFmtId="0" fontId="11" fillId="12" borderId="16" xfId="0" applyFont="1" applyFill="1" applyBorder="1" applyAlignment="1">
      <alignment horizontal="left" wrapText="1"/>
    </xf>
    <xf numFmtId="0" fontId="20" fillId="0" borderId="17" xfId="20" applyFont="1" applyBorder="1" applyAlignment="1">
      <alignment horizontal="left" vertical="top" wrapText="1"/>
    </xf>
    <xf numFmtId="0" fontId="13" fillId="0" borderId="0" xfId="20" applyFont="1" applyAlignment="1">
      <alignment wrapText="1"/>
    </xf>
    <xf numFmtId="0" fontId="104" fillId="0" borderId="13" xfId="20" applyFont="1" applyBorder="1" applyAlignment="1">
      <alignment horizontal="left"/>
    </xf>
    <xf numFmtId="0" fontId="67" fillId="0" borderId="14" xfId="20" applyFont="1" applyBorder="1" applyAlignment="1">
      <alignment horizontal="left"/>
    </xf>
    <xf numFmtId="4" fontId="22" fillId="7" borderId="16" xfId="20" applyNumberFormat="1" applyFont="1" applyFill="1" applyBorder="1" applyProtection="1">
      <protection locked="0"/>
    </xf>
    <xf numFmtId="4" fontId="22" fillId="7" borderId="27" xfId="20" applyNumberFormat="1" applyFont="1" applyFill="1" applyBorder="1" applyProtection="1">
      <protection locked="0"/>
    </xf>
    <xf numFmtId="0" fontId="61" fillId="34" borderId="64" xfId="0" applyFont="1" applyFill="1" applyBorder="1"/>
    <xf numFmtId="4" fontId="114" fillId="34" borderId="48" xfId="0" applyNumberFormat="1" applyFont="1" applyFill="1" applyBorder="1" applyAlignment="1">
      <alignment horizontal="right"/>
    </xf>
    <xf numFmtId="4" fontId="117" fillId="7" borderId="48" xfId="20" applyNumberFormat="1" applyFont="1" applyFill="1" applyBorder="1" applyAlignment="1" applyProtection="1">
      <alignment horizontal="center"/>
      <protection locked="0"/>
    </xf>
    <xf numFmtId="4" fontId="117" fillId="4" borderId="48" xfId="20" applyNumberFormat="1" applyFont="1" applyFill="1" applyBorder="1" applyAlignment="1" applyProtection="1">
      <alignment horizontal="center"/>
      <protection locked="0"/>
    </xf>
    <xf numFmtId="4" fontId="102" fillId="7" borderId="48" xfId="9" applyNumberFormat="1" applyFont="1" applyFill="1" applyBorder="1" applyAlignment="1" applyProtection="1">
      <alignment horizontal="center"/>
      <protection locked="0"/>
    </xf>
    <xf numFmtId="4" fontId="102" fillId="4" borderId="4" xfId="9" applyNumberFormat="1" applyFont="1" applyFill="1" applyBorder="1" applyAlignment="1" applyProtection="1">
      <alignment horizontal="center"/>
      <protection locked="0"/>
    </xf>
    <xf numFmtId="3" fontId="102" fillId="7" borderId="48" xfId="9" applyNumberFormat="1" applyFont="1" applyFill="1" applyBorder="1" applyAlignment="1" applyProtection="1">
      <alignment horizontal="center"/>
      <protection locked="0"/>
    </xf>
    <xf numFmtId="3" fontId="102" fillId="4" borderId="48" xfId="9" applyNumberFormat="1" applyFont="1" applyFill="1" applyBorder="1" applyAlignment="1" applyProtection="1">
      <alignment horizontal="center"/>
      <protection locked="0"/>
    </xf>
    <xf numFmtId="2" fontId="117" fillId="7" borderId="8" xfId="20" applyNumberFormat="1" applyFont="1" applyFill="1" applyBorder="1" applyAlignment="1" applyProtection="1">
      <alignment horizontal="center" wrapText="1"/>
      <protection locked="0"/>
    </xf>
    <xf numFmtId="2" fontId="117" fillId="4" borderId="32" xfId="20" applyNumberFormat="1" applyFont="1" applyFill="1" applyBorder="1" applyAlignment="1" applyProtection="1">
      <alignment horizontal="center" wrapText="1"/>
      <protection locked="0"/>
    </xf>
    <xf numFmtId="2" fontId="117" fillId="7" borderId="27" xfId="20" applyNumberFormat="1" applyFont="1" applyFill="1" applyBorder="1" applyAlignment="1" applyProtection="1">
      <alignment horizontal="center" wrapText="1"/>
      <protection locked="0"/>
    </xf>
    <xf numFmtId="2" fontId="117" fillId="4" borderId="10" xfId="20" applyNumberFormat="1" applyFont="1" applyFill="1" applyBorder="1" applyAlignment="1" applyProtection="1">
      <alignment horizontal="center" wrapText="1"/>
      <protection locked="0"/>
    </xf>
    <xf numFmtId="172" fontId="117" fillId="7" borderId="27" xfId="20" applyNumberFormat="1" applyFont="1" applyFill="1" applyBorder="1" applyAlignment="1" applyProtection="1">
      <alignment horizontal="center"/>
      <protection locked="0"/>
    </xf>
    <xf numFmtId="172" fontId="117" fillId="26" borderId="27" xfId="20" applyNumberFormat="1" applyFont="1" applyFill="1" applyBorder="1" applyAlignment="1" applyProtection="1">
      <alignment horizontal="center"/>
      <protection locked="0"/>
    </xf>
    <xf numFmtId="3" fontId="102" fillId="4" borderId="4" xfId="9" applyNumberFormat="1" applyFont="1" applyFill="1" applyBorder="1" applyAlignment="1" applyProtection="1">
      <alignment horizontal="center"/>
      <protection locked="0"/>
    </xf>
    <xf numFmtId="3" fontId="102" fillId="7" borderId="8" xfId="9" applyNumberFormat="1" applyFont="1" applyFill="1" applyBorder="1" applyAlignment="1" applyProtection="1">
      <alignment horizontal="center"/>
      <protection locked="0"/>
    </xf>
    <xf numFmtId="3" fontId="102" fillId="4" borderId="32" xfId="9" applyNumberFormat="1" applyFont="1" applyFill="1" applyBorder="1" applyAlignment="1" applyProtection="1">
      <alignment horizontal="center"/>
      <protection locked="0"/>
    </xf>
    <xf numFmtId="3" fontId="102" fillId="7" borderId="32" xfId="9" applyNumberFormat="1" applyFont="1" applyFill="1" applyBorder="1" applyAlignment="1" applyProtection="1">
      <alignment horizontal="center"/>
      <protection locked="0"/>
    </xf>
    <xf numFmtId="3" fontId="102" fillId="7" borderId="57" xfId="9" applyNumberFormat="1" applyFont="1" applyFill="1" applyBorder="1" applyAlignment="1" applyProtection="1">
      <alignment horizontal="center"/>
      <protection locked="0"/>
    </xf>
    <xf numFmtId="3" fontId="102" fillId="4" borderId="33" xfId="9" applyNumberFormat="1" applyFont="1" applyFill="1" applyBorder="1" applyAlignment="1" applyProtection="1">
      <alignment horizontal="center"/>
      <protection locked="0"/>
    </xf>
    <xf numFmtId="3" fontId="102" fillId="7" borderId="33" xfId="9" applyNumberFormat="1" applyFont="1" applyFill="1" applyBorder="1" applyAlignment="1" applyProtection="1">
      <alignment horizontal="center"/>
      <protection locked="0"/>
    </xf>
    <xf numFmtId="4" fontId="118" fillId="7" borderId="8" xfId="20" applyNumberFormat="1" applyFont="1" applyFill="1" applyBorder="1" applyProtection="1">
      <protection locked="0"/>
    </xf>
    <xf numFmtId="4" fontId="118" fillId="4" borderId="32" xfId="20" applyNumberFormat="1" applyFont="1" applyFill="1" applyBorder="1" applyProtection="1">
      <protection locked="0"/>
    </xf>
    <xf numFmtId="4" fontId="118" fillId="7" borderId="27" xfId="20" applyNumberFormat="1" applyFont="1" applyFill="1" applyBorder="1" applyProtection="1">
      <protection locked="0"/>
    </xf>
    <xf numFmtId="4" fontId="118" fillId="4" borderId="10" xfId="20" applyNumberFormat="1" applyFont="1" applyFill="1" applyBorder="1" applyProtection="1">
      <protection locked="0"/>
    </xf>
    <xf numFmtId="4" fontId="118" fillId="26" borderId="27" xfId="20" applyNumberFormat="1" applyFont="1" applyFill="1" applyBorder="1" applyProtection="1">
      <protection locked="0"/>
    </xf>
    <xf numFmtId="0" fontId="96" fillId="14" borderId="15" xfId="0" applyFont="1" applyFill="1" applyBorder="1"/>
    <xf numFmtId="4" fontId="120" fillId="13" borderId="19" xfId="0" applyNumberFormat="1" applyFont="1" applyFill="1" applyBorder="1" applyAlignment="1">
      <alignment horizontal="left"/>
    </xf>
    <xf numFmtId="0" fontId="50" fillId="24" borderId="0" xfId="0" applyFont="1" applyFill="1" applyAlignment="1">
      <alignment horizontal="center"/>
    </xf>
    <xf numFmtId="0" fontId="50" fillId="24" borderId="0" xfId="0" quotePrefix="1" applyFont="1" applyFill="1" applyAlignment="1">
      <alignment horizontal="center"/>
    </xf>
    <xf numFmtId="0" fontId="0" fillId="24" borderId="0" xfId="0" applyFill="1" applyAlignment="1">
      <alignment horizontal="center"/>
    </xf>
    <xf numFmtId="0" fontId="122" fillId="0" borderId="0" xfId="0" applyFont="1" applyAlignment="1">
      <alignment horizontal="center" vertical="center" textRotation="90" wrapText="1"/>
    </xf>
    <xf numFmtId="0" fontId="122" fillId="0" borderId="0" xfId="0" applyFont="1" applyAlignment="1">
      <alignment horizontal="center" vertical="top" textRotation="90"/>
    </xf>
    <xf numFmtId="0" fontId="4" fillId="0" borderId="0" xfId="0" applyFont="1" applyAlignment="1">
      <alignment vertical="top"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0" xfId="0" applyFont="1" applyAlignment="1">
      <alignment wrapText="1"/>
    </xf>
    <xf numFmtId="0" fontId="125" fillId="0" borderId="0" xfId="480" applyFont="1"/>
    <xf numFmtId="0" fontId="1" fillId="0" borderId="0" xfId="480"/>
    <xf numFmtId="0" fontId="126" fillId="0" borderId="0" xfId="480" applyFont="1" applyAlignment="1">
      <alignment horizontal="left" vertical="center" indent="8"/>
    </xf>
    <xf numFmtId="0" fontId="1" fillId="0" borderId="0" xfId="480" applyAlignment="1">
      <alignment vertical="center"/>
    </xf>
    <xf numFmtId="2" fontId="1" fillId="0" borderId="0" xfId="480" applyNumberFormat="1"/>
    <xf numFmtId="0" fontId="1" fillId="7" borderId="4" xfId="480" applyFill="1" applyBorder="1" applyProtection="1">
      <protection locked="0"/>
    </xf>
    <xf numFmtId="2" fontId="1" fillId="8" borderId="4" xfId="480" applyNumberFormat="1" applyFill="1" applyBorder="1"/>
    <xf numFmtId="2" fontId="1" fillId="7" borderId="4" xfId="480" applyNumberFormat="1" applyFill="1" applyBorder="1" applyProtection="1">
      <protection locked="0"/>
    </xf>
    <xf numFmtId="0" fontId="1" fillId="24" borderId="0" xfId="480" applyFill="1"/>
    <xf numFmtId="0" fontId="1" fillId="24" borderId="0" xfId="480" applyFill="1" applyProtection="1">
      <protection locked="0"/>
    </xf>
    <xf numFmtId="0" fontId="22" fillId="31" borderId="34" xfId="20" applyFont="1" applyFill="1" applyBorder="1" applyProtection="1">
      <protection locked="0"/>
    </xf>
    <xf numFmtId="4" fontId="112" fillId="31" borderId="4" xfId="0" applyNumberFormat="1" applyFont="1" applyFill="1" applyBorder="1" applyProtection="1">
      <protection locked="0"/>
    </xf>
    <xf numFmtId="4" fontId="113" fillId="31" borderId="4" xfId="0" applyNumberFormat="1" applyFont="1" applyFill="1" applyBorder="1" applyProtection="1">
      <protection locked="0"/>
    </xf>
    <xf numFmtId="0" fontId="102" fillId="7" borderId="71" xfId="20" applyFont="1" applyFill="1" applyBorder="1" applyAlignment="1" applyProtection="1">
      <alignment vertical="top" wrapText="1"/>
      <protection locked="0"/>
    </xf>
    <xf numFmtId="0" fontId="102" fillId="7" borderId="25" xfId="20" applyFont="1" applyFill="1" applyBorder="1" applyAlignment="1" applyProtection="1">
      <alignment vertical="top" wrapText="1"/>
      <protection locked="0"/>
    </xf>
    <xf numFmtId="0" fontId="10" fillId="0" borderId="48" xfId="20" applyFont="1" applyBorder="1" applyAlignment="1">
      <alignment horizontal="center" wrapText="1"/>
    </xf>
    <xf numFmtId="183" fontId="36" fillId="4" borderId="48" xfId="20" applyNumberFormat="1" applyFont="1" applyFill="1" applyBorder="1" applyAlignment="1" applyProtection="1">
      <alignment horizontal="center" wrapText="1"/>
      <protection locked="0"/>
    </xf>
    <xf numFmtId="0" fontId="36" fillId="4" borderId="48" xfId="20" applyFont="1" applyFill="1" applyBorder="1" applyAlignment="1" applyProtection="1">
      <alignment horizontal="center"/>
      <protection locked="0"/>
    </xf>
    <xf numFmtId="0" fontId="10" fillId="0" borderId="48" xfId="20" applyFont="1" applyBorder="1" applyAlignment="1">
      <alignment horizontal="center"/>
    </xf>
    <xf numFmtId="172" fontId="36" fillId="4" borderId="48" xfId="20" applyNumberFormat="1" applyFont="1" applyFill="1" applyBorder="1" applyAlignment="1" applyProtection="1">
      <alignment horizontal="center"/>
      <protection locked="0"/>
    </xf>
    <xf numFmtId="4" fontId="37" fillId="4" borderId="14" xfId="9" applyNumberFormat="1" applyFont="1" applyFill="1" applyBorder="1" applyAlignment="1" applyProtection="1">
      <protection locked="0"/>
    </xf>
    <xf numFmtId="4" fontId="37" fillId="4" borderId="19" xfId="9" applyNumberFormat="1" applyFont="1" applyFill="1" applyBorder="1" applyAlignment="1" applyProtection="1">
      <protection locked="0"/>
    </xf>
    <xf numFmtId="4" fontId="37" fillId="4" borderId="56" xfId="9" applyNumberFormat="1" applyFont="1" applyFill="1" applyBorder="1" applyAlignment="1" applyProtection="1">
      <protection locked="0"/>
    </xf>
    <xf numFmtId="4" fontId="37" fillId="4" borderId="48" xfId="9" applyNumberFormat="1" applyFont="1" applyFill="1" applyBorder="1" applyAlignment="1" applyProtection="1">
      <alignment horizontal="center"/>
      <protection locked="0"/>
    </xf>
    <xf numFmtId="4" fontId="37" fillId="4" borderId="48" xfId="9" applyNumberFormat="1" applyFont="1" applyFill="1" applyBorder="1" applyAlignment="1" applyProtection="1">
      <protection locked="0"/>
    </xf>
    <xf numFmtId="2" fontId="10" fillId="7" borderId="14" xfId="20" applyNumberFormat="1" applyFont="1" applyFill="1" applyBorder="1" applyAlignment="1" applyProtection="1">
      <alignment horizontal="center" wrapText="1"/>
      <protection locked="0"/>
    </xf>
    <xf numFmtId="2" fontId="10" fillId="4" borderId="19" xfId="20" applyNumberFormat="1" applyFont="1" applyFill="1" applyBorder="1" applyAlignment="1" applyProtection="1">
      <alignment horizontal="center" wrapText="1"/>
      <protection locked="0"/>
    </xf>
    <xf numFmtId="2" fontId="36" fillId="4" borderId="19" xfId="57" applyNumberFormat="1" applyFont="1" applyFill="1" applyBorder="1" applyAlignment="1" applyProtection="1">
      <alignment horizontal="center"/>
      <protection locked="0"/>
    </xf>
    <xf numFmtId="3" fontId="37" fillId="4" borderId="14" xfId="9" applyNumberFormat="1" applyFont="1" applyFill="1" applyBorder="1" applyAlignment="1" applyProtection="1">
      <alignment horizontal="center"/>
      <protection locked="0"/>
    </xf>
    <xf numFmtId="3" fontId="37" fillId="4" borderId="56" xfId="9" applyNumberFormat="1" applyFont="1" applyFill="1" applyBorder="1" applyAlignment="1" applyProtection="1">
      <alignment horizontal="center"/>
      <protection locked="0"/>
    </xf>
    <xf numFmtId="171" fontId="9" fillId="4" borderId="14" xfId="20" applyNumberFormat="1" applyFont="1" applyFill="1" applyBorder="1" applyProtection="1">
      <protection locked="0"/>
    </xf>
    <xf numFmtId="171" fontId="9" fillId="4" borderId="19" xfId="20" applyNumberFormat="1" applyFont="1" applyFill="1" applyBorder="1" applyProtection="1">
      <protection locked="0"/>
    </xf>
    <xf numFmtId="4" fontId="9" fillId="4" borderId="19" xfId="20" applyNumberFormat="1" applyFont="1" applyFill="1" applyBorder="1" applyProtection="1">
      <protection locked="0"/>
    </xf>
    <xf numFmtId="4" fontId="38" fillId="4" borderId="19" xfId="20" applyNumberFormat="1" applyFont="1" applyFill="1" applyBorder="1" applyProtection="1">
      <protection locked="0"/>
    </xf>
    <xf numFmtId="4" fontId="9" fillId="4" borderId="56" xfId="20" applyNumberFormat="1" applyFont="1" applyFill="1" applyBorder="1" applyProtection="1">
      <protection locked="0"/>
    </xf>
    <xf numFmtId="4" fontId="23" fillId="4" borderId="14" xfId="20" applyNumberFormat="1" applyFont="1" applyFill="1" applyBorder="1" applyProtection="1">
      <protection locked="0"/>
    </xf>
    <xf numFmtId="4" fontId="83" fillId="4" borderId="19" xfId="9" applyNumberFormat="1" applyFont="1" applyFill="1" applyBorder="1" applyAlignment="1" applyProtection="1">
      <protection locked="0"/>
    </xf>
    <xf numFmtId="4" fontId="23" fillId="4" borderId="56" xfId="20" applyNumberFormat="1" applyFont="1" applyFill="1" applyBorder="1" applyProtection="1">
      <protection locked="0"/>
    </xf>
    <xf numFmtId="4" fontId="94" fillId="29" borderId="18" xfId="20" applyNumberFormat="1" applyFont="1" applyFill="1" applyBorder="1" applyAlignment="1">
      <alignment horizontal="right"/>
    </xf>
    <xf numFmtId="4" fontId="92" fillId="12" borderId="0" xfId="20" applyNumberFormat="1" applyFont="1" applyFill="1" applyAlignment="1">
      <alignment horizontal="right"/>
    </xf>
    <xf numFmtId="4" fontId="23" fillId="28" borderId="0" xfId="20" applyNumberFormat="1" applyFont="1" applyFill="1"/>
    <xf numFmtId="4" fontId="113" fillId="10" borderId="0" xfId="20" applyNumberFormat="1" applyFont="1" applyFill="1"/>
    <xf numFmtId="0" fontId="102" fillId="0" borderId="52" xfId="20" applyFont="1" applyBorder="1"/>
    <xf numFmtId="4" fontId="23" fillId="24" borderId="5" xfId="20" applyNumberFormat="1" applyFont="1" applyFill="1" applyBorder="1" applyAlignment="1">
      <alignment horizontal="right"/>
    </xf>
    <xf numFmtId="3" fontId="4" fillId="0" borderId="38" xfId="14" applyFont="1" applyBorder="1" applyAlignment="1">
      <alignment horizontal="center"/>
    </xf>
    <xf numFmtId="0" fontId="4" fillId="24" borderId="0" xfId="21" applyFill="1" applyAlignment="1">
      <alignment horizontal="center"/>
    </xf>
    <xf numFmtId="3" fontId="4" fillId="24" borderId="0" xfId="14" applyFont="1" applyFill="1" applyBorder="1" applyAlignment="1">
      <alignment horizontal="center"/>
    </xf>
    <xf numFmtId="0" fontId="3" fillId="0" borderId="47" xfId="20" applyBorder="1" applyAlignment="1">
      <alignment horizontal="center"/>
    </xf>
    <xf numFmtId="4" fontId="13" fillId="0" borderId="47" xfId="20" applyNumberFormat="1" applyFont="1" applyBorder="1" applyAlignment="1">
      <alignment horizontal="left" indent="2"/>
    </xf>
    <xf numFmtId="0" fontId="58" fillId="0" borderId="47" xfId="20" applyFont="1" applyBorder="1"/>
    <xf numFmtId="0" fontId="96" fillId="9" borderId="17" xfId="0" applyFont="1" applyFill="1" applyBorder="1" applyAlignment="1">
      <alignment horizontal="right" wrapText="1"/>
    </xf>
    <xf numFmtId="0" fontId="96" fillId="10" borderId="17" xfId="0" applyFont="1" applyFill="1" applyBorder="1" applyAlignment="1">
      <alignment horizontal="right" wrapText="1"/>
    </xf>
    <xf numFmtId="4" fontId="131" fillId="4" borderId="9" xfId="9" applyNumberFormat="1" applyFont="1" applyFill="1" applyBorder="1" applyAlignment="1" applyProtection="1">
      <protection locked="0"/>
    </xf>
    <xf numFmtId="4" fontId="11" fillId="13" borderId="34" xfId="0" applyNumberFormat="1" applyFont="1" applyFill="1" applyBorder="1" applyAlignment="1">
      <alignment horizontal="right"/>
    </xf>
    <xf numFmtId="4" fontId="11" fillId="13" borderId="15" xfId="0" applyNumberFormat="1" applyFont="1" applyFill="1" applyBorder="1" applyAlignment="1">
      <alignment horizontal="right"/>
    </xf>
    <xf numFmtId="4" fontId="11" fillId="13" borderId="0" xfId="0" applyNumberFormat="1" applyFont="1" applyFill="1" applyAlignment="1">
      <alignment horizontal="right"/>
    </xf>
    <xf numFmtId="4" fontId="40" fillId="13" borderId="16" xfId="0" applyNumberFormat="1" applyFont="1" applyFill="1" applyBorder="1" applyAlignment="1">
      <alignment horizontal="right"/>
    </xf>
    <xf numFmtId="4" fontId="11" fillId="13" borderId="16" xfId="0" applyNumberFormat="1" applyFont="1" applyFill="1" applyBorder="1" applyAlignment="1">
      <alignment horizontal="center"/>
    </xf>
    <xf numFmtId="4" fontId="97" fillId="10" borderId="27" xfId="0" applyNumberFormat="1" applyFont="1" applyFill="1" applyBorder="1" applyAlignment="1">
      <alignment horizontal="right"/>
    </xf>
    <xf numFmtId="0" fontId="11" fillId="9" borderId="17" xfId="0" applyFont="1" applyFill="1" applyBorder="1" applyAlignment="1">
      <alignment horizontal="right"/>
    </xf>
    <xf numFmtId="0" fontId="11" fillId="11" borderId="17" xfId="0" applyFont="1" applyFill="1" applyBorder="1" applyAlignment="1">
      <alignment horizontal="left" wrapText="1"/>
    </xf>
    <xf numFmtId="0" fontId="115" fillId="34" borderId="118" xfId="0" applyFont="1" applyFill="1" applyBorder="1" applyAlignment="1">
      <alignment horizontal="center"/>
    </xf>
    <xf numFmtId="0" fontId="96" fillId="9" borderId="16" xfId="0" applyFont="1" applyFill="1" applyBorder="1" applyAlignment="1">
      <alignment horizontal="center"/>
    </xf>
    <xf numFmtId="0" fontId="96" fillId="9" borderId="99" xfId="0" applyFont="1" applyFill="1" applyBorder="1" applyAlignment="1">
      <alignment horizontal="center"/>
    </xf>
    <xf numFmtId="0" fontId="11" fillId="11" borderId="81" xfId="0" applyFont="1" applyFill="1" applyBorder="1" applyAlignment="1">
      <alignment horizontal="left"/>
    </xf>
    <xf numFmtId="4" fontId="11" fillId="11" borderId="108" xfId="0" applyNumberFormat="1" applyFont="1" applyFill="1" applyBorder="1" applyAlignment="1">
      <alignment horizontal="right"/>
    </xf>
    <xf numFmtId="4" fontId="11" fillId="11" borderId="81" xfId="0" applyNumberFormat="1" applyFont="1" applyFill="1" applyBorder="1" applyAlignment="1">
      <alignment horizontal="right"/>
    </xf>
    <xf numFmtId="4" fontId="11" fillId="11" borderId="114" xfId="0" applyNumberFormat="1" applyFont="1" applyFill="1" applyBorder="1" applyAlignment="1">
      <alignment horizontal="right"/>
    </xf>
    <xf numFmtId="0" fontId="61" fillId="32" borderId="131" xfId="0" applyFont="1" applyFill="1" applyBorder="1" applyAlignment="1">
      <alignment horizontal="center"/>
    </xf>
    <xf numFmtId="0" fontId="61" fillId="32" borderId="131" xfId="0" applyFont="1" applyFill="1" applyBorder="1" applyAlignment="1">
      <alignment horizontal="left"/>
    </xf>
    <xf numFmtId="4" fontId="61" fillId="32" borderId="132" xfId="0" applyNumberFormat="1" applyFont="1" applyFill="1" applyBorder="1" applyAlignment="1">
      <alignment horizontal="right"/>
    </xf>
    <xf numFmtId="4" fontId="61" fillId="32" borderId="131" xfId="0" applyNumberFormat="1" applyFont="1" applyFill="1" applyBorder="1" applyAlignment="1">
      <alignment horizontal="right"/>
    </xf>
    <xf numFmtId="4" fontId="61" fillId="32" borderId="133" xfId="0" applyNumberFormat="1" applyFont="1" applyFill="1" applyBorder="1" applyAlignment="1">
      <alignment horizontal="right"/>
    </xf>
    <xf numFmtId="0" fontId="96" fillId="9" borderId="53" xfId="0" applyFont="1" applyFill="1" applyBorder="1" applyAlignment="1">
      <alignment horizontal="left"/>
    </xf>
    <xf numFmtId="4" fontId="96" fillId="9" borderId="53" xfId="0" applyNumberFormat="1" applyFont="1" applyFill="1" applyBorder="1" applyAlignment="1">
      <alignment horizontal="right"/>
    </xf>
    <xf numFmtId="4" fontId="96" fillId="9" borderId="129" xfId="0" applyNumberFormat="1" applyFont="1" applyFill="1" applyBorder="1" applyAlignment="1">
      <alignment horizontal="right"/>
    </xf>
    <xf numFmtId="0" fontId="61" fillId="35" borderId="131" xfId="0" applyFont="1" applyFill="1" applyBorder="1" applyAlignment="1">
      <alignment horizontal="center"/>
    </xf>
    <xf numFmtId="0" fontId="61" fillId="35" borderId="131" xfId="0" applyFont="1" applyFill="1" applyBorder="1" applyAlignment="1">
      <alignment horizontal="left"/>
    </xf>
    <xf numFmtId="4" fontId="61" fillId="35" borderId="131" xfId="0" applyNumberFormat="1" applyFont="1" applyFill="1" applyBorder="1" applyAlignment="1">
      <alignment horizontal="right"/>
    </xf>
    <xf numFmtId="4" fontId="61" fillId="35" borderId="133" xfId="0" applyNumberFormat="1" applyFont="1" applyFill="1" applyBorder="1" applyAlignment="1">
      <alignment horizontal="right"/>
    </xf>
    <xf numFmtId="4" fontId="96" fillId="11" borderId="115" xfId="0" applyNumberFormat="1" applyFont="1" applyFill="1" applyBorder="1" applyAlignment="1">
      <alignment horizontal="right"/>
    </xf>
    <xf numFmtId="0" fontId="96" fillId="11" borderId="16" xfId="0" applyFont="1" applyFill="1" applyBorder="1" applyAlignment="1">
      <alignment horizontal="center"/>
    </xf>
    <xf numFmtId="0" fontId="96" fillId="11" borderId="16" xfId="0" applyFont="1" applyFill="1" applyBorder="1" applyAlignment="1">
      <alignment horizontal="left"/>
    </xf>
    <xf numFmtId="4" fontId="96" fillId="11" borderId="16" xfId="0" applyNumberFormat="1" applyFont="1" applyFill="1" applyBorder="1" applyAlignment="1">
      <alignment horizontal="right"/>
    </xf>
    <xf numFmtId="0" fontId="11" fillId="12" borderId="53" xfId="0" applyFont="1" applyFill="1" applyBorder="1" applyAlignment="1">
      <alignment horizontal="center"/>
    </xf>
    <xf numFmtId="0" fontId="11" fillId="12" borderId="53" xfId="0" applyFont="1" applyFill="1" applyBorder="1" applyAlignment="1">
      <alignment horizontal="left"/>
    </xf>
    <xf numFmtId="4" fontId="11" fillId="12" borderId="53" xfId="0" applyNumberFormat="1" applyFont="1" applyFill="1" applyBorder="1" applyAlignment="1">
      <alignment horizontal="right"/>
    </xf>
    <xf numFmtId="4" fontId="11" fillId="12" borderId="129" xfId="0" applyNumberFormat="1" applyFont="1" applyFill="1" applyBorder="1" applyAlignment="1">
      <alignment horizontal="right"/>
    </xf>
    <xf numFmtId="0" fontId="61" fillId="34" borderId="33" xfId="0" applyFont="1" applyFill="1" applyBorder="1" applyAlignment="1">
      <alignment horizontal="center"/>
    </xf>
    <xf numFmtId="0" fontId="61" fillId="34" borderId="33" xfId="0" applyFont="1" applyFill="1" applyBorder="1" applyAlignment="1">
      <alignment horizontal="left"/>
    </xf>
    <xf numFmtId="4" fontId="61" fillId="34" borderId="33" xfId="0" applyNumberFormat="1" applyFont="1" applyFill="1" applyBorder="1" applyAlignment="1">
      <alignment horizontal="right"/>
    </xf>
    <xf numFmtId="0" fontId="11" fillId="13" borderId="11" xfId="0" applyFont="1" applyFill="1" applyBorder="1" applyAlignment="1">
      <alignment horizontal="center"/>
    </xf>
    <xf numFmtId="0" fontId="11" fillId="13" borderId="11" xfId="0" applyFont="1" applyFill="1" applyBorder="1" applyAlignment="1">
      <alignment horizontal="left"/>
    </xf>
    <xf numFmtId="4" fontId="11" fillId="13" borderId="11" xfId="0" applyNumberFormat="1" applyFont="1" applyFill="1" applyBorder="1" applyAlignment="1">
      <alignment horizontal="right"/>
    </xf>
    <xf numFmtId="0" fontId="11" fillId="14" borderId="10" xfId="0" applyFont="1" applyFill="1" applyBorder="1" applyAlignment="1">
      <alignment horizontal="left"/>
    </xf>
    <xf numFmtId="4" fontId="11" fillId="14" borderId="10" xfId="0" applyNumberFormat="1" applyFont="1" applyFill="1" applyBorder="1" applyAlignment="1">
      <alignment horizontal="right"/>
    </xf>
    <xf numFmtId="4" fontId="11" fillId="14" borderId="17" xfId="0" applyNumberFormat="1" applyFont="1" applyFill="1" applyBorder="1" applyAlignment="1">
      <alignment horizontal="right"/>
    </xf>
    <xf numFmtId="0" fontId="96" fillId="9" borderId="16" xfId="0" applyFont="1" applyFill="1" applyBorder="1" applyAlignment="1">
      <alignment horizontal="left"/>
    </xf>
    <xf numFmtId="4" fontId="96" fillId="9" borderId="16" xfId="0" applyNumberFormat="1" applyFont="1" applyFill="1" applyBorder="1" applyAlignment="1">
      <alignment horizontal="right"/>
    </xf>
    <xf numFmtId="4" fontId="96" fillId="9" borderId="104" xfId="0" applyNumberFormat="1" applyFont="1" applyFill="1" applyBorder="1" applyAlignment="1">
      <alignment horizontal="right"/>
    </xf>
    <xf numFmtId="0" fontId="61" fillId="33" borderId="16" xfId="0" applyFont="1" applyFill="1" applyBorder="1" applyAlignment="1">
      <alignment horizontal="center"/>
    </xf>
    <xf numFmtId="0" fontId="61" fillId="33" borderId="16" xfId="0" applyFont="1" applyFill="1" applyBorder="1" applyAlignment="1">
      <alignment horizontal="left"/>
    </xf>
    <xf numFmtId="4" fontId="61" fillId="33" borderId="16" xfId="0" applyNumberFormat="1" applyFont="1" applyFill="1" applyBorder="1" applyAlignment="1">
      <alignment horizontal="right"/>
    </xf>
    <xf numFmtId="4" fontId="61" fillId="33" borderId="104" xfId="0" applyNumberFormat="1" applyFont="1" applyFill="1" applyBorder="1" applyAlignment="1">
      <alignment horizontal="right"/>
    </xf>
    <xf numFmtId="0" fontId="96" fillId="11" borderId="15" xfId="0" applyFont="1" applyFill="1" applyBorder="1" applyAlignment="1">
      <alignment horizontal="center"/>
    </xf>
    <xf numFmtId="0" fontId="96" fillId="11" borderId="15" xfId="0" applyFont="1" applyFill="1" applyBorder="1" applyAlignment="1">
      <alignment horizontal="left"/>
    </xf>
    <xf numFmtId="4" fontId="96" fillId="11" borderId="15" xfId="0" applyNumberFormat="1" applyFont="1" applyFill="1" applyBorder="1" applyAlignment="1">
      <alignment horizontal="right"/>
    </xf>
    <xf numFmtId="4" fontId="96" fillId="11" borderId="109" xfId="0" applyNumberFormat="1" applyFont="1" applyFill="1" applyBorder="1" applyAlignment="1">
      <alignment horizontal="right"/>
    </xf>
    <xf numFmtId="0" fontId="11" fillId="13" borderId="99" xfId="0" applyFont="1" applyFill="1" applyBorder="1" applyAlignment="1">
      <alignment horizontal="center"/>
    </xf>
    <xf numFmtId="0" fontId="11" fillId="13" borderId="99" xfId="0" applyFont="1" applyFill="1" applyBorder="1" applyAlignment="1">
      <alignment horizontal="left"/>
    </xf>
    <xf numFmtId="4" fontId="11" fillId="13" borderId="99" xfId="0" applyNumberFormat="1" applyFont="1" applyFill="1" applyBorder="1" applyAlignment="1">
      <alignment horizontal="right"/>
    </xf>
    <xf numFmtId="4" fontId="11" fillId="13" borderId="109" xfId="0" applyNumberFormat="1" applyFont="1" applyFill="1" applyBorder="1" applyAlignment="1">
      <alignment horizontal="right"/>
    </xf>
    <xf numFmtId="4" fontId="11" fillId="13" borderId="16" xfId="0" applyNumberFormat="1" applyFont="1" applyFill="1" applyBorder="1" applyAlignment="1">
      <alignment horizontal="center" vertical="center"/>
    </xf>
    <xf numFmtId="3" fontId="40" fillId="13" borderId="16" xfId="0" applyNumberFormat="1" applyFont="1" applyFill="1" applyBorder="1"/>
    <xf numFmtId="4" fontId="40" fillId="13" borderId="104" xfId="0" applyNumberFormat="1" applyFont="1" applyFill="1" applyBorder="1"/>
    <xf numFmtId="0" fontId="61" fillId="34" borderId="134" xfId="0" applyFont="1" applyFill="1" applyBorder="1" applyAlignment="1">
      <alignment horizontal="right" wrapText="1"/>
    </xf>
    <xf numFmtId="0" fontId="17" fillId="9" borderId="16" xfId="0" applyFont="1" applyFill="1" applyBorder="1"/>
    <xf numFmtId="0" fontId="89" fillId="17" borderId="0" xfId="20" applyFont="1" applyFill="1" applyAlignment="1">
      <alignment horizontal="center" wrapText="1"/>
    </xf>
    <xf numFmtId="17" fontId="56" fillId="17" borderId="4" xfId="20" applyNumberFormat="1" applyFont="1" applyFill="1" applyBorder="1" applyAlignment="1">
      <alignment horizontal="center" wrapText="1"/>
    </xf>
    <xf numFmtId="3" fontId="10" fillId="26" borderId="48" xfId="20" applyNumberFormat="1" applyFont="1" applyFill="1" applyBorder="1" applyAlignment="1" applyProtection="1">
      <alignment horizontal="center"/>
      <protection locked="0"/>
    </xf>
    <xf numFmtId="4" fontId="132" fillId="7" borderId="8" xfId="20" applyNumberFormat="1" applyFont="1" applyFill="1" applyBorder="1" applyProtection="1">
      <protection locked="0"/>
    </xf>
    <xf numFmtId="4" fontId="44" fillId="14" borderId="19" xfId="0" applyNumberFormat="1" applyFont="1" applyFill="1" applyBorder="1" applyAlignment="1">
      <alignment horizontal="left"/>
    </xf>
    <xf numFmtId="4" fontId="119" fillId="14" borderId="19" xfId="0" applyNumberFormat="1" applyFont="1" applyFill="1" applyBorder="1" applyAlignment="1">
      <alignment horizontal="right"/>
    </xf>
    <xf numFmtId="4" fontId="120" fillId="13" borderId="19" xfId="0" applyNumberFormat="1" applyFont="1" applyFill="1" applyBorder="1" applyAlignment="1">
      <alignment horizontal="right"/>
    </xf>
    <xf numFmtId="0" fontId="61" fillId="36" borderId="15" xfId="0" applyFont="1" applyFill="1" applyBorder="1"/>
    <xf numFmtId="4" fontId="114" fillId="36" borderId="19" xfId="0" applyNumberFormat="1" applyFont="1" applyFill="1" applyBorder="1" applyAlignment="1">
      <alignment horizontal="right"/>
    </xf>
    <xf numFmtId="0" fontId="96" fillId="9" borderId="15" xfId="0" applyFont="1" applyFill="1" applyBorder="1"/>
    <xf numFmtId="4" fontId="97" fillId="9" borderId="19" xfId="0" applyNumberFormat="1" applyFont="1" applyFill="1" applyBorder="1" applyAlignment="1">
      <alignment horizontal="right"/>
    </xf>
    <xf numFmtId="0" fontId="96" fillId="15" borderId="15" xfId="0" applyFont="1" applyFill="1" applyBorder="1"/>
    <xf numFmtId="4" fontId="97" fillId="15" borderId="19" xfId="0" applyNumberFormat="1" applyFont="1" applyFill="1" applyBorder="1" applyAlignment="1">
      <alignment horizontal="right"/>
    </xf>
    <xf numFmtId="0" fontId="61" fillId="35" borderId="15" xfId="0" applyFont="1" applyFill="1" applyBorder="1"/>
    <xf numFmtId="4" fontId="114" fillId="35" borderId="19" xfId="0" applyNumberFormat="1" applyFont="1" applyFill="1" applyBorder="1" applyAlignment="1">
      <alignment horizontal="right"/>
    </xf>
    <xf numFmtId="0" fontId="96" fillId="12" borderId="15" xfId="0" applyFont="1" applyFill="1" applyBorder="1"/>
    <xf numFmtId="4" fontId="97" fillId="12" borderId="19" xfId="0" applyNumberFormat="1" applyFont="1" applyFill="1" applyBorder="1" applyAlignment="1">
      <alignment horizontal="right"/>
    </xf>
    <xf numFmtId="0" fontId="3" fillId="0" borderId="108" xfId="20" applyBorder="1"/>
    <xf numFmtId="0" fontId="3" fillId="0" borderId="7" xfId="20" applyBorder="1"/>
    <xf numFmtId="0" fontId="3" fillId="0" borderId="100" xfId="20" applyBorder="1"/>
    <xf numFmtId="0" fontId="61" fillId="33" borderId="15" xfId="0" applyFont="1" applyFill="1" applyBorder="1"/>
    <xf numFmtId="4" fontId="114" fillId="33" borderId="19" xfId="0" applyNumberFormat="1" applyFont="1" applyFill="1" applyBorder="1" applyAlignment="1">
      <alignment horizontal="right"/>
    </xf>
    <xf numFmtId="0" fontId="121" fillId="37" borderId="15" xfId="0" applyFont="1" applyFill="1" applyBorder="1"/>
    <xf numFmtId="4" fontId="121" fillId="37" borderId="19" xfId="0" applyNumberFormat="1" applyFont="1" applyFill="1" applyBorder="1" applyAlignment="1">
      <alignment horizontal="right"/>
    </xf>
    <xf numFmtId="3" fontId="11" fillId="14" borderId="19" xfId="0" applyNumberFormat="1" applyFont="1" applyFill="1" applyBorder="1" applyAlignment="1">
      <alignment horizontal="left"/>
    </xf>
    <xf numFmtId="3" fontId="40" fillId="14" borderId="19" xfId="0" applyNumberFormat="1" applyFont="1" applyFill="1" applyBorder="1" applyAlignment="1">
      <alignment horizontal="right"/>
    </xf>
    <xf numFmtId="0" fontId="96" fillId="11" borderId="15" xfId="0" applyFont="1" applyFill="1" applyBorder="1"/>
    <xf numFmtId="4" fontId="97" fillId="11" borderId="19" xfId="0" applyNumberFormat="1" applyFont="1" applyFill="1" applyBorder="1" applyAlignment="1">
      <alignment horizontal="right"/>
    </xf>
    <xf numFmtId="4" fontId="11" fillId="26" borderId="18" xfId="0" applyNumberFormat="1" applyFont="1" applyFill="1" applyBorder="1" applyProtection="1">
      <protection locked="0"/>
    </xf>
    <xf numFmtId="4" fontId="11" fillId="26" borderId="38" xfId="0" applyNumberFormat="1" applyFont="1" applyFill="1" applyBorder="1" applyProtection="1">
      <protection locked="0"/>
    </xf>
    <xf numFmtId="4" fontId="11" fillId="26" borderId="60" xfId="0" applyNumberFormat="1" applyFont="1" applyFill="1" applyBorder="1" applyProtection="1">
      <protection locked="0"/>
    </xf>
    <xf numFmtId="4" fontId="11" fillId="26" borderId="43" xfId="0" applyNumberFormat="1" applyFont="1" applyFill="1" applyBorder="1" applyProtection="1">
      <protection locked="0"/>
    </xf>
    <xf numFmtId="182" fontId="11" fillId="26" borderId="18" xfId="0" applyNumberFormat="1" applyFont="1" applyFill="1" applyBorder="1" applyProtection="1">
      <protection locked="0"/>
    </xf>
    <xf numFmtId="4" fontId="9" fillId="24" borderId="5" xfId="20" applyNumberFormat="1" applyFont="1" applyFill="1" applyBorder="1" applyAlignment="1">
      <alignment horizontal="right"/>
    </xf>
    <xf numFmtId="175" fontId="10" fillId="31" borderId="48" xfId="0" applyNumberFormat="1" applyFont="1" applyFill="1" applyBorder="1" applyAlignment="1" applyProtection="1">
      <alignment horizontal="center"/>
      <protection locked="0"/>
    </xf>
    <xf numFmtId="3" fontId="36" fillId="26" borderId="4" xfId="20" applyNumberFormat="1" applyFont="1" applyFill="1" applyBorder="1" applyAlignment="1" applyProtection="1">
      <alignment horizontal="center"/>
      <protection locked="0"/>
    </xf>
    <xf numFmtId="175" fontId="10" fillId="31" borderId="4" xfId="20" applyNumberFormat="1" applyFont="1" applyFill="1" applyBorder="1" applyAlignment="1" applyProtection="1">
      <alignment horizontal="center"/>
      <protection locked="0"/>
    </xf>
    <xf numFmtId="0" fontId="4" fillId="0" borderId="0" xfId="0" applyFont="1" applyAlignment="1">
      <alignment horizontal="left" vertical="top" wrapText="1"/>
    </xf>
    <xf numFmtId="0" fontId="123" fillId="0" borderId="0" xfId="0" applyFont="1" applyAlignment="1">
      <alignment horizontal="center" vertical="center" textRotation="90"/>
    </xf>
    <xf numFmtId="0" fontId="4" fillId="0" borderId="0" xfId="0" applyFont="1" applyAlignment="1">
      <alignment horizontal="left" vertical="center" wrapText="1"/>
    </xf>
    <xf numFmtId="0" fontId="1" fillId="0" borderId="4" xfId="480" applyBorder="1" applyAlignment="1">
      <alignment horizontal="left" vertical="center"/>
    </xf>
    <xf numFmtId="0" fontId="124" fillId="20" borderId="4" xfId="480" applyFont="1" applyFill="1" applyBorder="1" applyAlignment="1">
      <alignment horizontal="left" vertical="center"/>
    </xf>
    <xf numFmtId="0" fontId="125" fillId="0" borderId="0" xfId="480" applyFont="1" applyAlignment="1">
      <alignment horizontal="center"/>
    </xf>
    <xf numFmtId="0" fontId="1" fillId="0" borderId="0" xfId="480" applyAlignment="1">
      <alignment horizontal="left" wrapText="1"/>
    </xf>
    <xf numFmtId="0" fontId="1" fillId="0" borderId="0" xfId="480" applyAlignment="1">
      <alignment horizontal="left"/>
    </xf>
    <xf numFmtId="0" fontId="127" fillId="0" borderId="0" xfId="480" applyFont="1" applyAlignment="1">
      <alignment horizontal="left" vertical="center"/>
    </xf>
    <xf numFmtId="0" fontId="1" fillId="0" borderId="0" xfId="480" applyAlignment="1">
      <alignment horizontal="left" vertical="center" wrapText="1"/>
    </xf>
    <xf numFmtId="4" fontId="11" fillId="0" borderId="3" xfId="0" applyNumberFormat="1" applyFont="1" applyBorder="1" applyAlignment="1">
      <alignment wrapText="1"/>
    </xf>
    <xf numFmtId="4" fontId="11" fillId="0" borderId="58" xfId="0" applyNumberFormat="1" applyFont="1" applyBorder="1" applyAlignment="1">
      <alignment wrapText="1"/>
    </xf>
    <xf numFmtId="0" fontId="55" fillId="17" borderId="9" xfId="0" applyFont="1" applyFill="1" applyBorder="1" applyAlignment="1">
      <alignment horizontal="center" vertical="top" wrapText="1"/>
    </xf>
    <xf numFmtId="0" fontId="55" fillId="17" borderId="34" xfId="0" applyFont="1" applyFill="1" applyBorder="1" applyAlignment="1">
      <alignment horizontal="center" vertical="top" wrapText="1"/>
    </xf>
    <xf numFmtId="0" fontId="55" fillId="17" borderId="11" xfId="0" applyFont="1" applyFill="1" applyBorder="1" applyAlignment="1">
      <alignment horizontal="center" vertical="top" wrapText="1"/>
    </xf>
    <xf numFmtId="0" fontId="82" fillId="18" borderId="99" xfId="20" applyFont="1" applyFill="1" applyBorder="1" applyAlignment="1">
      <alignment horizontal="center" vertical="center" wrapText="1"/>
    </xf>
    <xf numFmtId="0" fontId="82" fillId="18" borderId="52" xfId="20" applyFont="1" applyFill="1" applyBorder="1" applyAlignment="1">
      <alignment horizontal="center" vertical="center" wrapText="1"/>
    </xf>
    <xf numFmtId="0" fontId="82" fillId="18" borderId="100" xfId="20" applyFont="1" applyFill="1" applyBorder="1" applyAlignment="1">
      <alignment horizontal="center" vertical="center" wrapText="1"/>
    </xf>
    <xf numFmtId="0" fontId="82" fillId="18" borderId="15" xfId="20" applyFont="1" applyFill="1" applyBorder="1" applyAlignment="1">
      <alignment horizontal="center" vertical="center" wrapText="1"/>
    </xf>
    <xf numFmtId="0" fontId="82" fillId="18" borderId="0" xfId="20" applyFont="1" applyFill="1" applyAlignment="1">
      <alignment horizontal="center" vertical="center" wrapText="1"/>
    </xf>
    <xf numFmtId="0" fontId="82" fillId="18" borderId="19" xfId="20" applyFont="1" applyFill="1" applyBorder="1" applyAlignment="1">
      <alignment horizontal="center" vertical="center" wrapText="1"/>
    </xf>
    <xf numFmtId="0" fontId="82" fillId="18" borderId="63" xfId="20" applyFont="1" applyFill="1" applyBorder="1" applyAlignment="1">
      <alignment horizontal="center" vertical="center" wrapText="1"/>
    </xf>
    <xf numFmtId="0" fontId="82" fillId="18" borderId="47" xfId="20" applyFont="1" applyFill="1" applyBorder="1" applyAlignment="1">
      <alignment horizontal="center" vertical="center" wrapText="1"/>
    </xf>
    <xf numFmtId="0" fontId="82" fillId="18" borderId="56" xfId="20" applyFont="1" applyFill="1" applyBorder="1" applyAlignment="1">
      <alignment horizontal="center" vertical="center" wrapText="1"/>
    </xf>
    <xf numFmtId="0" fontId="57" fillId="0" borderId="34" xfId="20" applyFont="1" applyBorder="1" applyAlignment="1">
      <alignment horizontal="center" vertical="center" wrapText="1"/>
    </xf>
    <xf numFmtId="0" fontId="22" fillId="0" borderId="73" xfId="20" applyFont="1" applyBorder="1" applyAlignment="1">
      <alignment horizontal="center" wrapText="1"/>
    </xf>
    <xf numFmtId="0" fontId="22" fillId="0" borderId="74" xfId="20" applyFont="1" applyBorder="1" applyAlignment="1">
      <alignment horizontal="center" wrapText="1"/>
    </xf>
    <xf numFmtId="0" fontId="22" fillId="0" borderId="75" xfId="20" applyFont="1" applyBorder="1" applyAlignment="1">
      <alignment horizontal="center" wrapText="1"/>
    </xf>
    <xf numFmtId="0" fontId="13" fillId="0" borderId="64" xfId="20" applyFont="1" applyBorder="1" applyAlignment="1">
      <alignment horizontal="left" wrapText="1"/>
    </xf>
    <xf numFmtId="0" fontId="13" fillId="0" borderId="36" xfId="20" applyFont="1" applyBorder="1" applyAlignment="1">
      <alignment horizontal="left" wrapText="1"/>
    </xf>
    <xf numFmtId="0" fontId="13" fillId="0" borderId="48" xfId="20" applyFont="1" applyBorder="1" applyAlignment="1">
      <alignment horizontal="left" wrapText="1"/>
    </xf>
    <xf numFmtId="17" fontId="56" fillId="0" borderId="47" xfId="20" applyNumberFormat="1" applyFont="1" applyBorder="1" applyAlignment="1">
      <alignment horizontal="center" wrapText="1"/>
    </xf>
    <xf numFmtId="17" fontId="56" fillId="0" borderId="56" xfId="20" applyNumberFormat="1" applyFont="1" applyBorder="1" applyAlignment="1">
      <alignment horizontal="center" wrapText="1"/>
    </xf>
    <xf numFmtId="0" fontId="13" fillId="0" borderId="4" xfId="20" applyFont="1" applyBorder="1" applyAlignment="1">
      <alignment horizontal="left" wrapText="1"/>
    </xf>
    <xf numFmtId="0" fontId="13" fillId="0" borderId="4" xfId="20" applyFont="1" applyBorder="1"/>
    <xf numFmtId="17" fontId="10" fillId="0" borderId="64" xfId="20" applyNumberFormat="1" applyFont="1" applyBorder="1" applyAlignment="1">
      <alignment horizontal="center" wrapText="1"/>
    </xf>
    <xf numFmtId="17" fontId="10" fillId="0" borderId="48" xfId="20" applyNumberFormat="1" applyFont="1" applyBorder="1" applyAlignment="1">
      <alignment horizontal="center" wrapText="1"/>
    </xf>
    <xf numFmtId="0" fontId="13" fillId="0" borderId="4" xfId="20" applyFont="1" applyBorder="1" applyAlignment="1">
      <alignment wrapText="1"/>
    </xf>
    <xf numFmtId="0" fontId="13" fillId="0" borderId="4" xfId="20" applyFont="1" applyBorder="1" applyAlignment="1">
      <alignment horizontal="left"/>
    </xf>
    <xf numFmtId="0" fontId="3" fillId="0" borderId="4" xfId="20" applyBorder="1"/>
    <xf numFmtId="0" fontId="22" fillId="0" borderId="4" xfId="20" applyFont="1" applyBorder="1"/>
    <xf numFmtId="0" fontId="3" fillId="0" borderId="4" xfId="20" applyBorder="1" applyAlignment="1">
      <alignment wrapText="1"/>
    </xf>
    <xf numFmtId="0" fontId="22" fillId="0" borderId="4" xfId="20" applyFont="1" applyBorder="1" applyAlignment="1">
      <alignment horizontal="left" wrapText="1"/>
    </xf>
    <xf numFmtId="0" fontId="22" fillId="0" borderId="4" xfId="20" applyFont="1" applyBorder="1" applyAlignment="1">
      <alignment wrapText="1"/>
    </xf>
    <xf numFmtId="4" fontId="22" fillId="7" borderId="81" xfId="20" applyNumberFormat="1" applyFont="1" applyFill="1" applyBorder="1" applyAlignment="1" applyProtection="1">
      <alignment horizontal="center" wrapText="1"/>
      <protection locked="0"/>
    </xf>
    <xf numFmtId="4" fontId="22" fillId="7" borderId="7" xfId="20" applyNumberFormat="1" applyFont="1" applyFill="1" applyBorder="1" applyAlignment="1" applyProtection="1">
      <alignment horizontal="center" wrapText="1"/>
      <protection locked="0"/>
    </xf>
    <xf numFmtId="0" fontId="85" fillId="0" borderId="12" xfId="0" applyFont="1" applyBorder="1" applyAlignment="1">
      <alignment horizontal="center" wrapText="1"/>
    </xf>
    <xf numFmtId="0" fontId="85" fillId="0" borderId="14" xfId="0" applyFont="1" applyBorder="1" applyAlignment="1">
      <alignment horizontal="center" wrapText="1"/>
    </xf>
    <xf numFmtId="0" fontId="85" fillId="0" borderId="15" xfId="0" applyFont="1" applyBorder="1" applyAlignment="1">
      <alignment horizontal="center" wrapText="1"/>
    </xf>
    <xf numFmtId="0" fontId="85" fillId="0" borderId="19" xfId="0" applyFont="1" applyBorder="1" applyAlignment="1">
      <alignment horizontal="center" wrapText="1"/>
    </xf>
    <xf numFmtId="0" fontId="85" fillId="0" borderId="63" xfId="0" applyFont="1" applyBorder="1" applyAlignment="1">
      <alignment horizontal="center" wrapText="1"/>
    </xf>
    <xf numFmtId="0" fontId="85" fillId="0" borderId="56" xfId="0" applyFont="1" applyBorder="1" applyAlignment="1">
      <alignment horizontal="center" wrapText="1"/>
    </xf>
    <xf numFmtId="0" fontId="45" fillId="0" borderId="99" xfId="0" applyFont="1" applyBorder="1" applyAlignment="1">
      <alignment horizontal="center"/>
    </xf>
    <xf numFmtId="0" fontId="45" fillId="0" borderId="100" xfId="0" applyFont="1" applyBorder="1" applyAlignment="1">
      <alignment horizontal="center"/>
    </xf>
    <xf numFmtId="0" fontId="45" fillId="0" borderId="15" xfId="0" applyFont="1" applyBorder="1" applyAlignment="1">
      <alignment horizontal="center"/>
    </xf>
    <xf numFmtId="0" fontId="45" fillId="0" borderId="19" xfId="0" applyFont="1" applyBorder="1" applyAlignment="1">
      <alignment horizontal="center"/>
    </xf>
    <xf numFmtId="0" fontId="45" fillId="0" borderId="63" xfId="0" applyFont="1" applyBorder="1" applyAlignment="1">
      <alignment horizontal="center"/>
    </xf>
    <xf numFmtId="0" fontId="45" fillId="0" borderId="56" xfId="0" applyFont="1" applyBorder="1" applyAlignment="1">
      <alignment horizontal="center"/>
    </xf>
    <xf numFmtId="0" fontId="3" fillId="0" borderId="16" xfId="20" applyBorder="1" applyAlignment="1">
      <alignment horizontal="left"/>
    </xf>
    <xf numFmtId="0" fontId="3" fillId="0" borderId="17" xfId="20" applyBorder="1" applyAlignment="1">
      <alignment horizontal="left"/>
    </xf>
    <xf numFmtId="0" fontId="3" fillId="0" borderId="27" xfId="20" applyBorder="1" applyAlignment="1">
      <alignment horizontal="left"/>
    </xf>
    <xf numFmtId="0" fontId="3" fillId="0" borderId="99" xfId="20" applyBorder="1" applyAlignment="1">
      <alignment horizontal="left"/>
    </xf>
    <xf numFmtId="0" fontId="3" fillId="0" borderId="52" xfId="20" applyBorder="1" applyAlignment="1">
      <alignment horizontal="left"/>
    </xf>
    <xf numFmtId="0" fontId="3" fillId="0" borderId="100" xfId="20" applyBorder="1" applyAlignment="1">
      <alignment horizontal="left"/>
    </xf>
    <xf numFmtId="0" fontId="3" fillId="0" borderId="15" xfId="20" applyBorder="1" applyAlignment="1">
      <alignment horizontal="left"/>
    </xf>
    <xf numFmtId="0" fontId="3" fillId="0" borderId="0" xfId="20" applyAlignment="1">
      <alignment horizontal="left"/>
    </xf>
    <xf numFmtId="0" fontId="3" fillId="0" borderId="19" xfId="20" applyBorder="1" applyAlignment="1">
      <alignment horizontal="left"/>
    </xf>
    <xf numFmtId="0" fontId="3" fillId="0" borderId="81" xfId="20" applyBorder="1" applyAlignment="1">
      <alignment horizontal="left"/>
    </xf>
    <xf numFmtId="0" fontId="3" fillId="0" borderId="3" xfId="20" applyBorder="1" applyAlignment="1">
      <alignment horizontal="left"/>
    </xf>
    <xf numFmtId="0" fontId="3" fillId="0" borderId="7" xfId="20" applyBorder="1" applyAlignment="1">
      <alignment horizontal="left"/>
    </xf>
    <xf numFmtId="0" fontId="104" fillId="0" borderId="64" xfId="20" applyFont="1" applyBorder="1" applyAlignment="1">
      <alignment horizontal="center"/>
    </xf>
    <xf numFmtId="0" fontId="104" fillId="0" borderId="48" xfId="20" applyFont="1" applyBorder="1" applyAlignment="1">
      <alignment horizontal="center"/>
    </xf>
    <xf numFmtId="17" fontId="105" fillId="0" borderId="64" xfId="20" applyNumberFormat="1" applyFont="1" applyBorder="1" applyAlignment="1">
      <alignment horizontal="center" wrapText="1"/>
    </xf>
    <xf numFmtId="17" fontId="105" fillId="0" borderId="48" xfId="20" applyNumberFormat="1" applyFont="1" applyBorder="1" applyAlignment="1">
      <alignment horizontal="center" wrapText="1"/>
    </xf>
    <xf numFmtId="0" fontId="3" fillId="0" borderId="28" xfId="20" applyBorder="1" applyAlignment="1">
      <alignment horizontal="left" wrapText="1"/>
    </xf>
    <xf numFmtId="0" fontId="3" fillId="0" borderId="0" xfId="20" applyAlignment="1">
      <alignment horizontal="left" wrapText="1"/>
    </xf>
    <xf numFmtId="0" fontId="3" fillId="0" borderId="19" xfId="20" applyBorder="1" applyAlignment="1">
      <alignment horizontal="left" wrapText="1"/>
    </xf>
    <xf numFmtId="0" fontId="22" fillId="0" borderId="28" xfId="20" applyFont="1" applyBorder="1" applyAlignment="1">
      <alignment horizontal="left"/>
    </xf>
    <xf numFmtId="0" fontId="22" fillId="0" borderId="0" xfId="20" applyFont="1" applyAlignment="1">
      <alignment horizontal="left"/>
    </xf>
    <xf numFmtId="0" fontId="22" fillId="0" borderId="19" xfId="20" applyFont="1" applyBorder="1" applyAlignment="1">
      <alignment horizontal="left"/>
    </xf>
    <xf numFmtId="0" fontId="22" fillId="0" borderId="28" xfId="20" applyFont="1" applyBorder="1" applyAlignment="1">
      <alignment horizontal="left" wrapText="1"/>
    </xf>
    <xf numFmtId="0" fontId="22" fillId="0" borderId="0" xfId="20" applyFont="1" applyAlignment="1">
      <alignment horizontal="left" wrapText="1"/>
    </xf>
    <xf numFmtId="0" fontId="22" fillId="0" borderId="19" xfId="20" applyFont="1" applyBorder="1" applyAlignment="1">
      <alignment horizontal="left" wrapText="1"/>
    </xf>
    <xf numFmtId="0" fontId="13" fillId="0" borderId="28" xfId="20" applyFont="1" applyBorder="1" applyAlignment="1">
      <alignment horizontal="left"/>
    </xf>
    <xf numFmtId="0" fontId="13" fillId="0" borderId="0" xfId="20" applyFont="1" applyAlignment="1">
      <alignment horizontal="left"/>
    </xf>
    <xf numFmtId="0" fontId="13" fillId="0" borderId="19" xfId="20" applyFont="1" applyBorder="1" applyAlignment="1">
      <alignment horizontal="left"/>
    </xf>
    <xf numFmtId="4" fontId="22" fillId="7" borderId="16" xfId="20" applyNumberFormat="1" applyFont="1" applyFill="1" applyBorder="1" applyAlignment="1" applyProtection="1">
      <alignment horizontal="center"/>
      <protection locked="0"/>
    </xf>
    <xf numFmtId="4" fontId="22" fillId="7" borderId="27" xfId="20" applyNumberFormat="1" applyFont="1" applyFill="1" applyBorder="1" applyAlignment="1" applyProtection="1">
      <alignment horizontal="center"/>
      <protection locked="0"/>
    </xf>
    <xf numFmtId="0" fontId="13" fillId="0" borderId="28" xfId="20" applyFont="1" applyBorder="1" applyAlignment="1">
      <alignment horizontal="left" wrapText="1"/>
    </xf>
    <xf numFmtId="0" fontId="13" fillId="0" borderId="0" xfId="20" applyFont="1" applyAlignment="1">
      <alignment horizontal="left" wrapText="1"/>
    </xf>
    <xf numFmtId="0" fontId="13" fillId="0" borderId="19" xfId="20" applyFont="1" applyBorder="1" applyAlignment="1">
      <alignment horizontal="left" wrapText="1"/>
    </xf>
    <xf numFmtId="0" fontId="93" fillId="0" borderId="28" xfId="20" applyFont="1" applyBorder="1" applyAlignment="1">
      <alignment horizontal="left" wrapText="1"/>
    </xf>
    <xf numFmtId="0" fontId="93" fillId="0" borderId="0" xfId="20" applyFont="1" applyAlignment="1">
      <alignment horizontal="left" wrapText="1"/>
    </xf>
    <xf numFmtId="0" fontId="93" fillId="0" borderId="19" xfId="20" applyFont="1" applyBorder="1" applyAlignment="1">
      <alignment horizontal="left" wrapText="1"/>
    </xf>
    <xf numFmtId="0" fontId="13" fillId="0" borderId="123" xfId="20" applyFont="1" applyBorder="1" applyAlignment="1">
      <alignment horizontal="left"/>
    </xf>
    <xf numFmtId="0" fontId="13" fillId="0" borderId="47" xfId="20" applyFont="1" applyBorder="1" applyAlignment="1">
      <alignment horizontal="left"/>
    </xf>
    <xf numFmtId="0" fontId="13" fillId="0" borderId="56" xfId="20" applyFont="1" applyBorder="1" applyAlignment="1">
      <alignment horizontal="left"/>
    </xf>
    <xf numFmtId="0" fontId="3" fillId="0" borderId="66" xfId="20" applyBorder="1" applyAlignment="1">
      <alignment horizontal="left" wrapText="1"/>
    </xf>
    <xf numFmtId="0" fontId="3" fillId="0" borderId="13" xfId="20" applyBorder="1" applyAlignment="1">
      <alignment horizontal="left" wrapText="1"/>
    </xf>
    <xf numFmtId="0" fontId="3" fillId="0" borderId="14" xfId="20" applyBorder="1" applyAlignment="1">
      <alignment horizontal="left" wrapText="1"/>
    </xf>
    <xf numFmtId="0" fontId="3" fillId="0" borderId="28" xfId="20" applyBorder="1" applyAlignment="1">
      <alignment horizontal="left"/>
    </xf>
    <xf numFmtId="0" fontId="22" fillId="0" borderId="28" xfId="20" applyFont="1" applyBorder="1"/>
    <xf numFmtId="0" fontId="22" fillId="0" borderId="0" xfId="20" applyFont="1"/>
    <xf numFmtId="0" fontId="22" fillId="0" borderId="19" xfId="20" applyFont="1" applyBorder="1"/>
    <xf numFmtId="0" fontId="3" fillId="0" borderId="32" xfId="19" applyFont="1" applyBorder="1" applyAlignment="1">
      <alignment horizontal="center"/>
    </xf>
    <xf numFmtId="0" fontId="4" fillId="0" borderId="8" xfId="19" applyBorder="1" applyAlignment="1">
      <alignment horizontal="center"/>
    </xf>
    <xf numFmtId="0" fontId="13" fillId="0" borderId="9" xfId="20" applyFont="1" applyBorder="1" applyAlignment="1">
      <alignment horizontal="center" vertical="top" textRotation="180"/>
    </xf>
    <xf numFmtId="0" fontId="0" fillId="0" borderId="34" xfId="0" applyBorder="1" applyAlignment="1">
      <alignment vertical="top"/>
    </xf>
    <xf numFmtId="0" fontId="0" fillId="0" borderId="34" xfId="0" applyBorder="1"/>
    <xf numFmtId="0" fontId="0" fillId="0" borderId="11" xfId="0" applyBorder="1"/>
    <xf numFmtId="0" fontId="20" fillId="0" borderId="9" xfId="20" applyFont="1" applyBorder="1" applyAlignment="1">
      <alignment horizontal="center" vertical="top" textRotation="180"/>
    </xf>
    <xf numFmtId="0" fontId="45" fillId="0" borderId="34" xfId="0" applyFont="1" applyBorder="1" applyAlignment="1">
      <alignment vertical="top"/>
    </xf>
    <xf numFmtId="0" fontId="45" fillId="0" borderId="34" xfId="0" applyFont="1" applyBorder="1"/>
    <xf numFmtId="0" fontId="45" fillId="0" borderId="11" xfId="0" applyFont="1" applyBorder="1"/>
  </cellXfs>
  <cellStyles count="481">
    <cellStyle name="1000-sep (2 dec) 2" xfId="1" xr:uid="{00000000-0005-0000-0000-000001000000}"/>
    <cellStyle name="1000-sep+,00_aktuel-aar" xfId="2" xr:uid="{00000000-0005-0000-0000-000002000000}"/>
    <cellStyle name="12" xfId="3" xr:uid="{00000000-0005-0000-0000-000003000000}"/>
    <cellStyle name="14" xfId="4" xr:uid="{00000000-0005-0000-0000-000004000000}"/>
    <cellStyle name="9" xfId="5" xr:uid="{00000000-0005-0000-0000-000005000000}"/>
    <cellStyle name="Besøgt link" xfId="27" builtinId="9" hidden="1"/>
    <cellStyle name="Besøgt link" xfId="28" builtinId="9" hidden="1"/>
    <cellStyle name="Besøgt link" xfId="29" builtinId="9" hidden="1"/>
    <cellStyle name="Besøgt link" xfId="31" builtinId="9" hidden="1"/>
    <cellStyle name="Besøgt link" xfId="32" builtinId="9" hidden="1"/>
    <cellStyle name="Besøgt link" xfId="33" builtinId="9" hidden="1"/>
    <cellStyle name="Besøgt link" xfId="34" builtinId="9" hidden="1"/>
    <cellStyle name="Besøgt link" xfId="35" builtinId="9" hidden="1"/>
    <cellStyle name="Besøgt link" xfId="36" builtinId="9" hidden="1"/>
    <cellStyle name="Besøgt link" xfId="37" builtinId="9" hidden="1"/>
    <cellStyle name="Besøgt link" xfId="38" builtinId="9" hidden="1"/>
    <cellStyle name="Besøgt link" xfId="39" builtinId="9" hidden="1"/>
    <cellStyle name="Besøgt link" xfId="40" builtinId="9" hidden="1"/>
    <cellStyle name="Besøgt link" xfId="41" builtinId="9" hidden="1"/>
    <cellStyle name="Besøgt link" xfId="42" builtinId="9" hidden="1"/>
    <cellStyle name="Besøgt link" xfId="43" builtinId="9" hidden="1"/>
    <cellStyle name="Besøgt link" xfId="44" builtinId="9" hidden="1"/>
    <cellStyle name="Besøgt link" xfId="45" builtinId="9" hidden="1"/>
    <cellStyle name="Besøgt link" xfId="46" builtinId="9" hidden="1"/>
    <cellStyle name="Besøgt link" xfId="47" builtinId="9" hidden="1"/>
    <cellStyle name="Besøgt link" xfId="48" builtinId="9" hidden="1"/>
    <cellStyle name="Besøgt link" xfId="49" builtinId="9" hidden="1"/>
    <cellStyle name="Besøgt link" xfId="50" builtinId="9" hidden="1"/>
    <cellStyle name="Besøgt link" xfId="51" builtinId="9" hidden="1"/>
    <cellStyle name="Besøgt link" xfId="52" builtinId="9" hidden="1"/>
    <cellStyle name="Besøgt link" xfId="53" builtinId="9" hidden="1"/>
    <cellStyle name="Besøgt link" xfId="54" builtinId="9" hidden="1"/>
    <cellStyle name="Besøgt link" xfId="55" builtinId="9" hidden="1"/>
    <cellStyle name="Besøgt link" xfId="56" builtinId="9" hidden="1"/>
    <cellStyle name="Besøgt link" xfId="58" builtinId="9" hidden="1"/>
    <cellStyle name="Besøgt link" xfId="59" builtinId="9" hidden="1"/>
    <cellStyle name="Besøgt link" xfId="60" builtinId="9" hidden="1"/>
    <cellStyle name="Besøgt link" xfId="61" builtinId="9" hidden="1"/>
    <cellStyle name="Besøgt link" xfId="62" builtinId="9" hidden="1"/>
    <cellStyle name="Besøgt link" xfId="63" builtinId="9" hidden="1"/>
    <cellStyle name="Besøgt link" xfId="64" builtinId="9" hidden="1"/>
    <cellStyle name="Besøgt link" xfId="65" builtinId="9" hidden="1"/>
    <cellStyle name="Besøgt link" xfId="66" builtinId="9" hidden="1"/>
    <cellStyle name="Besøgt link" xfId="67" builtinId="9" hidden="1"/>
    <cellStyle name="Besøgt link" xfId="68" builtinId="9" hidden="1"/>
    <cellStyle name="Besøgt link" xfId="69" builtinId="9" hidden="1"/>
    <cellStyle name="Besøgt link" xfId="70" builtinId="9" hidden="1"/>
    <cellStyle name="Besøgt link" xfId="71" builtinId="9" hidden="1"/>
    <cellStyle name="Besøgt link" xfId="72" builtinId="9" hidden="1"/>
    <cellStyle name="Besøgt link" xfId="73" builtinId="9" hidden="1"/>
    <cellStyle name="Besøgt link" xfId="74" builtinId="9" hidden="1"/>
    <cellStyle name="Besøgt link" xfId="75" builtinId="9" hidden="1"/>
    <cellStyle name="Besøgt link" xfId="76" builtinId="9" hidden="1"/>
    <cellStyle name="Besøgt link" xfId="77" builtinId="9" hidden="1"/>
    <cellStyle name="Besøgt link" xfId="78" builtinId="9" hidden="1"/>
    <cellStyle name="Besøgt link" xfId="79" builtinId="9" hidden="1"/>
    <cellStyle name="Besøgt link" xfId="80" builtinId="9" hidden="1"/>
    <cellStyle name="Besøgt link" xfId="81" builtinId="9" hidden="1"/>
    <cellStyle name="Besøgt link" xfId="82" builtinId="9" hidden="1"/>
    <cellStyle name="Besøgt link" xfId="83" builtinId="9" hidden="1"/>
    <cellStyle name="Besøgt link" xfId="84" builtinId="9" hidden="1"/>
    <cellStyle name="Besøgt link" xfId="85" builtinId="9" hidden="1"/>
    <cellStyle name="Besøgt link" xfId="86" builtinId="9" hidden="1"/>
    <cellStyle name="Besøgt link" xfId="87" builtinId="9" hidden="1"/>
    <cellStyle name="Besøgt link" xfId="88" builtinId="9" hidden="1"/>
    <cellStyle name="Besøgt link" xfId="89" builtinId="9" hidden="1"/>
    <cellStyle name="Besøgt link" xfId="90" builtinId="9" hidden="1"/>
    <cellStyle name="Besøgt link" xfId="91" builtinId="9" hidden="1"/>
    <cellStyle name="Besøgt link" xfId="92" builtinId="9" hidden="1"/>
    <cellStyle name="Besøgt link" xfId="93" builtinId="9" hidden="1"/>
    <cellStyle name="Besøgt link" xfId="94" builtinId="9" hidden="1"/>
    <cellStyle name="Besøgt link" xfId="95" builtinId="9" hidden="1"/>
    <cellStyle name="Besøgt link" xfId="96" builtinId="9" hidden="1"/>
    <cellStyle name="Besøgt link" xfId="97" builtinId="9" hidden="1"/>
    <cellStyle name="Besøgt link" xfId="98" builtinId="9" hidden="1"/>
    <cellStyle name="Besøgt link" xfId="99" builtinId="9" hidden="1"/>
    <cellStyle name="Besøgt link" xfId="100" builtinId="9" hidden="1"/>
    <cellStyle name="Besøgt link" xfId="101" builtinId="9" hidden="1"/>
    <cellStyle name="Besøgt link" xfId="102" builtinId="9" hidden="1"/>
    <cellStyle name="Besøgt link" xfId="103" builtinId="9" hidden="1"/>
    <cellStyle name="Besøgt link" xfId="104" builtinId="9" hidden="1"/>
    <cellStyle name="Besøgt link" xfId="105" builtinId="9" hidden="1"/>
    <cellStyle name="Besøgt link" xfId="106" builtinId="9" hidden="1"/>
    <cellStyle name="Besøgt link" xfId="107" builtinId="9" hidden="1"/>
    <cellStyle name="Besøgt link" xfId="108" builtinId="9" hidden="1"/>
    <cellStyle name="Besøgt link" xfId="109" builtinId="9" hidden="1"/>
    <cellStyle name="Besøgt link" xfId="110" builtinId="9" hidden="1"/>
    <cellStyle name="Besøgt link" xfId="111" builtinId="9" hidden="1"/>
    <cellStyle name="Besøgt link" xfId="112" builtinId="9" hidden="1"/>
    <cellStyle name="Besøgt link" xfId="113" builtinId="9" hidden="1"/>
    <cellStyle name="Besøgt link" xfId="114" builtinId="9" hidden="1"/>
    <cellStyle name="Besøgt link" xfId="115" builtinId="9" hidden="1"/>
    <cellStyle name="Besøgt link" xfId="116" builtinId="9" hidden="1"/>
    <cellStyle name="Besøgt link" xfId="117" builtinId="9" hidden="1"/>
    <cellStyle name="Besøgt link" xfId="118" builtinId="9" hidden="1"/>
    <cellStyle name="Besøgt link" xfId="119" builtinId="9" hidden="1"/>
    <cellStyle name="Besøgt link" xfId="120" builtinId="9" hidden="1"/>
    <cellStyle name="Besøgt link" xfId="121" builtinId="9" hidden="1"/>
    <cellStyle name="Besøgt link" xfId="122" builtinId="9" hidden="1"/>
    <cellStyle name="Besøgt link" xfId="123" builtinId="9" hidden="1"/>
    <cellStyle name="Besøgt link" xfId="124" builtinId="9" hidden="1"/>
    <cellStyle name="Besøgt link" xfId="125" builtinId="9" hidden="1"/>
    <cellStyle name="Besøgt link" xfId="126" builtinId="9" hidden="1"/>
    <cellStyle name="Besøgt link" xfId="127" builtinId="9" hidden="1"/>
    <cellStyle name="Besøgt link" xfId="128" builtinId="9" hidden="1"/>
    <cellStyle name="Besøgt link" xfId="129" builtinId="9" hidden="1"/>
    <cellStyle name="Besøgt link" xfId="130" builtinId="9" hidden="1"/>
    <cellStyle name="Besøgt link" xfId="131" builtinId="9" hidden="1"/>
    <cellStyle name="Besøgt link" xfId="132" builtinId="9" hidden="1"/>
    <cellStyle name="Besøgt link" xfId="133" builtinId="9" hidden="1"/>
    <cellStyle name="Besøgt link" xfId="134" builtinId="9" hidden="1"/>
    <cellStyle name="Besøgt link" xfId="135" builtinId="9" hidden="1"/>
    <cellStyle name="Besøgt link" xfId="136" builtinId="9" hidden="1"/>
    <cellStyle name="Besøgt link" xfId="137" builtinId="9" hidden="1"/>
    <cellStyle name="Besøgt link" xfId="138" builtinId="9" hidden="1"/>
    <cellStyle name="Besøgt link" xfId="139" builtinId="9" hidden="1"/>
    <cellStyle name="Besøgt link" xfId="140" builtinId="9" hidden="1"/>
    <cellStyle name="Besøgt link" xfId="141" builtinId="9" hidden="1"/>
    <cellStyle name="Besøgt link" xfId="142" builtinId="9" hidden="1"/>
    <cellStyle name="Besøgt link" xfId="143" builtinId="9" hidden="1"/>
    <cellStyle name="Besøgt link" xfId="144" builtinId="9" hidden="1"/>
    <cellStyle name="Besøgt link" xfId="145" builtinId="9" hidden="1"/>
    <cellStyle name="Besøgt link" xfId="146" builtinId="9" hidden="1"/>
    <cellStyle name="Besøgt link" xfId="147" builtinId="9" hidden="1"/>
    <cellStyle name="Besøgt link" xfId="148" builtinId="9" hidden="1"/>
    <cellStyle name="Besøgt link" xfId="149" builtinId="9" hidden="1"/>
    <cellStyle name="Besøgt link" xfId="150" builtinId="9" hidden="1"/>
    <cellStyle name="Besøgt link" xfId="151" builtinId="9" hidden="1"/>
    <cellStyle name="Besøgt link" xfId="152" builtinId="9" hidden="1"/>
    <cellStyle name="Besøgt link" xfId="153" builtinId="9" hidden="1"/>
    <cellStyle name="Besøgt link" xfId="154" builtinId="9" hidden="1"/>
    <cellStyle name="Besøgt link" xfId="155" builtinId="9" hidden="1"/>
    <cellStyle name="Besøgt link" xfId="156" builtinId="9" hidden="1"/>
    <cellStyle name="Besøgt link" xfId="157" builtinId="9" hidden="1"/>
    <cellStyle name="Besøgt link" xfId="158" builtinId="9" hidden="1"/>
    <cellStyle name="Besøgt link" xfId="159" builtinId="9" hidden="1"/>
    <cellStyle name="Besøgt link" xfId="160" builtinId="9" hidden="1"/>
    <cellStyle name="Besøgt link" xfId="161" builtinId="9" hidden="1"/>
    <cellStyle name="Besøgt link" xfId="162" builtinId="9" hidden="1"/>
    <cellStyle name="Besøgt link" xfId="163" builtinId="9" hidden="1"/>
    <cellStyle name="Besøgt link" xfId="164" builtinId="9" hidden="1"/>
    <cellStyle name="Besøgt link" xfId="165" builtinId="9" hidden="1"/>
    <cellStyle name="Besøgt link" xfId="166" builtinId="9" hidden="1"/>
    <cellStyle name="Besøgt link" xfId="167" builtinId="9" hidden="1"/>
    <cellStyle name="Besøgt link" xfId="168" builtinId="9" hidden="1"/>
    <cellStyle name="Besøgt link" xfId="169" builtinId="9" hidden="1"/>
    <cellStyle name="Besøgt link" xfId="170" builtinId="9" hidden="1"/>
    <cellStyle name="Besøgt link" xfId="171" builtinId="9" hidden="1"/>
    <cellStyle name="Besøgt link" xfId="172" builtinId="9" hidden="1"/>
    <cellStyle name="Besøgt link" xfId="173" builtinId="9" hidden="1"/>
    <cellStyle name="Besøgt link" xfId="174" builtinId="9" hidden="1"/>
    <cellStyle name="Besøgt link" xfId="175" builtinId="9" hidden="1"/>
    <cellStyle name="Besøgt link" xfId="176" builtinId="9" hidden="1"/>
    <cellStyle name="Besøgt link" xfId="177" builtinId="9" hidden="1"/>
    <cellStyle name="Besøgt link" xfId="178" builtinId="9" hidden="1"/>
    <cellStyle name="Besøgt link" xfId="179" builtinId="9" hidden="1"/>
    <cellStyle name="Besøgt link" xfId="180" builtinId="9" hidden="1"/>
    <cellStyle name="Besøgt link" xfId="181" builtinId="9" hidden="1"/>
    <cellStyle name="Besøgt link" xfId="182" builtinId="9" hidden="1"/>
    <cellStyle name="Besøgt link" xfId="183" builtinId="9" hidden="1"/>
    <cellStyle name="Besøgt link" xfId="184" builtinId="9" hidden="1"/>
    <cellStyle name="Besøgt link" xfId="185" builtinId="9" hidden="1"/>
    <cellStyle name="Besøgt link" xfId="186" builtinId="9" hidden="1"/>
    <cellStyle name="Besøgt link" xfId="187" builtinId="9" hidden="1"/>
    <cellStyle name="Besøgt link" xfId="188" builtinId="9" hidden="1"/>
    <cellStyle name="Besøgt link" xfId="189" builtinId="9" hidden="1"/>
    <cellStyle name="Besøgt link" xfId="190" builtinId="9" hidden="1"/>
    <cellStyle name="Besøgt link" xfId="191" builtinId="9" hidden="1"/>
    <cellStyle name="Besøgt link" xfId="192" builtinId="9" hidden="1"/>
    <cellStyle name="Besøgt link" xfId="193" builtinId="9" hidden="1"/>
    <cellStyle name="Besøgt link" xfId="194" builtinId="9" hidden="1"/>
    <cellStyle name="Besøgt link" xfId="195" builtinId="9" hidden="1"/>
    <cellStyle name="Besøgt link" xfId="196" builtinId="9" hidden="1"/>
    <cellStyle name="Besøgt link" xfId="197" builtinId="9" hidden="1"/>
    <cellStyle name="Besøgt link" xfId="198" builtinId="9" hidden="1"/>
    <cellStyle name="Besøgt link" xfId="199" builtinId="9" hidden="1"/>
    <cellStyle name="Besøgt link" xfId="200" builtinId="9" hidden="1"/>
    <cellStyle name="Besøgt link" xfId="201" builtinId="9" hidden="1"/>
    <cellStyle name="Besøgt link" xfId="202" builtinId="9" hidden="1"/>
    <cellStyle name="Besøgt link" xfId="203" builtinId="9" hidden="1"/>
    <cellStyle name="Besøgt link" xfId="204" builtinId="9" hidden="1"/>
    <cellStyle name="Besøgt link" xfId="205" builtinId="9" hidden="1"/>
    <cellStyle name="Besøgt link" xfId="206" builtinId="9" hidden="1"/>
    <cellStyle name="Besøgt link" xfId="207" builtinId="9" hidden="1"/>
    <cellStyle name="Besøgt link" xfId="208" builtinId="9" hidden="1"/>
    <cellStyle name="Besøgt link" xfId="209" builtinId="9" hidden="1"/>
    <cellStyle name="Besøgt link" xfId="211" builtinId="9" hidden="1"/>
    <cellStyle name="Besøgt link" xfId="212" builtinId="9" hidden="1"/>
    <cellStyle name="Besøgt link" xfId="213" builtinId="9" hidden="1"/>
    <cellStyle name="Besøgt link" xfId="214" builtinId="9" hidden="1"/>
    <cellStyle name="Besøgt link" xfId="215" builtinId="9" hidden="1"/>
    <cellStyle name="Besøgt link" xfId="216" builtinId="9" hidden="1"/>
    <cellStyle name="Besøgt link" xfId="217" builtinId="9" hidden="1"/>
    <cellStyle name="Besøgt link" xfId="218" builtinId="9" hidden="1"/>
    <cellStyle name="Besøgt link" xfId="219" builtinId="9" hidden="1"/>
    <cellStyle name="Besøgt link" xfId="220" builtinId="9" hidden="1"/>
    <cellStyle name="Besøgt link" xfId="221" builtinId="9" hidden="1"/>
    <cellStyle name="Besøgt link" xfId="222" builtinId="9" hidden="1"/>
    <cellStyle name="Besøgt link" xfId="223" builtinId="9" hidden="1"/>
    <cellStyle name="Besøgt link" xfId="224" builtinId="9" hidden="1"/>
    <cellStyle name="Besøgt link" xfId="225" builtinId="9" hidden="1"/>
    <cellStyle name="Besøgt link" xfId="226" builtinId="9" hidden="1"/>
    <cellStyle name="Besøgt link" xfId="227" builtinId="9" hidden="1"/>
    <cellStyle name="Besøgt link" xfId="228" builtinId="9" hidden="1"/>
    <cellStyle name="Besøgt link" xfId="229" builtinId="9" hidden="1"/>
    <cellStyle name="Besøgt link" xfId="230" builtinId="9" hidden="1"/>
    <cellStyle name="Besøgt link" xfId="231" builtinId="9" hidden="1"/>
    <cellStyle name="Besøgt link" xfId="232" builtinId="9" hidden="1"/>
    <cellStyle name="Besøgt link" xfId="233" builtinId="9" hidden="1"/>
    <cellStyle name="Besøgt link" xfId="234" builtinId="9" hidden="1"/>
    <cellStyle name="Besøgt link" xfId="235" builtinId="9" hidden="1"/>
    <cellStyle name="Besøgt link" xfId="236" builtinId="9" hidden="1"/>
    <cellStyle name="Besøgt link" xfId="237" builtinId="9" hidden="1"/>
    <cellStyle name="Besøgt link" xfId="238" builtinId="9" hidden="1"/>
    <cellStyle name="Besøgt link" xfId="239" builtinId="9" hidden="1"/>
    <cellStyle name="Besøgt link" xfId="240" builtinId="9" hidden="1"/>
    <cellStyle name="Besøgt link" xfId="241" builtinId="9" hidden="1"/>
    <cellStyle name="Besøgt link" xfId="242" builtinId="9" hidden="1"/>
    <cellStyle name="Besøgt link" xfId="243" builtinId="9" hidden="1"/>
    <cellStyle name="Besøgt link" xfId="244" builtinId="9" hidden="1"/>
    <cellStyle name="Besøgt link" xfId="245" builtinId="9" hidden="1"/>
    <cellStyle name="Besøgt link" xfId="246" builtinId="9" hidden="1"/>
    <cellStyle name="Besøgt link" xfId="247" builtinId="9" hidden="1"/>
    <cellStyle name="Besøgt link" xfId="248" builtinId="9" hidden="1"/>
    <cellStyle name="Besøgt link" xfId="249" builtinId="9" hidden="1"/>
    <cellStyle name="Besøgt link" xfId="250" builtinId="9" hidden="1"/>
    <cellStyle name="Besøgt link" xfId="251" builtinId="9" hidden="1"/>
    <cellStyle name="Besøgt link" xfId="252" builtinId="9" hidden="1"/>
    <cellStyle name="Besøgt link" xfId="253" builtinId="9" hidden="1"/>
    <cellStyle name="Besøgt link" xfId="254" builtinId="9" hidden="1"/>
    <cellStyle name="Besøgt link" xfId="255" builtinId="9" hidden="1"/>
    <cellStyle name="Besøgt link" xfId="256" builtinId="9" hidden="1"/>
    <cellStyle name="Besøgt link" xfId="257" builtinId="9" hidden="1"/>
    <cellStyle name="Besøgt link" xfId="258" builtinId="9" hidden="1"/>
    <cellStyle name="Besøgt link" xfId="259" builtinId="9" hidden="1"/>
    <cellStyle name="Besøgt link" xfId="260" builtinId="9" hidden="1"/>
    <cellStyle name="Besøgt link" xfId="261" builtinId="9" hidden="1"/>
    <cellStyle name="Besøgt link" xfId="262" builtinId="9" hidden="1"/>
    <cellStyle name="Besøgt link" xfId="263" builtinId="9" hidden="1"/>
    <cellStyle name="Besøgt link" xfId="264" builtinId="9" hidden="1"/>
    <cellStyle name="Besøgt link" xfId="265" builtinId="9" hidden="1"/>
    <cellStyle name="Besøgt link" xfId="266" builtinId="9" hidden="1"/>
    <cellStyle name="Besøgt link" xfId="267" builtinId="9" hidden="1"/>
    <cellStyle name="Besøgt link" xfId="268" builtinId="9" hidden="1"/>
    <cellStyle name="Besøgt link" xfId="269" builtinId="9" hidden="1"/>
    <cellStyle name="Besøgt link" xfId="270" builtinId="9" hidden="1"/>
    <cellStyle name="Besøgt link" xfId="271" builtinId="9" hidden="1"/>
    <cellStyle name="Besøgt link" xfId="272" builtinId="9" hidden="1"/>
    <cellStyle name="Besøgt link" xfId="273" builtinId="9" hidden="1"/>
    <cellStyle name="Besøgt link" xfId="274" builtinId="9" hidden="1"/>
    <cellStyle name="Besøgt link" xfId="275" builtinId="9" hidden="1"/>
    <cellStyle name="Besøgt link" xfId="276" builtinId="9" hidden="1"/>
    <cellStyle name="Besøgt link" xfId="277" builtinId="9" hidden="1"/>
    <cellStyle name="Besøgt link" xfId="278" builtinId="9" hidden="1"/>
    <cellStyle name="Besøgt link" xfId="279" builtinId="9" hidden="1"/>
    <cellStyle name="Besøgt link" xfId="280" builtinId="9" hidden="1"/>
    <cellStyle name="Besøgt link" xfId="281" builtinId="9" hidden="1"/>
    <cellStyle name="Besøgt link" xfId="282" builtinId="9" hidden="1"/>
    <cellStyle name="Besøgt link" xfId="283" builtinId="9" hidden="1"/>
    <cellStyle name="Besøgt link" xfId="284" builtinId="9" hidden="1"/>
    <cellStyle name="Besøgt link" xfId="285" builtinId="9" hidden="1"/>
    <cellStyle name="Besøgt link" xfId="286" builtinId="9" hidden="1"/>
    <cellStyle name="Besøgt link" xfId="287" builtinId="9" hidden="1"/>
    <cellStyle name="Besøgt link" xfId="288" builtinId="9" hidden="1"/>
    <cellStyle name="Besøgt link" xfId="289" builtinId="9" hidden="1"/>
    <cellStyle name="Besøgt link" xfId="290" builtinId="9" hidden="1"/>
    <cellStyle name="Besøgt link" xfId="291" builtinId="9" hidden="1"/>
    <cellStyle name="Besøgt link" xfId="292" builtinId="9" hidden="1"/>
    <cellStyle name="Besøgt link" xfId="293" builtinId="9" hidden="1"/>
    <cellStyle name="Besøgt link" xfId="294" builtinId="9" hidden="1"/>
    <cellStyle name="Besøgt link" xfId="295" builtinId="9" hidden="1"/>
    <cellStyle name="Besøgt link" xfId="296" builtinId="9" hidden="1"/>
    <cellStyle name="Besøgt link" xfId="297" builtinId="9" hidden="1"/>
    <cellStyle name="Besøgt link" xfId="298" builtinId="9" hidden="1"/>
    <cellStyle name="Besøgt link" xfId="299" builtinId="9" hidden="1"/>
    <cellStyle name="Besøgt link" xfId="300" builtinId="9" hidden="1"/>
    <cellStyle name="Besøgt link" xfId="301" builtinId="9" hidden="1"/>
    <cellStyle name="Besøgt link" xfId="302" builtinId="9" hidden="1"/>
    <cellStyle name="Besøgt link" xfId="303" builtinId="9" hidden="1"/>
    <cellStyle name="Besøgt link" xfId="304" builtinId="9" hidden="1"/>
    <cellStyle name="Besøgt link" xfId="305" builtinId="9" hidden="1"/>
    <cellStyle name="Besøgt link" xfId="306" builtinId="9" hidden="1"/>
    <cellStyle name="Besøgt link" xfId="307" builtinId="9" hidden="1"/>
    <cellStyle name="Besøgt link" xfId="308" builtinId="9" hidden="1"/>
    <cellStyle name="Besøgt link" xfId="309" builtinId="9" hidden="1"/>
    <cellStyle name="Besøgt link" xfId="310" builtinId="9" hidden="1"/>
    <cellStyle name="Besøgt link" xfId="311" builtinId="9" hidden="1"/>
    <cellStyle name="Besøgt link" xfId="312" builtinId="9" hidden="1"/>
    <cellStyle name="Besøgt link" xfId="313" builtinId="9" hidden="1"/>
    <cellStyle name="Besøgt link" xfId="314" builtinId="9" hidden="1"/>
    <cellStyle name="Besøgt link" xfId="315" builtinId="9" hidden="1"/>
    <cellStyle name="Besøgt link" xfId="316" builtinId="9" hidden="1"/>
    <cellStyle name="Besøgt link" xfId="317" builtinId="9" hidden="1"/>
    <cellStyle name="Besøgt link" xfId="318" builtinId="9" hidden="1"/>
    <cellStyle name="Besøgt link" xfId="319" builtinId="9" hidden="1"/>
    <cellStyle name="Besøgt link" xfId="320" builtinId="9" hidden="1"/>
    <cellStyle name="Besøgt link" xfId="321" builtinId="9" hidden="1"/>
    <cellStyle name="Besøgt link" xfId="322" builtinId="9" hidden="1"/>
    <cellStyle name="Besøgt link" xfId="323" builtinId="9" hidden="1"/>
    <cellStyle name="Besøgt link" xfId="324" builtinId="9" hidden="1"/>
    <cellStyle name="Besøgt link" xfId="325" builtinId="9" hidden="1"/>
    <cellStyle name="Besøgt link" xfId="326" builtinId="9" hidden="1"/>
    <cellStyle name="Besøgt link" xfId="327" builtinId="9" hidden="1"/>
    <cellStyle name="Besøgt link" xfId="328" builtinId="9" hidden="1"/>
    <cellStyle name="Besøgt link" xfId="329" builtinId="9" hidden="1"/>
    <cellStyle name="Besøgt link" xfId="330" builtinId="9" hidden="1"/>
    <cellStyle name="Besøgt link" xfId="331" builtinId="9" hidden="1"/>
    <cellStyle name="Besøgt link" xfId="332" builtinId="9" hidden="1"/>
    <cellStyle name="Besøgt link" xfId="333" builtinId="9" hidden="1"/>
    <cellStyle name="Besøgt link" xfId="334" builtinId="9" hidden="1"/>
    <cellStyle name="Besøgt link" xfId="335" builtinId="9" hidden="1"/>
    <cellStyle name="Besøgt link" xfId="336" builtinId="9" hidden="1"/>
    <cellStyle name="Besøgt link" xfId="337" builtinId="9" hidden="1"/>
    <cellStyle name="Besøgt link" xfId="338" builtinId="9" hidden="1"/>
    <cellStyle name="Besøgt link" xfId="339" builtinId="9" hidden="1"/>
    <cellStyle name="Besøgt link" xfId="340" builtinId="9" hidden="1"/>
    <cellStyle name="Besøgt link" xfId="341" builtinId="9" hidden="1"/>
    <cellStyle name="Besøgt link" xfId="342" builtinId="9" hidden="1"/>
    <cellStyle name="Besøgt link" xfId="343" builtinId="9" hidden="1"/>
    <cellStyle name="Besøgt link" xfId="344" builtinId="9" hidden="1"/>
    <cellStyle name="Besøgt link" xfId="345" builtinId="9" hidden="1"/>
    <cellStyle name="Besøgt link" xfId="346" builtinId="9" hidden="1"/>
    <cellStyle name="Besøgt link" xfId="347" builtinId="9" hidden="1"/>
    <cellStyle name="Besøgt link" xfId="348" builtinId="9" hidden="1"/>
    <cellStyle name="Besøgt link" xfId="349" builtinId="9" hidden="1"/>
    <cellStyle name="Besøgt link" xfId="350" builtinId="9" hidden="1"/>
    <cellStyle name="Besøgt link" xfId="351" builtinId="9" hidden="1"/>
    <cellStyle name="Besøgt link" xfId="352" builtinId="9" hidden="1"/>
    <cellStyle name="Besøgt link" xfId="353" builtinId="9" hidden="1"/>
    <cellStyle name="Besøgt link" xfId="354" builtinId="9" hidden="1"/>
    <cellStyle name="Besøgt link" xfId="355" builtinId="9" hidden="1"/>
    <cellStyle name="Besøgt link" xfId="356" builtinId="9" hidden="1"/>
    <cellStyle name="Besøgt link" xfId="357" builtinId="9" hidden="1"/>
    <cellStyle name="Besøgt link" xfId="358" builtinId="9" hidden="1"/>
    <cellStyle name="Besøgt link" xfId="359" builtinId="9" hidden="1"/>
    <cellStyle name="Besøgt link" xfId="360" builtinId="9" hidden="1"/>
    <cellStyle name="Besøgt link" xfId="361" builtinId="9" hidden="1"/>
    <cellStyle name="Besøgt link" xfId="362" builtinId="9" hidden="1"/>
    <cellStyle name="Besøgt link" xfId="363" builtinId="9" hidden="1"/>
    <cellStyle name="Besøgt link" xfId="364" builtinId="9" hidden="1"/>
    <cellStyle name="Besøgt link" xfId="365" builtinId="9" hidden="1"/>
    <cellStyle name="Besøgt link" xfId="366" builtinId="9" hidden="1"/>
    <cellStyle name="Besøgt link" xfId="367" builtinId="9" hidden="1"/>
    <cellStyle name="Besøgt link" xfId="368" builtinId="9" hidden="1"/>
    <cellStyle name="Besøgt link" xfId="369" builtinId="9" hidden="1"/>
    <cellStyle name="Besøgt link" xfId="370" builtinId="9" hidden="1"/>
    <cellStyle name="Besøgt link" xfId="371" builtinId="9" hidden="1"/>
    <cellStyle name="Besøgt link" xfId="372" builtinId="9" hidden="1"/>
    <cellStyle name="Besøgt link" xfId="373" builtinId="9" hidden="1"/>
    <cellStyle name="Besøgt link" xfId="374" builtinId="9" hidden="1"/>
    <cellStyle name="Besøgt link" xfId="375" builtinId="9" hidden="1"/>
    <cellStyle name="Besøgt link" xfId="376" builtinId="9" hidden="1"/>
    <cellStyle name="Besøgt link" xfId="377" builtinId="9" hidden="1"/>
    <cellStyle name="Besøgt link" xfId="378" builtinId="9" hidden="1"/>
    <cellStyle name="Besøgt link" xfId="379" builtinId="9" hidden="1"/>
    <cellStyle name="Besøgt link" xfId="380" builtinId="9" hidden="1"/>
    <cellStyle name="Besøgt link" xfId="381" builtinId="9" hidden="1"/>
    <cellStyle name="Besøgt link" xfId="382" builtinId="9" hidden="1"/>
    <cellStyle name="Besøgt link" xfId="383" builtinId="9" hidden="1"/>
    <cellStyle name="Besøgt link" xfId="384" builtinId="9" hidden="1"/>
    <cellStyle name="Besøgt link" xfId="385" builtinId="9" hidden="1"/>
    <cellStyle name="Besøgt link" xfId="386" builtinId="9" hidden="1"/>
    <cellStyle name="Besøgt link" xfId="387" builtinId="9" hidden="1"/>
    <cellStyle name="Besøgt link" xfId="388" builtinId="9" hidden="1"/>
    <cellStyle name="Besøgt link" xfId="389" builtinId="9" hidden="1"/>
    <cellStyle name="Besøgt link" xfId="390" builtinId="9" hidden="1"/>
    <cellStyle name="Besøgt link" xfId="391" builtinId="9" hidden="1"/>
    <cellStyle name="Besøgt link" xfId="392" builtinId="9" hidden="1"/>
    <cellStyle name="Besøgt link" xfId="393" builtinId="9" hidden="1"/>
    <cellStyle name="Besøgt link" xfId="394" builtinId="9" hidden="1"/>
    <cellStyle name="Besøgt link" xfId="395" builtinId="9" hidden="1"/>
    <cellStyle name="Besøgt link" xfId="396" builtinId="9" hidden="1"/>
    <cellStyle name="Besøgt link" xfId="397" builtinId="9" hidden="1"/>
    <cellStyle name="Besøgt link" xfId="398" builtinId="9" hidden="1"/>
    <cellStyle name="Besøgt link" xfId="399" builtinId="9" hidden="1"/>
    <cellStyle name="Besøgt link" xfId="400" builtinId="9" hidden="1"/>
    <cellStyle name="Besøgt link" xfId="401" builtinId="9" hidden="1"/>
    <cellStyle name="Besøgt link" xfId="402" builtinId="9" hidden="1"/>
    <cellStyle name="Besøgt link" xfId="403" builtinId="9" hidden="1"/>
    <cellStyle name="Besøgt link" xfId="404" builtinId="9" hidden="1"/>
    <cellStyle name="Besøgt link" xfId="405" builtinId="9" hidden="1"/>
    <cellStyle name="Besøgt link" xfId="406" builtinId="9" hidden="1"/>
    <cellStyle name="Besøgt link" xfId="407" builtinId="9" hidden="1"/>
    <cellStyle name="Besøgt link" xfId="408" builtinId="9" hidden="1"/>
    <cellStyle name="Besøgt link" xfId="409" builtinId="9" hidden="1"/>
    <cellStyle name="Besøgt link" xfId="410" builtinId="9" hidden="1"/>
    <cellStyle name="Besøgt link" xfId="411" builtinId="9" hidden="1"/>
    <cellStyle name="Besøgt link" xfId="412" builtinId="9" hidden="1"/>
    <cellStyle name="Besøgt link" xfId="413" builtinId="9" hidden="1"/>
    <cellStyle name="Besøgt link" xfId="414" builtinId="9" hidden="1"/>
    <cellStyle name="Besøgt link" xfId="415" builtinId="9" hidden="1"/>
    <cellStyle name="Besøgt link" xfId="416" builtinId="9" hidden="1"/>
    <cellStyle name="Besøgt link" xfId="417" builtinId="9" hidden="1"/>
    <cellStyle name="Besøgt link" xfId="418" builtinId="9" hidden="1"/>
    <cellStyle name="Besøgt link" xfId="419" builtinId="9" hidden="1"/>
    <cellStyle name="Besøgt link" xfId="420" builtinId="9" hidden="1"/>
    <cellStyle name="Besøgt link" xfId="421" builtinId="9" hidden="1"/>
    <cellStyle name="Besøgt link" xfId="422" builtinId="9" hidden="1"/>
    <cellStyle name="Besøgt link" xfId="423" builtinId="9" hidden="1"/>
    <cellStyle name="Besøgt link" xfId="424" builtinId="9" hidden="1"/>
    <cellStyle name="Besøgt link" xfId="425" builtinId="9" hidden="1"/>
    <cellStyle name="Besøgt link" xfId="426" builtinId="9" hidden="1"/>
    <cellStyle name="Besøgt link" xfId="427" builtinId="9" hidden="1"/>
    <cellStyle name="Besøgt link" xfId="428" builtinId="9" hidden="1"/>
    <cellStyle name="Besøgt link" xfId="429" builtinId="9" hidden="1"/>
    <cellStyle name="Besøgt link" xfId="430" builtinId="9" hidden="1"/>
    <cellStyle name="Besøgt link" xfId="431" builtinId="9" hidden="1"/>
    <cellStyle name="Besøgt link" xfId="432" builtinId="9" hidden="1"/>
    <cellStyle name="Besøgt link" xfId="433" builtinId="9" hidden="1"/>
    <cellStyle name="Besøgt link" xfId="434" builtinId="9" hidden="1"/>
    <cellStyle name="Besøgt link" xfId="435" builtinId="9" hidden="1"/>
    <cellStyle name="Besøgt link" xfId="436" builtinId="9" hidden="1"/>
    <cellStyle name="Besøgt link" xfId="437" builtinId="9" hidden="1"/>
    <cellStyle name="Besøgt link" xfId="438" builtinId="9" hidden="1"/>
    <cellStyle name="Besøgt link" xfId="439" builtinId="9" hidden="1"/>
    <cellStyle name="Besøgt link" xfId="440" builtinId="9" hidden="1"/>
    <cellStyle name="Besøgt link" xfId="441" builtinId="9" hidden="1"/>
    <cellStyle name="Besøgt link" xfId="442" builtinId="9" hidden="1"/>
    <cellStyle name="Besøgt link" xfId="443" builtinId="9" hidden="1"/>
    <cellStyle name="Besøgt link" xfId="444" builtinId="9" hidden="1"/>
    <cellStyle name="Besøgt link" xfId="445" builtinId="9" hidden="1"/>
    <cellStyle name="Besøgt link" xfId="446" builtinId="9" hidden="1"/>
    <cellStyle name="Besøgt link" xfId="447" builtinId="9" hidden="1"/>
    <cellStyle name="Besøgt link" xfId="448" builtinId="9" hidden="1"/>
    <cellStyle name="Besøgt link" xfId="449" builtinId="9" hidden="1"/>
    <cellStyle name="Besøgt link" xfId="450" builtinId="9" hidden="1"/>
    <cellStyle name="Besøgt link" xfId="451" builtinId="9" hidden="1"/>
    <cellStyle name="Besøgt link" xfId="452" builtinId="9" hidden="1"/>
    <cellStyle name="Besøgt link" xfId="453" builtinId="9" hidden="1"/>
    <cellStyle name="Besøgt link" xfId="454" builtinId="9" hidden="1"/>
    <cellStyle name="Besøgt link" xfId="455" builtinId="9" hidden="1"/>
    <cellStyle name="Besøgt link" xfId="456" builtinId="9" hidden="1"/>
    <cellStyle name="Besøgt link" xfId="457" builtinId="9" hidden="1"/>
    <cellStyle name="Besøgt link" xfId="458" builtinId="9" hidden="1"/>
    <cellStyle name="Besøgt link" xfId="459" builtinId="9" hidden="1"/>
    <cellStyle name="Besøgt link" xfId="460" builtinId="9" hidden="1"/>
    <cellStyle name="Besøgt link" xfId="461" builtinId="9" hidden="1"/>
    <cellStyle name="Besøgt link" xfId="462" builtinId="9" hidden="1"/>
    <cellStyle name="Besøgt link" xfId="463" builtinId="9" hidden="1"/>
    <cellStyle name="Besøgt link" xfId="464" builtinId="9" hidden="1"/>
    <cellStyle name="Besøgt link" xfId="465" builtinId="9" hidden="1"/>
    <cellStyle name="Besøgt link" xfId="466" builtinId="9" hidden="1"/>
    <cellStyle name="Besøgt link" xfId="467" builtinId="9" hidden="1"/>
    <cellStyle name="Besøgt link" xfId="468" builtinId="9" hidden="1"/>
    <cellStyle name="Besøgt link" xfId="469" builtinId="9" hidden="1"/>
    <cellStyle name="Besøgt link" xfId="470" builtinId="9" hidden="1"/>
    <cellStyle name="Besøgt link" xfId="471" builtinId="9" hidden="1"/>
    <cellStyle name="Besøgt link" xfId="472" builtinId="9" hidden="1"/>
    <cellStyle name="Besøgt link" xfId="473" builtinId="9" hidden="1"/>
    <cellStyle name="Besøgt link" xfId="474" builtinId="9" hidden="1"/>
    <cellStyle name="Besøgt link" xfId="475" builtinId="9" hidden="1"/>
    <cellStyle name="Besøgt link" xfId="476" builtinId="9" hidden="1"/>
    <cellStyle name="Besøgt link" xfId="477" builtinId="9" hidden="1"/>
    <cellStyle name="Chicago" xfId="6" xr:uid="{00000000-0005-0000-0000-0000C6010000}"/>
    <cellStyle name="Comma [0]_DelAktPl.xls" xfId="7" xr:uid="{00000000-0005-0000-0000-0000C7010000}"/>
    <cellStyle name="Comma_DelAktPl.xls" xfId="8" xr:uid="{00000000-0005-0000-0000-0000C8010000}"/>
    <cellStyle name="Comma_Lon.xls1" xfId="9" xr:uid="{00000000-0005-0000-0000-0000C9010000}"/>
    <cellStyle name="courier" xfId="10" xr:uid="{00000000-0005-0000-0000-0000CA010000}"/>
    <cellStyle name="Currency [0]_DelAktPl.xls" xfId="11" xr:uid="{00000000-0005-0000-0000-0000CB010000}"/>
    <cellStyle name="Currency_DelAktPl.xls" xfId="12" xr:uid="{00000000-0005-0000-0000-0000CC010000}"/>
    <cellStyle name="Komma" xfId="57" builtinId="3"/>
    <cellStyle name="Komma 2" xfId="479" xr:uid="{00000000-0005-0000-0000-0000CE010000}"/>
    <cellStyle name="komma0" xfId="14" xr:uid="{00000000-0005-0000-0000-0000CF010000}"/>
    <cellStyle name="komma1" xfId="15" xr:uid="{00000000-0005-0000-0000-0000D0010000}"/>
    <cellStyle name="komma2" xfId="16" xr:uid="{00000000-0005-0000-0000-0000D1010000}"/>
    <cellStyle name="komma4" xfId="17" xr:uid="{00000000-0005-0000-0000-0000D2010000}"/>
    <cellStyle name="kr" xfId="18" xr:uid="{00000000-0005-0000-0000-0000D3010000}"/>
    <cellStyle name="Link" xfId="13" builtinId="8"/>
    <cellStyle name="Normal" xfId="0" builtinId="0"/>
    <cellStyle name="Normal 2" xfId="19" xr:uid="{00000000-0005-0000-0000-0000D5010000}"/>
    <cellStyle name="Normal 2 2" xfId="30" xr:uid="{00000000-0005-0000-0000-0000D6010000}"/>
    <cellStyle name="Normal 3" xfId="478" xr:uid="{00000000-0005-0000-0000-0000D7010000}"/>
    <cellStyle name="Normal 4" xfId="480" xr:uid="{1C4C86EB-B676-F542-AFC8-9C71C5B9C4FB}"/>
    <cellStyle name="Normal_Lon.xls1" xfId="20" xr:uid="{00000000-0005-0000-0000-0000D8010000}"/>
    <cellStyle name="Normal_LonAug00.xls" xfId="21" xr:uid="{00000000-0005-0000-0000-0000D9010000}"/>
    <cellStyle name="prc0" xfId="22" xr:uid="{00000000-0005-0000-0000-0000DA010000}"/>
    <cellStyle name="prc1" xfId="23" xr:uid="{00000000-0005-0000-0000-0000DB010000}"/>
    <cellStyle name="prc2" xfId="24" xr:uid="{00000000-0005-0000-0000-0000DC010000}"/>
    <cellStyle name="Procent" xfId="210" builtinId="5"/>
    <cellStyle name="skkode" xfId="25" xr:uid="{00000000-0005-0000-0000-0000DE010000}"/>
    <cellStyle name="skygget" xfId="26" xr:uid="{00000000-0005-0000-0000-0000DF01000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11"/>
      <color rgb="FFF9FD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tyles" Target="styles.xml"/><Relationship Id="rId50" Type="http://schemas.microsoft.com/office/2017/06/relationships/rdRichValue" Target="richData/rdrichvalu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sharedStrings" Target="sharedStrings.xml"/><Relationship Id="rId8" Type="http://schemas.openxmlformats.org/officeDocument/2006/relationships/worksheet" Target="worksheets/sheet8.xml"/><Relationship Id="rId51" Type="http://schemas.microsoft.com/office/2017/06/relationships/rdRichValueStructure" Target="richData/rdrichvaluestructure.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15</xdr:col>
      <xdr:colOff>12700</xdr:colOff>
      <xdr:row>0</xdr:row>
      <xdr:rowOff>63500</xdr:rowOff>
    </xdr:from>
    <xdr:to>
      <xdr:col>15</xdr:col>
      <xdr:colOff>927100</xdr:colOff>
      <xdr:row>2</xdr:row>
      <xdr:rowOff>254000</xdr:rowOff>
    </xdr:to>
    <xdr:sp macro="" textlink="">
      <xdr:nvSpPr>
        <xdr:cNvPr id="463875" name="Button 3" hidden="1">
          <a:extLst>
            <a:ext uri="{63B3BB69-23CF-44E3-9099-C40C66FF867C}">
              <a14:compatExt xmlns:a14="http://schemas.microsoft.com/office/drawing/2010/main" spid="_x0000_s463875"/>
            </a:ext>
            <a:ext uri="{FF2B5EF4-FFF2-40B4-BE49-F238E27FC236}">
              <a16:creationId xmlns:a16="http://schemas.microsoft.com/office/drawing/2014/main" id="{00000000-0008-0000-0500-0000031407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a-DK" sz="1600" b="1" i="0" u="none" strike="noStrike" baseline="0">
              <a:solidFill>
                <a:srgbClr val="FF0000"/>
              </a:solidFill>
              <a:latin typeface="Lucida Grande"/>
              <a:ea typeface="Lucida Grande"/>
              <a:cs typeface="Lucida Grande"/>
            </a:rPr>
            <a:t>PRINT</a:t>
          </a:r>
        </a:p>
      </xdr:txBody>
    </xdr:sp>
    <xdr:clientData fPrintsWithSheet="0"/>
  </xdr:twoCellAnchor>
  <mc:AlternateContent xmlns:mc="http://schemas.openxmlformats.org/markup-compatibility/2006">
    <mc:Choice xmlns:a14="http://schemas.microsoft.com/office/drawing/2010/main" Requires="a14">
      <xdr:twoCellAnchor>
        <xdr:from>
          <xdr:col>15</xdr:col>
          <xdr:colOff>12700</xdr:colOff>
          <xdr:row>0</xdr:row>
          <xdr:rowOff>63500</xdr:rowOff>
        </xdr:from>
        <xdr:to>
          <xdr:col>15</xdr:col>
          <xdr:colOff>927100</xdr:colOff>
          <xdr:row>2</xdr:row>
          <xdr:rowOff>254000</xdr:rowOff>
        </xdr:to>
        <xdr:sp macro="" textlink="">
          <xdr:nvSpPr>
            <xdr:cNvPr id="2" name="Button 3" hidden="1">
              <a:extLst>
                <a:ext uri="{63B3BB69-23CF-44E3-9099-C40C66FF867C}">
                  <a14:compatExt spid="_x0000_s463875"/>
                </a:ext>
                <a:ext uri="{FF2B5EF4-FFF2-40B4-BE49-F238E27FC236}">
                  <a16:creationId xmlns:a16="http://schemas.microsoft.com/office/drawing/2014/main" id="{00000000-0008-0000-0500-0000020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a-DK" sz="1600" b="1" i="0" u="none" strike="noStrike" baseline="0">
                  <a:solidFill>
                    <a:srgbClr val="FF0000"/>
                  </a:solidFill>
                  <a:latin typeface="Lucida Grande" pitchFamily="2" charset="0"/>
                  <a:cs typeface="Lucida Grande" pitchFamily="2" charset="0"/>
                </a:rPr>
                <a:t>PRINT</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06B6D722-01E8-9A4C-B82E-67AE5CC7E7F6}"/>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736A8D0F-0430-064D-A1AD-34E856D29D74}"/>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E579B597-ACAD-9746-9BD4-FE1F89A23D57}"/>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2D735E58-5FB8-7749-9CCD-3B9276424B05}"/>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1B8C22F9-18F5-5A43-8FF3-DEFBF338D035}"/>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B45C056F-DBF2-EE48-B537-D8AD023FE8E6}"/>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B2B51D28-82DD-5940-8247-D68C768430DA}"/>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5697DFDE-467C-974F-BF73-2E8AF4A92902}"/>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D017A7CA-04EB-9941-A25E-0E405E4D7772}"/>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723C3A41-EF95-064B-AF8A-29BB9FBE2E87}"/>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4F79E94A-FB29-014B-8788-089FAE893382}"/>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5C320C35-C388-D740-B5CF-2AE2123AB74E}"/>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9AD759F9-CFE7-1B4B-9A3C-EF427AF574FD}"/>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3C8A244E-B10C-444F-BE1D-0AD6CF0C193E}"/>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C003BC23-AB97-8E46-9E20-D634DF771798}"/>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89C0E660-8341-4143-988C-25DDD38FDDC4}"/>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FB3F1BED-3A37-4545-8FC3-37C59D407FEF}"/>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49DB92BD-C82E-B045-8C59-BCD7DAB3B960}"/>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AF8824AE-F644-534A-8745-896B0D6935CF}"/>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FF418010-D2FF-4948-82BD-4A60AAFE8388}"/>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50800</xdr:colOff>
      <xdr:row>0</xdr:row>
      <xdr:rowOff>0</xdr:rowOff>
    </xdr:from>
    <xdr:to>
      <xdr:col>19</xdr:col>
      <xdr:colOff>850900</xdr:colOff>
      <xdr:row>2</xdr:row>
      <xdr:rowOff>139700</xdr:rowOff>
    </xdr:to>
    <xdr:sp macro="" textlink="">
      <xdr:nvSpPr>
        <xdr:cNvPr id="464897" name="Button 1" hidden="1">
          <a:extLst>
            <a:ext uri="{63B3BB69-23CF-44E3-9099-C40C66FF867C}">
              <a14:compatExt xmlns:a14="http://schemas.microsoft.com/office/drawing/2010/main" spid="_x0000_s464897"/>
            </a:ext>
            <a:ext uri="{FF2B5EF4-FFF2-40B4-BE49-F238E27FC236}">
              <a16:creationId xmlns:a16="http://schemas.microsoft.com/office/drawing/2014/main" id="{00000000-0008-0000-0700-0000011807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a-DK" sz="1400" b="1" i="0" u="none" strike="noStrike" baseline="0">
              <a:solidFill>
                <a:srgbClr val="FF0000"/>
              </a:solidFill>
              <a:latin typeface="Lucida Grande"/>
              <a:ea typeface="Lucida Grande"/>
              <a:cs typeface="Lucida Grande"/>
            </a:rPr>
            <a:t>PRINT</a:t>
          </a:r>
        </a:p>
      </xdr:txBody>
    </xdr:sp>
    <xdr:clientData fLocksWithSheet="0" fPrintsWithSheet="0"/>
  </xdr:twoCellAnchor>
  <mc:AlternateContent xmlns:mc="http://schemas.openxmlformats.org/markup-compatibility/2006">
    <mc:Choice xmlns:a14="http://schemas.microsoft.com/office/drawing/2010/main" Requires="a14">
      <xdr:twoCellAnchor>
        <xdr:from>
          <xdr:col>19</xdr:col>
          <xdr:colOff>50800</xdr:colOff>
          <xdr:row>0</xdr:row>
          <xdr:rowOff>0</xdr:rowOff>
        </xdr:from>
        <xdr:to>
          <xdr:col>19</xdr:col>
          <xdr:colOff>850900</xdr:colOff>
          <xdr:row>2</xdr:row>
          <xdr:rowOff>139700</xdr:rowOff>
        </xdr:to>
        <xdr:sp macro="" textlink="">
          <xdr:nvSpPr>
            <xdr:cNvPr id="2" name="Button 1" hidden="1">
              <a:extLst>
                <a:ext uri="{63B3BB69-23CF-44E3-9099-C40C66FF867C}">
                  <a14:compatExt spid="_x0000_s464897"/>
                </a:ext>
                <a:ext uri="{FF2B5EF4-FFF2-40B4-BE49-F238E27FC236}">
                  <a16:creationId xmlns:a16="http://schemas.microsoft.com/office/drawing/2014/main" id="{00000000-0008-0000-0700-0000020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a-DK" sz="1400" b="1" i="0" u="none" strike="noStrike" baseline="0">
                  <a:solidFill>
                    <a:srgbClr val="FF0000"/>
                  </a:solidFill>
                  <a:latin typeface="Lucida Grande" pitchFamily="2" charset="0"/>
                  <a:cs typeface="Lucida Grande" pitchFamily="2" charset="0"/>
                </a:rPr>
                <a:t>PRINT</a:t>
              </a:r>
            </a:p>
          </xdr:txBody>
        </xdr:sp>
        <xdr:clientData fLocksWithSheet="0"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3653" name="AutoShape 1">
          <a:extLst>
            <a:ext uri="{FF2B5EF4-FFF2-40B4-BE49-F238E27FC236}">
              <a16:creationId xmlns:a16="http://schemas.microsoft.com/office/drawing/2014/main" id="{00000000-0008-0000-2300-0000450E0000}"/>
            </a:ext>
          </a:extLst>
        </xdr:cNvPr>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292100</xdr:rowOff>
    </xdr:from>
    <xdr:to>
      <xdr:col>15</xdr:col>
      <xdr:colOff>3568700</xdr:colOff>
      <xdr:row>17</xdr:row>
      <xdr:rowOff>76200</xdr:rowOff>
    </xdr:to>
    <xdr:sp macro="" textlink="">
      <xdr:nvSpPr>
        <xdr:cNvPr id="3" name="Text Box 2">
          <a:extLst>
            <a:ext uri="{FF2B5EF4-FFF2-40B4-BE49-F238E27FC236}">
              <a16:creationId xmlns:a16="http://schemas.microsoft.com/office/drawing/2014/main" id="{00000000-0008-0000-2300-000003000000}"/>
            </a:ext>
          </a:extLst>
        </xdr:cNvPr>
        <xdr:cNvSpPr txBox="1">
          <a:spLocks noChangeArrowheads="1"/>
        </xdr:cNvSpPr>
      </xdr:nvSpPr>
      <xdr:spPr bwMode="auto">
        <a:xfrm>
          <a:off x="16459200" y="3213100"/>
          <a:ext cx="1574800" cy="1612900"/>
        </a:xfrm>
        <a:prstGeom prst="rect">
          <a:avLst/>
        </a:prstGeom>
        <a:solidFill>
          <a:srgbClr val="FFFF99"/>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1997-grundbeløb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17-19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4677" name="AutoShape 1">
          <a:extLst>
            <a:ext uri="{FF2B5EF4-FFF2-40B4-BE49-F238E27FC236}">
              <a16:creationId xmlns:a16="http://schemas.microsoft.com/office/drawing/2014/main" id="{00000000-0008-0000-2400-000045120000}"/>
            </a:ext>
          </a:extLst>
        </xdr:cNvPr>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292100</xdr:rowOff>
    </xdr:from>
    <xdr:to>
      <xdr:col>15</xdr:col>
      <xdr:colOff>3568700</xdr:colOff>
      <xdr:row>17</xdr:row>
      <xdr:rowOff>76200</xdr:rowOff>
    </xdr:to>
    <xdr:sp macro="" textlink="">
      <xdr:nvSpPr>
        <xdr:cNvPr id="3" name="Text Box 2">
          <a:extLst>
            <a:ext uri="{FF2B5EF4-FFF2-40B4-BE49-F238E27FC236}">
              <a16:creationId xmlns:a16="http://schemas.microsoft.com/office/drawing/2014/main" id="{00000000-0008-0000-2400-000003000000}"/>
            </a:ext>
          </a:extLst>
        </xdr:cNvPr>
        <xdr:cNvSpPr txBox="1">
          <a:spLocks noChangeArrowheads="1"/>
        </xdr:cNvSpPr>
      </xdr:nvSpPr>
      <xdr:spPr bwMode="auto">
        <a:xfrm>
          <a:off x="15354300" y="3556000"/>
          <a:ext cx="1574800" cy="16129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1997-grundbeløb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148933" name="AutoShape 1">
          <a:extLst>
            <a:ext uri="{FF2B5EF4-FFF2-40B4-BE49-F238E27FC236}">
              <a16:creationId xmlns:a16="http://schemas.microsoft.com/office/drawing/2014/main" id="{00000000-0008-0000-2500-0000C5450200}"/>
            </a:ext>
          </a:extLst>
        </xdr:cNvPr>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292100</xdr:rowOff>
    </xdr:from>
    <xdr:to>
      <xdr:col>15</xdr:col>
      <xdr:colOff>3568700</xdr:colOff>
      <xdr:row>17</xdr:row>
      <xdr:rowOff>76200</xdr:rowOff>
    </xdr:to>
    <xdr:sp macro="" textlink="">
      <xdr:nvSpPr>
        <xdr:cNvPr id="3" name="Text Box 2">
          <a:extLst>
            <a:ext uri="{FF2B5EF4-FFF2-40B4-BE49-F238E27FC236}">
              <a16:creationId xmlns:a16="http://schemas.microsoft.com/office/drawing/2014/main" id="{00000000-0008-0000-2500-000003000000}"/>
            </a:ext>
          </a:extLst>
        </xdr:cNvPr>
        <xdr:cNvSpPr txBox="1">
          <a:spLocks noChangeArrowheads="1"/>
        </xdr:cNvSpPr>
      </xdr:nvSpPr>
      <xdr:spPr bwMode="auto">
        <a:xfrm>
          <a:off x="16459200" y="3213100"/>
          <a:ext cx="1574800" cy="16129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1997-grundbeløb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15</xdr:col>
      <xdr:colOff>1435100</xdr:colOff>
      <xdr:row>10</xdr:row>
      <xdr:rowOff>50800</xdr:rowOff>
    </xdr:from>
    <xdr:to>
      <xdr:col>15</xdr:col>
      <xdr:colOff>1752600</xdr:colOff>
      <xdr:row>17</xdr:row>
      <xdr:rowOff>266700</xdr:rowOff>
    </xdr:to>
    <xdr:sp macro="" textlink="">
      <xdr:nvSpPr>
        <xdr:cNvPr id="304217" name="AutoShape 1">
          <a:extLst>
            <a:ext uri="{FF2B5EF4-FFF2-40B4-BE49-F238E27FC236}">
              <a16:creationId xmlns:a16="http://schemas.microsoft.com/office/drawing/2014/main" id="{00000000-0008-0000-2600-000059A40400}"/>
            </a:ext>
          </a:extLst>
        </xdr:cNvPr>
        <xdr:cNvSpPr>
          <a:spLocks/>
        </xdr:cNvSpPr>
      </xdr:nvSpPr>
      <xdr:spPr bwMode="auto">
        <a:xfrm>
          <a:off x="15900400" y="2667000"/>
          <a:ext cx="317500" cy="23495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11</xdr:row>
      <xdr:rowOff>177800</xdr:rowOff>
    </xdr:from>
    <xdr:to>
      <xdr:col>15</xdr:col>
      <xdr:colOff>3784600</xdr:colOff>
      <xdr:row>16</xdr:row>
      <xdr:rowOff>114300</xdr:rowOff>
    </xdr:to>
    <xdr:sp macro="" textlink="">
      <xdr:nvSpPr>
        <xdr:cNvPr id="3" name="Text Box 2">
          <a:extLst>
            <a:ext uri="{FF2B5EF4-FFF2-40B4-BE49-F238E27FC236}">
              <a16:creationId xmlns:a16="http://schemas.microsoft.com/office/drawing/2014/main" id="{00000000-0008-0000-2600-000003000000}"/>
            </a:ext>
          </a:extLst>
        </xdr:cNvPr>
        <xdr:cNvSpPr txBox="1">
          <a:spLocks noChangeArrowheads="1"/>
        </xdr:cNvSpPr>
      </xdr:nvSpPr>
      <xdr:spPr bwMode="auto">
        <a:xfrm>
          <a:off x="16459200" y="30988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1</xdr:col>
      <xdr:colOff>2870200</xdr:colOff>
      <xdr:row>0</xdr:row>
      <xdr:rowOff>12700</xdr:rowOff>
    </xdr:from>
    <xdr:to>
      <xdr:col>6</xdr:col>
      <xdr:colOff>292100</xdr:colOff>
      <xdr:row>0</xdr:row>
      <xdr:rowOff>177800</xdr:rowOff>
    </xdr:to>
    <xdr:pic>
      <xdr:nvPicPr>
        <xdr:cNvPr id="2" name="Billed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3187700" y="12700"/>
          <a:ext cx="3797300" cy="1651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1435100</xdr:colOff>
      <xdr:row>9</xdr:row>
      <xdr:rowOff>50800</xdr:rowOff>
    </xdr:from>
    <xdr:to>
      <xdr:col>15</xdr:col>
      <xdr:colOff>1752600</xdr:colOff>
      <xdr:row>17</xdr:row>
      <xdr:rowOff>266700</xdr:rowOff>
    </xdr:to>
    <xdr:sp macro="" textlink="">
      <xdr:nvSpPr>
        <xdr:cNvPr id="2" name="AutoShape 1">
          <a:extLst>
            <a:ext uri="{FF2B5EF4-FFF2-40B4-BE49-F238E27FC236}">
              <a16:creationId xmlns:a16="http://schemas.microsoft.com/office/drawing/2014/main" id="{00000000-0008-0000-2700-000002000000}"/>
            </a:ext>
          </a:extLst>
        </xdr:cNvPr>
        <xdr:cNvSpPr>
          <a:spLocks/>
        </xdr:cNvSpPr>
      </xdr:nvSpPr>
      <xdr:spPr bwMode="auto">
        <a:xfrm>
          <a:off x="15900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15</xdr:col>
      <xdr:colOff>1993900</xdr:colOff>
      <xdr:row>10</xdr:row>
      <xdr:rowOff>177800</xdr:rowOff>
    </xdr:from>
    <xdr:to>
      <xdr:col>15</xdr:col>
      <xdr:colOff>3784600</xdr:colOff>
      <xdr:row>15</xdr:row>
      <xdr:rowOff>114300</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16459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a:p>
          <a:pPr algn="l" rtl="0">
            <a:lnSpc>
              <a:spcPts val="1200"/>
            </a:lnSpc>
            <a:defRPr sz="1000"/>
          </a:pPr>
          <a:r>
            <a:rPr lang="da-DK" sz="1100" b="0" i="0" u="none" strike="noStrike" baseline="0">
              <a:solidFill>
                <a:srgbClr val="000000"/>
              </a:solidFill>
              <a:latin typeface="Verdana"/>
              <a:ea typeface="Verdana"/>
              <a:cs typeface="Verdana"/>
            </a:rPr>
            <a:t>Lin. 16-18 ganges med BG!</a:t>
          </a:r>
        </a:p>
      </xdr:txBody>
    </xdr:sp>
    <xdr:clientData/>
  </xdr:twoCellAnchor>
  <xdr:twoCellAnchor editAs="oneCell">
    <xdr:from>
      <xdr:col>2</xdr:col>
      <xdr:colOff>0</xdr:colOff>
      <xdr:row>0</xdr:row>
      <xdr:rowOff>0</xdr:rowOff>
    </xdr:from>
    <xdr:to>
      <xdr:col>6</xdr:col>
      <xdr:colOff>304800</xdr:colOff>
      <xdr:row>0</xdr:row>
      <xdr:rowOff>165100</xdr:rowOff>
    </xdr:to>
    <xdr:pic>
      <xdr:nvPicPr>
        <xdr:cNvPr id="4" name="Billed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xfrm>
          <a:off x="3200400" y="0"/>
          <a:ext cx="3797300" cy="165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3048000</xdr:colOff>
      <xdr:row>3</xdr:row>
      <xdr:rowOff>38100</xdr:rowOff>
    </xdr:from>
    <xdr:to>
      <xdr:col>3</xdr:col>
      <xdr:colOff>4102100</xdr:colOff>
      <xdr:row>5</xdr:row>
      <xdr:rowOff>152400</xdr:rowOff>
    </xdr:to>
    <xdr:sp macro="" textlink="">
      <xdr:nvSpPr>
        <xdr:cNvPr id="412679" name="Button 7" hidden="1">
          <a:extLst>
            <a:ext uri="{63B3BB69-23CF-44E3-9099-C40C66FF867C}">
              <a14:compatExt xmlns:a14="http://schemas.microsoft.com/office/drawing/2010/main" spid="_x0000_s412679"/>
            </a:ext>
            <a:ext uri="{FF2B5EF4-FFF2-40B4-BE49-F238E27FC236}">
              <a16:creationId xmlns:a16="http://schemas.microsoft.com/office/drawing/2014/main" id="{00000000-0008-0000-0800-0000074C06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a-DK" sz="1400" b="1" i="0" u="none" strike="noStrike" baseline="0">
              <a:solidFill>
                <a:srgbClr val="FF0000"/>
              </a:solidFill>
              <a:latin typeface="Lucida Grande"/>
              <a:ea typeface="Lucida Grande"/>
              <a:cs typeface="Lucida Grande"/>
            </a:rPr>
            <a:t>PRINT</a:t>
          </a:r>
        </a:p>
      </xdr:txBody>
    </xdr:sp>
    <xdr:clientData fLocksWithSheet="0" fPrintsWithSheet="0"/>
  </xdr:twoCellAnchor>
  <mc:AlternateContent xmlns:mc="http://schemas.openxmlformats.org/markup-compatibility/2006">
    <mc:Choice xmlns:a14="http://schemas.microsoft.com/office/drawing/2010/main" Requires="a14">
      <xdr:twoCellAnchor>
        <xdr:from>
          <xdr:col>3</xdr:col>
          <xdr:colOff>3048000</xdr:colOff>
          <xdr:row>3</xdr:row>
          <xdr:rowOff>38100</xdr:rowOff>
        </xdr:from>
        <xdr:to>
          <xdr:col>3</xdr:col>
          <xdr:colOff>4102100</xdr:colOff>
          <xdr:row>5</xdr:row>
          <xdr:rowOff>152400</xdr:rowOff>
        </xdr:to>
        <xdr:sp macro="" textlink="">
          <xdr:nvSpPr>
            <xdr:cNvPr id="2" name="Button 7" hidden="1">
              <a:extLst>
                <a:ext uri="{63B3BB69-23CF-44E3-9099-C40C66FF867C}">
                  <a14:compatExt spid="_x0000_s412679"/>
                </a:ext>
                <a:ext uri="{FF2B5EF4-FFF2-40B4-BE49-F238E27FC236}">
                  <a16:creationId xmlns:a16="http://schemas.microsoft.com/office/drawing/2014/main" id="{00000000-0008-0000-0800-00000200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da-DK" sz="1400" b="1" i="0" u="none" strike="noStrike" baseline="0">
                  <a:solidFill>
                    <a:srgbClr val="FF0000"/>
                  </a:solidFill>
                  <a:latin typeface="Lucida Grande" pitchFamily="2" charset="0"/>
                  <a:cs typeface="Lucida Grande" pitchFamily="2" charset="0"/>
                </a:rPr>
                <a:t>PRINT</a:t>
              </a:r>
            </a:p>
          </xdr:txBody>
        </xdr:sp>
        <xdr:clientData fLocksWithSheet="0"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00000000-0008-0000-0900-000002000000}"/>
            </a:ext>
          </a:extLst>
        </xdr:cNvPr>
        <xdr:cNvSpPr>
          <a:spLocks/>
        </xdr:cNvSpPr>
      </xdr:nvSpPr>
      <xdr:spPr bwMode="auto">
        <a:xfrm>
          <a:off x="17297400" y="23622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00000000-0008-0000-0900-000003000000}"/>
            </a:ext>
          </a:extLst>
        </xdr:cNvPr>
        <xdr:cNvSpPr txBox="1">
          <a:spLocks noChangeArrowheads="1"/>
        </xdr:cNvSpPr>
      </xdr:nvSpPr>
      <xdr:spPr bwMode="auto">
        <a:xfrm>
          <a:off x="17856200" y="27940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65B5A27A-01CD-4449-987C-F8D807EC6B00}"/>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F8085ADB-4755-8A4B-BCE7-09D575C5FDD5}"/>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4AA2803B-3A86-C24B-8AF2-2E02A775F5C3}"/>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CF1C3742-6B4C-A94D-818C-BC89A69FD423}"/>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8A3C61EE-A90D-B54B-A2B9-98ACA2DA1ACD}"/>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BC84AC97-711B-4042-B5DC-20A9DBE55943}"/>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C19D6D9F-6684-8F40-A274-B3F11EAC97AC}"/>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32319737-278C-6E4B-BF6B-DD322DAA547B}"/>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31</xdr:col>
      <xdr:colOff>1435100</xdr:colOff>
      <xdr:row>12</xdr:row>
      <xdr:rowOff>50800</xdr:rowOff>
    </xdr:from>
    <xdr:to>
      <xdr:col>31</xdr:col>
      <xdr:colOff>1752600</xdr:colOff>
      <xdr:row>20</xdr:row>
      <xdr:rowOff>266700</xdr:rowOff>
    </xdr:to>
    <xdr:sp macro="" textlink="">
      <xdr:nvSpPr>
        <xdr:cNvPr id="2" name="AutoShape 1">
          <a:extLst>
            <a:ext uri="{FF2B5EF4-FFF2-40B4-BE49-F238E27FC236}">
              <a16:creationId xmlns:a16="http://schemas.microsoft.com/office/drawing/2014/main" id="{93720355-61A3-0D42-989E-BC6F24BF5944}"/>
            </a:ext>
          </a:extLst>
        </xdr:cNvPr>
        <xdr:cNvSpPr>
          <a:spLocks/>
        </xdr:cNvSpPr>
      </xdr:nvSpPr>
      <xdr:spPr bwMode="auto">
        <a:xfrm>
          <a:off x="30099000" y="3581400"/>
          <a:ext cx="317500" cy="2654300"/>
        </a:xfrm>
        <a:prstGeom prst="rightBrace">
          <a:avLst>
            <a:gd name="adj1" fmla="val 61667"/>
            <a:gd name="adj2" fmla="val 50000"/>
          </a:avLst>
        </a:prstGeom>
        <a:noFill/>
        <a:ln w="9525">
          <a:solidFill>
            <a:srgbClr val="000000"/>
          </a:solidFill>
          <a:round/>
          <a:headEnd/>
          <a:tailEnd/>
        </a:ln>
        <a:extLst>
          <a:ext uri="{909E8E84-426E-40dd-AFC4-6F175D3DCCD1}">
            <a14:hiddenFill xmlns="" xmlns:a14="http://schemas.microsoft.com/office/drawing/2010/main">
              <a:solidFill>
                <a:srgbClr val="FFFFFF"/>
              </a:solidFill>
            </a14:hiddenFill>
          </a:ext>
        </a:extLst>
      </xdr:spPr>
      <xdr:txBody>
        <a:bodyPr rtlCol="0"/>
        <a:lstStyle/>
        <a:p>
          <a:pPr algn="ctr"/>
          <a:endParaRPr lang="da-DK"/>
        </a:p>
      </xdr:txBody>
    </xdr:sp>
    <xdr:clientData/>
  </xdr:twoCellAnchor>
  <xdr:twoCellAnchor>
    <xdr:from>
      <xdr:col>31</xdr:col>
      <xdr:colOff>1993900</xdr:colOff>
      <xdr:row>13</xdr:row>
      <xdr:rowOff>177800</xdr:rowOff>
    </xdr:from>
    <xdr:to>
      <xdr:col>31</xdr:col>
      <xdr:colOff>3784600</xdr:colOff>
      <xdr:row>18</xdr:row>
      <xdr:rowOff>114300</xdr:rowOff>
    </xdr:to>
    <xdr:sp macro="" textlink="">
      <xdr:nvSpPr>
        <xdr:cNvPr id="3" name="Text Box 2">
          <a:extLst>
            <a:ext uri="{FF2B5EF4-FFF2-40B4-BE49-F238E27FC236}">
              <a16:creationId xmlns:a16="http://schemas.microsoft.com/office/drawing/2014/main" id="{30960821-3608-884B-92F0-C12C9D60AF22}"/>
            </a:ext>
          </a:extLst>
        </xdr:cNvPr>
        <xdr:cNvSpPr txBox="1">
          <a:spLocks noChangeArrowheads="1"/>
        </xdr:cNvSpPr>
      </xdr:nvSpPr>
      <xdr:spPr bwMode="auto">
        <a:xfrm>
          <a:off x="30657800" y="4013200"/>
          <a:ext cx="1790700" cy="1460500"/>
        </a:xfrm>
        <a:prstGeom prst="rect">
          <a:avLst/>
        </a:prstGeom>
        <a:solidFill>
          <a:srgbClr val="FFFF99">
            <a:alpha val="73000"/>
          </a:srgbClr>
        </a:solidFill>
        <a:ln w="9525">
          <a:solidFill>
            <a:srgbClr val="000000"/>
          </a:solidFill>
          <a:miter lim="800000"/>
          <a:headEnd/>
          <a:tailEnd/>
        </a:ln>
      </xdr:spPr>
      <xdr:txBody>
        <a:bodyPr vertOverflow="clip" wrap="square" lIns="27432" tIns="18288" rIns="0" bIns="18288" anchor="ctr" upright="1"/>
        <a:lstStyle/>
        <a:p>
          <a:pPr algn="l" rtl="0">
            <a:lnSpc>
              <a:spcPts val="1200"/>
            </a:lnSpc>
            <a:defRPr sz="1000"/>
          </a:pPr>
          <a:r>
            <a:rPr lang="da-DK" sz="1100" b="0" i="0" u="none" strike="noStrike" baseline="0">
              <a:solidFill>
                <a:srgbClr val="000000"/>
              </a:solidFill>
              <a:latin typeface="Verdana"/>
              <a:ea typeface="Verdana"/>
              <a:cs typeface="Verdana"/>
            </a:rPr>
            <a:t>Alle beløb indtastes i </a:t>
          </a:r>
        </a:p>
        <a:p>
          <a:pPr algn="l" rtl="0">
            <a:lnSpc>
              <a:spcPts val="1200"/>
            </a:lnSpc>
            <a:defRPr sz="1000"/>
          </a:pPr>
          <a:r>
            <a:rPr lang="da-DK" sz="1100" b="0" i="0" u="none" strike="noStrike" baseline="0">
              <a:solidFill>
                <a:srgbClr val="000000"/>
              </a:solidFill>
              <a:latin typeface="Verdana"/>
              <a:ea typeface="Verdana"/>
              <a:cs typeface="Verdana"/>
            </a:rPr>
            <a:t>31.03.12</a:t>
          </a:r>
        </a:p>
        <a:p>
          <a:pPr algn="l" rtl="0">
            <a:lnSpc>
              <a:spcPts val="1200"/>
            </a:lnSpc>
            <a:defRPr sz="1000"/>
          </a:pPr>
          <a:r>
            <a:rPr lang="da-DK" sz="1100" b="0" i="0" u="none" strike="noStrike" baseline="0">
              <a:solidFill>
                <a:srgbClr val="000000"/>
              </a:solidFill>
              <a:latin typeface="Verdana"/>
              <a:ea typeface="Verdana"/>
              <a:cs typeface="Verdana"/>
            </a:rPr>
            <a:t>-grundbeløb pr. år, så omregnes de automatisk til aktuel løn pr. md.</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olemikke/Desktop/Ole-M/L&#216;N/LonberegnApr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olemikke/Desktop/Ole-M/Udvikling/Lonberegn2011-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Users/olemikke/Library/Application%20Support/Microsoft/Office/Office%202011%20AutoRecovery/LonberegnApr13%20(version%201).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Users/olemikke/Desktop/Ole-M/L&#216;N/natpeng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erer-bhkll (Lockout)"/>
      <sheetName val="Vejledning"/>
      <sheetName val="Lockoutvejledning"/>
      <sheetName val="Nylønstillæg"/>
      <sheetName val="Grundlon"/>
      <sheetName val="Grundlon12"/>
    </sheetNames>
    <sheetDataSet>
      <sheetData sheetId="0"/>
      <sheetData sheetId="1"/>
      <sheetData sheetId="2"/>
      <sheetData sheetId="3"/>
      <sheetData sheetId="4">
        <row r="4">
          <cell r="A4">
            <v>1</v>
          </cell>
          <cell r="B4">
            <v>141011</v>
          </cell>
          <cell r="C4">
            <v>143641</v>
          </cell>
          <cell r="D4">
            <v>145461</v>
          </cell>
          <cell r="E4">
            <v>148092</v>
          </cell>
          <cell r="F4">
            <v>149912</v>
          </cell>
          <cell r="G4">
            <v>131168.56</v>
          </cell>
        </row>
        <row r="5">
          <cell r="A5">
            <v>2</v>
          </cell>
          <cell r="B5">
            <v>143176</v>
          </cell>
          <cell r="C5">
            <v>145871</v>
          </cell>
          <cell r="D5">
            <v>147736</v>
          </cell>
          <cell r="E5">
            <v>150429</v>
          </cell>
          <cell r="F5">
            <v>152295</v>
          </cell>
          <cell r="G5">
            <v>133198.04</v>
          </cell>
        </row>
        <row r="6">
          <cell r="A6">
            <v>3</v>
          </cell>
          <cell r="B6">
            <v>145401</v>
          </cell>
          <cell r="C6">
            <v>148160</v>
          </cell>
          <cell r="D6">
            <v>150071</v>
          </cell>
          <cell r="E6">
            <v>152830</v>
          </cell>
          <cell r="F6">
            <v>154742</v>
          </cell>
          <cell r="G6">
            <v>135282.59</v>
          </cell>
        </row>
        <row r="7">
          <cell r="A7">
            <v>4</v>
          </cell>
          <cell r="B7">
            <v>147687</v>
          </cell>
          <cell r="C7">
            <v>150515</v>
          </cell>
          <cell r="D7">
            <v>152473</v>
          </cell>
          <cell r="E7">
            <v>155300</v>
          </cell>
          <cell r="F7">
            <v>157257</v>
          </cell>
          <cell r="G7">
            <v>137424.97</v>
          </cell>
        </row>
        <row r="8">
          <cell r="A8">
            <v>5</v>
          </cell>
          <cell r="B8">
            <v>150035</v>
          </cell>
          <cell r="C8">
            <v>152932</v>
          </cell>
          <cell r="D8">
            <v>154939</v>
          </cell>
          <cell r="E8">
            <v>157836</v>
          </cell>
          <cell r="F8">
            <v>159841</v>
          </cell>
          <cell r="G8">
            <v>139625.18</v>
          </cell>
        </row>
        <row r="9">
          <cell r="A9">
            <v>6</v>
          </cell>
          <cell r="B9">
            <v>152450</v>
          </cell>
          <cell r="C9">
            <v>155418</v>
          </cell>
          <cell r="D9">
            <v>157474</v>
          </cell>
          <cell r="E9">
            <v>160442</v>
          </cell>
          <cell r="F9">
            <v>162497</v>
          </cell>
          <cell r="G9">
            <v>141887.34</v>
          </cell>
        </row>
        <row r="10">
          <cell r="A10">
            <v>7</v>
          </cell>
          <cell r="B10">
            <v>154928</v>
          </cell>
          <cell r="C10">
            <v>157970</v>
          </cell>
          <cell r="D10">
            <v>160076</v>
          </cell>
          <cell r="E10">
            <v>163118</v>
          </cell>
          <cell r="F10">
            <v>165223</v>
          </cell>
          <cell r="G10">
            <v>144210.09</v>
          </cell>
        </row>
        <row r="11">
          <cell r="A11">
            <v>8</v>
          </cell>
          <cell r="B11">
            <v>157475</v>
          </cell>
          <cell r="C11">
            <v>160592</v>
          </cell>
          <cell r="D11">
            <v>162751</v>
          </cell>
          <cell r="E11">
            <v>165868</v>
          </cell>
          <cell r="F11">
            <v>168027</v>
          </cell>
          <cell r="G11">
            <v>146597.54999999999</v>
          </cell>
        </row>
        <row r="12">
          <cell r="A12">
            <v>9</v>
          </cell>
          <cell r="B12">
            <v>160094</v>
          </cell>
          <cell r="C12">
            <v>163288</v>
          </cell>
          <cell r="D12">
            <v>165501</v>
          </cell>
          <cell r="E12">
            <v>168695</v>
          </cell>
          <cell r="F12">
            <v>170908</v>
          </cell>
          <cell r="G12">
            <v>149051.1</v>
          </cell>
        </row>
        <row r="13">
          <cell r="A13">
            <v>10</v>
          </cell>
          <cell r="B13">
            <v>162783</v>
          </cell>
          <cell r="C13">
            <v>166058</v>
          </cell>
          <cell r="D13">
            <v>168325</v>
          </cell>
          <cell r="E13">
            <v>171600</v>
          </cell>
          <cell r="F13">
            <v>173868</v>
          </cell>
          <cell r="G13">
            <v>151572.10999999999</v>
          </cell>
        </row>
        <row r="14">
          <cell r="A14">
            <v>11</v>
          </cell>
          <cell r="B14">
            <v>164905</v>
          </cell>
          <cell r="C14">
            <v>168261</v>
          </cell>
          <cell r="D14">
            <v>170585</v>
          </cell>
          <cell r="E14">
            <v>173941</v>
          </cell>
          <cell r="F14">
            <v>176265</v>
          </cell>
          <cell r="G14">
            <v>154161.97</v>
          </cell>
        </row>
        <row r="15">
          <cell r="A15">
            <v>12</v>
          </cell>
          <cell r="B15">
            <v>167744</v>
          </cell>
          <cell r="C15">
            <v>171185</v>
          </cell>
          <cell r="D15">
            <v>173568</v>
          </cell>
          <cell r="E15">
            <v>177008</v>
          </cell>
          <cell r="F15">
            <v>179390</v>
          </cell>
          <cell r="G15">
            <v>156823.42000000001</v>
          </cell>
        </row>
        <row r="16">
          <cell r="A16">
            <v>13</v>
          </cell>
          <cell r="B16">
            <v>170663</v>
          </cell>
          <cell r="C16">
            <v>174190</v>
          </cell>
          <cell r="D16">
            <v>176632</v>
          </cell>
          <cell r="E16">
            <v>180160</v>
          </cell>
          <cell r="F16">
            <v>182601</v>
          </cell>
          <cell r="G16">
            <v>159557.85</v>
          </cell>
        </row>
        <row r="17">
          <cell r="A17">
            <v>14</v>
          </cell>
          <cell r="B17">
            <v>173661</v>
          </cell>
          <cell r="C17">
            <v>177278</v>
          </cell>
          <cell r="D17">
            <v>179781</v>
          </cell>
          <cell r="E17">
            <v>183397</v>
          </cell>
          <cell r="F17">
            <v>185900</v>
          </cell>
          <cell r="G17">
            <v>162368</v>
          </cell>
        </row>
        <row r="18">
          <cell r="A18">
            <v>15</v>
          </cell>
          <cell r="B18">
            <v>176742</v>
          </cell>
          <cell r="C18">
            <v>180449</v>
          </cell>
          <cell r="D18">
            <v>183015</v>
          </cell>
          <cell r="E18">
            <v>186723</v>
          </cell>
          <cell r="F18">
            <v>189289</v>
          </cell>
          <cell r="G18">
            <v>165253.88</v>
          </cell>
        </row>
        <row r="19">
          <cell r="A19">
            <v>16</v>
          </cell>
          <cell r="B19">
            <v>179103</v>
          </cell>
          <cell r="C19">
            <v>182904</v>
          </cell>
          <cell r="D19">
            <v>185536</v>
          </cell>
          <cell r="E19">
            <v>189337</v>
          </cell>
          <cell r="F19">
            <v>191969</v>
          </cell>
          <cell r="G19">
            <v>168220.99</v>
          </cell>
        </row>
        <row r="20">
          <cell r="A20">
            <v>17</v>
          </cell>
          <cell r="B20">
            <v>182355</v>
          </cell>
          <cell r="C20">
            <v>186253</v>
          </cell>
          <cell r="D20">
            <v>188951</v>
          </cell>
          <cell r="E20">
            <v>192849</v>
          </cell>
          <cell r="F20">
            <v>195546</v>
          </cell>
          <cell r="G20">
            <v>171267.96</v>
          </cell>
        </row>
        <row r="21">
          <cell r="A21">
            <v>18</v>
          </cell>
          <cell r="B21">
            <v>185698</v>
          </cell>
          <cell r="C21">
            <v>189695</v>
          </cell>
          <cell r="D21">
            <v>192462</v>
          </cell>
          <cell r="E21">
            <v>196458</v>
          </cell>
          <cell r="F21">
            <v>199224</v>
          </cell>
          <cell r="G21">
            <v>174400.3</v>
          </cell>
        </row>
        <row r="22">
          <cell r="A22">
            <v>19</v>
          </cell>
          <cell r="B22">
            <v>188193</v>
          </cell>
          <cell r="C22">
            <v>192292</v>
          </cell>
          <cell r="D22">
            <v>195128</v>
          </cell>
          <cell r="E22">
            <v>199227</v>
          </cell>
          <cell r="F22">
            <v>202065</v>
          </cell>
          <cell r="G22">
            <v>177618</v>
          </cell>
        </row>
        <row r="23">
          <cell r="A23">
            <v>20</v>
          </cell>
          <cell r="B23">
            <v>190784</v>
          </cell>
          <cell r="C23">
            <v>194986</v>
          </cell>
          <cell r="D23">
            <v>197896</v>
          </cell>
          <cell r="E23">
            <v>202098</v>
          </cell>
          <cell r="F23">
            <v>205007</v>
          </cell>
          <cell r="G23">
            <v>180923.82</v>
          </cell>
        </row>
        <row r="24">
          <cell r="A24">
            <v>21</v>
          </cell>
          <cell r="B24">
            <v>193942</v>
          </cell>
          <cell r="C24">
            <v>198252</v>
          </cell>
          <cell r="D24">
            <v>201236</v>
          </cell>
          <cell r="E24">
            <v>205546</v>
          </cell>
          <cell r="F24">
            <v>208530</v>
          </cell>
          <cell r="G24">
            <v>184321.88</v>
          </cell>
        </row>
        <row r="25">
          <cell r="A25">
            <v>22</v>
          </cell>
          <cell r="B25">
            <v>196868</v>
          </cell>
          <cell r="C25">
            <v>201178</v>
          </cell>
          <cell r="D25">
            <v>204162</v>
          </cell>
          <cell r="E25">
            <v>208472</v>
          </cell>
          <cell r="F25">
            <v>211456</v>
          </cell>
          <cell r="G25">
            <v>187717.13</v>
          </cell>
        </row>
        <row r="26">
          <cell r="A26">
            <v>23</v>
          </cell>
          <cell r="B26">
            <v>200004</v>
          </cell>
          <cell r="C26">
            <v>204194</v>
          </cell>
          <cell r="D26">
            <v>207097</v>
          </cell>
          <cell r="E26">
            <v>211289</v>
          </cell>
          <cell r="F26">
            <v>214190</v>
          </cell>
          <cell r="G26">
            <v>191104.14</v>
          </cell>
        </row>
        <row r="27">
          <cell r="A27">
            <v>24</v>
          </cell>
          <cell r="B27">
            <v>203235</v>
          </cell>
          <cell r="C27">
            <v>207308</v>
          </cell>
          <cell r="D27">
            <v>210128</v>
          </cell>
          <cell r="E27">
            <v>214201</v>
          </cell>
          <cell r="F27">
            <v>217021</v>
          </cell>
          <cell r="G27">
            <v>194587.44</v>
          </cell>
        </row>
        <row r="28">
          <cell r="A28">
            <v>25</v>
          </cell>
          <cell r="B28">
            <v>206538</v>
          </cell>
          <cell r="C28">
            <v>210484</v>
          </cell>
          <cell r="D28">
            <v>213216</v>
          </cell>
          <cell r="E28">
            <v>217162</v>
          </cell>
          <cell r="F28">
            <v>219894</v>
          </cell>
          <cell r="G28">
            <v>198161</v>
          </cell>
        </row>
        <row r="29">
          <cell r="A29">
            <v>26</v>
          </cell>
          <cell r="B29">
            <v>209918</v>
          </cell>
          <cell r="C29">
            <v>213727</v>
          </cell>
          <cell r="D29">
            <v>216364</v>
          </cell>
          <cell r="E29">
            <v>220174</v>
          </cell>
          <cell r="F29">
            <v>222811</v>
          </cell>
          <cell r="G29">
            <v>201828.54</v>
          </cell>
        </row>
        <row r="30">
          <cell r="A30">
            <v>27</v>
          </cell>
          <cell r="B30">
            <v>213370</v>
          </cell>
          <cell r="C30">
            <v>217033</v>
          </cell>
          <cell r="D30">
            <v>219570</v>
          </cell>
          <cell r="E30">
            <v>223233</v>
          </cell>
          <cell r="F30">
            <v>225770</v>
          </cell>
          <cell r="G30">
            <v>205591</v>
          </cell>
        </row>
        <row r="31">
          <cell r="A31">
            <v>28</v>
          </cell>
          <cell r="B31">
            <v>216901</v>
          </cell>
          <cell r="C31">
            <v>220409</v>
          </cell>
          <cell r="D31">
            <v>222837</v>
          </cell>
          <cell r="E31">
            <v>226345</v>
          </cell>
          <cell r="F31">
            <v>228774</v>
          </cell>
          <cell r="G31">
            <v>209453.43</v>
          </cell>
        </row>
        <row r="32">
          <cell r="A32">
            <v>29</v>
          </cell>
          <cell r="B32">
            <v>220510</v>
          </cell>
          <cell r="C32">
            <v>223852</v>
          </cell>
          <cell r="D32">
            <v>226166</v>
          </cell>
          <cell r="E32">
            <v>229508</v>
          </cell>
          <cell r="F32">
            <v>231821</v>
          </cell>
          <cell r="G32">
            <v>213415.37</v>
          </cell>
        </row>
        <row r="33">
          <cell r="A33">
            <v>30</v>
          </cell>
          <cell r="B33">
            <v>224202</v>
          </cell>
          <cell r="C33">
            <v>227367</v>
          </cell>
          <cell r="D33">
            <v>229558</v>
          </cell>
          <cell r="E33">
            <v>232721</v>
          </cell>
          <cell r="F33">
            <v>234912</v>
          </cell>
          <cell r="G33">
            <v>217481.83</v>
          </cell>
        </row>
        <row r="34">
          <cell r="A34">
            <v>31</v>
          </cell>
          <cell r="B34">
            <v>227973</v>
          </cell>
          <cell r="C34">
            <v>230949</v>
          </cell>
          <cell r="D34">
            <v>233011</v>
          </cell>
          <cell r="E34">
            <v>235987</v>
          </cell>
          <cell r="F34">
            <v>238048</v>
          </cell>
          <cell r="G34">
            <v>221653.7</v>
          </cell>
        </row>
        <row r="35">
          <cell r="A35">
            <v>32</v>
          </cell>
          <cell r="B35">
            <v>231831</v>
          </cell>
          <cell r="C35">
            <v>234607</v>
          </cell>
          <cell r="D35">
            <v>236529</v>
          </cell>
          <cell r="E35">
            <v>239306</v>
          </cell>
          <cell r="F35">
            <v>241227</v>
          </cell>
          <cell r="G35">
            <v>225935.95</v>
          </cell>
        </row>
        <row r="36">
          <cell r="A36">
            <v>33</v>
          </cell>
          <cell r="B36">
            <v>235771</v>
          </cell>
          <cell r="C36">
            <v>238334</v>
          </cell>
          <cell r="D36">
            <v>240110</v>
          </cell>
          <cell r="E36">
            <v>242674</v>
          </cell>
          <cell r="F36">
            <v>244449</v>
          </cell>
          <cell r="G36">
            <v>230328.08</v>
          </cell>
        </row>
        <row r="37">
          <cell r="A37">
            <v>34</v>
          </cell>
          <cell r="B37">
            <v>239801</v>
          </cell>
          <cell r="C37">
            <v>242140</v>
          </cell>
          <cell r="D37">
            <v>243759</v>
          </cell>
          <cell r="E37">
            <v>246096</v>
          </cell>
          <cell r="F37">
            <v>247715</v>
          </cell>
          <cell r="G37">
            <v>234836.36</v>
          </cell>
        </row>
        <row r="38">
          <cell r="A38">
            <v>35</v>
          </cell>
          <cell r="B38">
            <v>243921</v>
          </cell>
          <cell r="C38">
            <v>246021</v>
          </cell>
          <cell r="D38">
            <v>247474</v>
          </cell>
          <cell r="E38">
            <v>249574</v>
          </cell>
          <cell r="F38">
            <v>251027</v>
          </cell>
          <cell r="G38">
            <v>239462.99</v>
          </cell>
        </row>
        <row r="39">
          <cell r="A39">
            <v>36</v>
          </cell>
          <cell r="B39">
            <v>248130</v>
          </cell>
          <cell r="C39">
            <v>249976</v>
          </cell>
          <cell r="D39">
            <v>251255</v>
          </cell>
          <cell r="E39">
            <v>253102</v>
          </cell>
          <cell r="F39">
            <v>254380</v>
          </cell>
          <cell r="G39">
            <v>244208.78</v>
          </cell>
        </row>
        <row r="40">
          <cell r="A40">
            <v>37</v>
          </cell>
          <cell r="B40">
            <v>252432</v>
          </cell>
          <cell r="C40">
            <v>254012</v>
          </cell>
          <cell r="D40">
            <v>255104</v>
          </cell>
          <cell r="E40">
            <v>256684</v>
          </cell>
          <cell r="F40">
            <v>257778</v>
          </cell>
          <cell r="G40">
            <v>249078.59</v>
          </cell>
        </row>
        <row r="41">
          <cell r="A41">
            <v>38</v>
          </cell>
          <cell r="B41">
            <v>256976</v>
          </cell>
          <cell r="C41">
            <v>258297</v>
          </cell>
          <cell r="D41">
            <v>259212</v>
          </cell>
          <cell r="E41">
            <v>260534</v>
          </cell>
          <cell r="F41">
            <v>261450</v>
          </cell>
          <cell r="G41">
            <v>254168.8</v>
          </cell>
        </row>
        <row r="42">
          <cell r="A42">
            <v>39</v>
          </cell>
          <cell r="B42">
            <v>261564</v>
          </cell>
          <cell r="C42">
            <v>262582</v>
          </cell>
          <cell r="D42">
            <v>263287</v>
          </cell>
          <cell r="E42">
            <v>264304</v>
          </cell>
          <cell r="F42">
            <v>265009</v>
          </cell>
          <cell r="G42">
            <v>259403.21</v>
          </cell>
        </row>
        <row r="43">
          <cell r="A43">
            <v>40</v>
          </cell>
          <cell r="B43">
            <v>266252</v>
          </cell>
          <cell r="C43">
            <v>266948</v>
          </cell>
          <cell r="D43">
            <v>267430</v>
          </cell>
          <cell r="E43">
            <v>268126</v>
          </cell>
          <cell r="F43">
            <v>268608</v>
          </cell>
          <cell r="G43">
            <v>264773.06</v>
          </cell>
        </row>
        <row r="44">
          <cell r="A44">
            <v>41</v>
          </cell>
          <cell r="B44">
            <v>271043</v>
          </cell>
          <cell r="C44">
            <v>271399</v>
          </cell>
          <cell r="D44">
            <v>271647</v>
          </cell>
          <cell r="E44">
            <v>272004</v>
          </cell>
          <cell r="F44">
            <v>272251</v>
          </cell>
          <cell r="G44">
            <v>270283.09000000003</v>
          </cell>
        </row>
        <row r="45">
          <cell r="A45">
            <v>42</v>
          </cell>
          <cell r="B45">
            <v>275937</v>
          </cell>
          <cell r="C45">
            <v>275937</v>
          </cell>
          <cell r="D45">
            <v>275937</v>
          </cell>
          <cell r="E45">
            <v>275937</v>
          </cell>
          <cell r="F45">
            <v>275937</v>
          </cell>
          <cell r="G45">
            <v>275936.7</v>
          </cell>
        </row>
        <row r="46">
          <cell r="A46">
            <v>43</v>
          </cell>
          <cell r="B46">
            <v>282063</v>
          </cell>
          <cell r="C46">
            <v>282063</v>
          </cell>
          <cell r="D46">
            <v>282063</v>
          </cell>
          <cell r="E46">
            <v>282063</v>
          </cell>
          <cell r="F46">
            <v>282063</v>
          </cell>
          <cell r="G46">
            <v>282062.88</v>
          </cell>
        </row>
        <row r="47">
          <cell r="A47">
            <v>44</v>
          </cell>
          <cell r="B47">
            <v>288356</v>
          </cell>
          <cell r="C47">
            <v>288356</v>
          </cell>
          <cell r="D47">
            <v>288356</v>
          </cell>
          <cell r="E47">
            <v>288356</v>
          </cell>
          <cell r="F47">
            <v>288356</v>
          </cell>
          <cell r="G47">
            <v>288356.47999999998</v>
          </cell>
        </row>
        <row r="48">
          <cell r="A48">
            <v>45</v>
          </cell>
          <cell r="B48">
            <v>294824</v>
          </cell>
          <cell r="C48">
            <v>294824</v>
          </cell>
          <cell r="D48">
            <v>294824</v>
          </cell>
          <cell r="E48">
            <v>294824</v>
          </cell>
          <cell r="F48">
            <v>294824</v>
          </cell>
          <cell r="G48">
            <v>294824.2</v>
          </cell>
        </row>
        <row r="49">
          <cell r="A49">
            <v>46</v>
          </cell>
          <cell r="B49">
            <v>301470</v>
          </cell>
          <cell r="C49">
            <v>301470</v>
          </cell>
          <cell r="D49">
            <v>301470</v>
          </cell>
          <cell r="E49">
            <v>301470</v>
          </cell>
          <cell r="F49">
            <v>301470</v>
          </cell>
          <cell r="G49">
            <v>301470.05</v>
          </cell>
        </row>
        <row r="50">
          <cell r="A50">
            <v>47</v>
          </cell>
          <cell r="B50">
            <v>315314</v>
          </cell>
          <cell r="C50">
            <v>315314</v>
          </cell>
          <cell r="D50">
            <v>315314</v>
          </cell>
          <cell r="E50">
            <v>315314</v>
          </cell>
          <cell r="F50">
            <v>315314</v>
          </cell>
          <cell r="G50">
            <v>315313.56</v>
          </cell>
        </row>
        <row r="51">
          <cell r="A51">
            <v>48</v>
          </cell>
          <cell r="B51">
            <v>336492</v>
          </cell>
          <cell r="C51">
            <v>336492</v>
          </cell>
          <cell r="D51">
            <v>336492</v>
          </cell>
          <cell r="E51">
            <v>336492</v>
          </cell>
          <cell r="F51">
            <v>336492</v>
          </cell>
          <cell r="G51">
            <v>336491.35</v>
          </cell>
        </row>
        <row r="52">
          <cell r="A52">
            <v>49</v>
          </cell>
          <cell r="B52">
            <v>359957</v>
          </cell>
          <cell r="C52">
            <v>359957</v>
          </cell>
          <cell r="D52">
            <v>359957</v>
          </cell>
          <cell r="E52">
            <v>359957</v>
          </cell>
          <cell r="F52">
            <v>359957</v>
          </cell>
          <cell r="G52">
            <v>359956.74</v>
          </cell>
        </row>
        <row r="53">
          <cell r="A53">
            <v>50</v>
          </cell>
          <cell r="B53">
            <v>397581</v>
          </cell>
          <cell r="C53">
            <v>397581</v>
          </cell>
          <cell r="D53">
            <v>397581</v>
          </cell>
          <cell r="E53">
            <v>397581</v>
          </cell>
          <cell r="F53">
            <v>397581</v>
          </cell>
          <cell r="G53">
            <v>397581.73</v>
          </cell>
        </row>
        <row r="54">
          <cell r="A54">
            <v>51</v>
          </cell>
          <cell r="B54">
            <v>444240</v>
          </cell>
          <cell r="C54">
            <v>444240</v>
          </cell>
          <cell r="D54">
            <v>444240</v>
          </cell>
          <cell r="E54">
            <v>444240</v>
          </cell>
          <cell r="F54">
            <v>444240</v>
          </cell>
          <cell r="G54">
            <v>444240.63</v>
          </cell>
        </row>
        <row r="55">
          <cell r="A55">
            <v>52</v>
          </cell>
          <cell r="B55">
            <v>484035</v>
          </cell>
          <cell r="C55">
            <v>484035</v>
          </cell>
          <cell r="D55">
            <v>484035</v>
          </cell>
          <cell r="E55">
            <v>484035</v>
          </cell>
          <cell r="F55">
            <v>484035</v>
          </cell>
          <cell r="G55">
            <v>484035.37</v>
          </cell>
        </row>
        <row r="56">
          <cell r="A56">
            <v>53</v>
          </cell>
          <cell r="B56">
            <v>538581</v>
          </cell>
          <cell r="C56">
            <v>538581</v>
          </cell>
          <cell r="D56">
            <v>538581</v>
          </cell>
          <cell r="E56">
            <v>538581</v>
          </cell>
          <cell r="F56">
            <v>538581</v>
          </cell>
          <cell r="G56">
            <v>538581.69999999995</v>
          </cell>
        </row>
        <row r="57">
          <cell r="A57">
            <v>54</v>
          </cell>
          <cell r="B57">
            <v>604096</v>
          </cell>
          <cell r="C57">
            <v>604096</v>
          </cell>
          <cell r="D57">
            <v>604096</v>
          </cell>
          <cell r="E57">
            <v>604096</v>
          </cell>
          <cell r="F57">
            <v>604096</v>
          </cell>
          <cell r="G57">
            <v>604095.94999999995</v>
          </cell>
        </row>
        <row r="58">
          <cell r="A58">
            <v>55</v>
          </cell>
          <cell r="B58">
            <v>679129</v>
          </cell>
          <cell r="C58">
            <v>679129</v>
          </cell>
          <cell r="D58">
            <v>679129</v>
          </cell>
          <cell r="E58">
            <v>679129</v>
          </cell>
          <cell r="F58">
            <v>679129</v>
          </cell>
          <cell r="G58">
            <v>679128.96</v>
          </cell>
        </row>
        <row r="59">
          <cell r="A59" t="str">
            <v>Læ1</v>
          </cell>
          <cell r="B59">
            <v>213400</v>
          </cell>
          <cell r="C59">
            <v>213400</v>
          </cell>
          <cell r="D59">
            <v>213400</v>
          </cell>
          <cell r="E59">
            <v>213400</v>
          </cell>
          <cell r="F59">
            <v>213400</v>
          </cell>
          <cell r="G59">
            <v>213400</v>
          </cell>
        </row>
        <row r="60">
          <cell r="A60" t="str">
            <v>Læ2</v>
          </cell>
          <cell r="B60">
            <v>227400</v>
          </cell>
          <cell r="C60">
            <v>227400</v>
          </cell>
          <cell r="D60">
            <v>227400</v>
          </cell>
          <cell r="E60">
            <v>227400</v>
          </cell>
          <cell r="F60">
            <v>227400</v>
          </cell>
          <cell r="G60">
            <v>227400</v>
          </cell>
        </row>
        <row r="61">
          <cell r="A61" t="str">
            <v>Læ3</v>
          </cell>
          <cell r="B61">
            <v>248500</v>
          </cell>
          <cell r="C61">
            <v>248500</v>
          </cell>
          <cell r="D61">
            <v>248500</v>
          </cell>
          <cell r="E61">
            <v>248500</v>
          </cell>
          <cell r="F61">
            <v>248500</v>
          </cell>
          <cell r="G61">
            <v>248500</v>
          </cell>
        </row>
        <row r="62">
          <cell r="A62" t="str">
            <v>Bh1</v>
          </cell>
          <cell r="B62">
            <v>203400</v>
          </cell>
          <cell r="C62">
            <v>203400</v>
          </cell>
          <cell r="D62">
            <v>203400</v>
          </cell>
          <cell r="E62">
            <v>203400</v>
          </cell>
          <cell r="F62">
            <v>203400</v>
          </cell>
          <cell r="G62">
            <v>203400</v>
          </cell>
        </row>
        <row r="63">
          <cell r="A63" t="str">
            <v>Bh2</v>
          </cell>
          <cell r="B63">
            <v>213400</v>
          </cell>
          <cell r="C63">
            <v>213400</v>
          </cell>
          <cell r="D63">
            <v>213400</v>
          </cell>
          <cell r="E63">
            <v>213400</v>
          </cell>
          <cell r="F63">
            <v>213400</v>
          </cell>
          <cell r="G63">
            <v>213400</v>
          </cell>
        </row>
        <row r="64">
          <cell r="A64" t="str">
            <v>Bh3</v>
          </cell>
          <cell r="B64">
            <v>221500</v>
          </cell>
          <cell r="C64">
            <v>221500</v>
          </cell>
          <cell r="D64">
            <v>221500</v>
          </cell>
          <cell r="E64">
            <v>221500</v>
          </cell>
          <cell r="F64">
            <v>221500</v>
          </cell>
          <cell r="G64">
            <v>221500</v>
          </cell>
        </row>
        <row r="69">
          <cell r="A69" t="str">
            <v>Læ1</v>
          </cell>
          <cell r="B69">
            <v>0</v>
          </cell>
          <cell r="C69">
            <v>3900</v>
          </cell>
          <cell r="D69">
            <v>6900</v>
          </cell>
          <cell r="E69">
            <v>10800</v>
          </cell>
          <cell r="F69">
            <v>13800</v>
          </cell>
        </row>
        <row r="70">
          <cell r="A70" t="str">
            <v>Læ2</v>
          </cell>
          <cell r="B70">
            <v>0</v>
          </cell>
          <cell r="C70">
            <v>3300</v>
          </cell>
          <cell r="D70">
            <v>5700</v>
          </cell>
          <cell r="E70">
            <v>9000</v>
          </cell>
          <cell r="F70">
            <v>11400</v>
          </cell>
        </row>
        <row r="71">
          <cell r="A71" t="str">
            <v>Læ3</v>
          </cell>
          <cell r="B71">
            <v>0</v>
          </cell>
          <cell r="C71">
            <v>2100</v>
          </cell>
          <cell r="D71">
            <v>3900</v>
          </cell>
          <cell r="E71">
            <v>6000</v>
          </cell>
          <cell r="F71">
            <v>7500</v>
          </cell>
        </row>
        <row r="72">
          <cell r="A72" t="str">
            <v>Bh1</v>
          </cell>
          <cell r="B72">
            <v>0</v>
          </cell>
          <cell r="C72">
            <v>4500</v>
          </cell>
          <cell r="D72">
            <v>7500</v>
          </cell>
          <cell r="E72">
            <v>12000</v>
          </cell>
          <cell r="F72">
            <v>15000</v>
          </cell>
        </row>
        <row r="73">
          <cell r="A73" t="str">
            <v>Bh2</v>
          </cell>
          <cell r="B73">
            <v>0</v>
          </cell>
          <cell r="C73">
            <v>3900</v>
          </cell>
          <cell r="D73">
            <v>6900</v>
          </cell>
          <cell r="E73">
            <v>10800</v>
          </cell>
          <cell r="F73">
            <v>13800</v>
          </cell>
        </row>
        <row r="74">
          <cell r="A74" t="str">
            <v>Bh3</v>
          </cell>
          <cell r="B74">
            <v>0</v>
          </cell>
          <cell r="C74">
            <v>3600</v>
          </cell>
          <cell r="D74">
            <v>6300</v>
          </cell>
          <cell r="E74">
            <v>9900</v>
          </cell>
          <cell r="F74">
            <v>12600</v>
          </cell>
        </row>
      </sheetData>
      <sheetData sheetId="5">
        <row r="4">
          <cell r="A4">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jledning"/>
      <sheetName val="Nylønstillæg"/>
      <sheetName val="Ex09_10"/>
      <sheetName val="Ex10_11"/>
      <sheetName val="Ex11_12"/>
      <sheetName val="Lonspec"/>
      <sheetName val="A"/>
      <sheetName val="B"/>
      <sheetName val="C"/>
      <sheetName val="D"/>
      <sheetName val="E"/>
      <sheetName val="F"/>
      <sheetName val="G"/>
      <sheetName val="H"/>
      <sheetName val="I"/>
      <sheetName val="J"/>
      <sheetName val="K"/>
      <sheetName val="L"/>
      <sheetName val="M"/>
      <sheetName val="N"/>
      <sheetName val="O"/>
      <sheetName val="P"/>
      <sheetName val="LonspecLeder"/>
      <sheetName val="Leder"/>
      <sheetName val="Grundlon"/>
      <sheetName val="andr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ow r="4">
          <cell r="A4">
            <v>1</v>
          </cell>
          <cell r="B4">
            <v>141011</v>
          </cell>
          <cell r="C4">
            <v>143641</v>
          </cell>
          <cell r="D4">
            <v>145461</v>
          </cell>
          <cell r="E4">
            <v>148092</v>
          </cell>
          <cell r="F4">
            <v>149912</v>
          </cell>
          <cell r="G4">
            <v>131168.56</v>
          </cell>
        </row>
        <row r="5">
          <cell r="A5">
            <v>2</v>
          </cell>
          <cell r="B5">
            <v>143176</v>
          </cell>
          <cell r="C5">
            <v>145871</v>
          </cell>
          <cell r="D5">
            <v>147736</v>
          </cell>
          <cell r="E5">
            <v>150429</v>
          </cell>
          <cell r="F5">
            <v>152295</v>
          </cell>
          <cell r="G5">
            <v>133198.04</v>
          </cell>
        </row>
        <row r="6">
          <cell r="A6">
            <v>3</v>
          </cell>
          <cell r="B6">
            <v>145401</v>
          </cell>
          <cell r="C6">
            <v>148160</v>
          </cell>
          <cell r="D6">
            <v>150071</v>
          </cell>
          <cell r="E6">
            <v>152830</v>
          </cell>
          <cell r="F6">
            <v>154742</v>
          </cell>
          <cell r="G6">
            <v>135282.59</v>
          </cell>
        </row>
        <row r="7">
          <cell r="A7">
            <v>4</v>
          </cell>
          <cell r="B7">
            <v>147687</v>
          </cell>
          <cell r="C7">
            <v>150515</v>
          </cell>
          <cell r="D7">
            <v>152473</v>
          </cell>
          <cell r="E7">
            <v>155300</v>
          </cell>
          <cell r="F7">
            <v>157257</v>
          </cell>
          <cell r="G7">
            <v>137424.97</v>
          </cell>
        </row>
        <row r="8">
          <cell r="A8">
            <v>5</v>
          </cell>
          <cell r="B8">
            <v>150035</v>
          </cell>
          <cell r="C8">
            <v>152932</v>
          </cell>
          <cell r="D8">
            <v>154939</v>
          </cell>
          <cell r="E8">
            <v>157836</v>
          </cell>
          <cell r="F8">
            <v>159841</v>
          </cell>
          <cell r="G8">
            <v>139625.18</v>
          </cell>
        </row>
        <row r="9">
          <cell r="A9">
            <v>6</v>
          </cell>
          <cell r="B9">
            <v>152450</v>
          </cell>
          <cell r="C9">
            <v>155418</v>
          </cell>
          <cell r="D9">
            <v>157474</v>
          </cell>
          <cell r="E9">
            <v>160442</v>
          </cell>
          <cell r="F9">
            <v>162497</v>
          </cell>
          <cell r="G9">
            <v>141887.34</v>
          </cell>
        </row>
        <row r="10">
          <cell r="A10">
            <v>7</v>
          </cell>
          <cell r="B10">
            <v>154928</v>
          </cell>
          <cell r="C10">
            <v>157970</v>
          </cell>
          <cell r="D10">
            <v>160076</v>
          </cell>
          <cell r="E10">
            <v>163118</v>
          </cell>
          <cell r="F10">
            <v>165223</v>
          </cell>
          <cell r="G10">
            <v>144210.09</v>
          </cell>
        </row>
        <row r="11">
          <cell r="A11">
            <v>8</v>
          </cell>
          <cell r="B11">
            <v>157475</v>
          </cell>
          <cell r="C11">
            <v>160592</v>
          </cell>
          <cell r="D11">
            <v>162751</v>
          </cell>
          <cell r="E11">
            <v>165868</v>
          </cell>
          <cell r="F11">
            <v>168027</v>
          </cell>
          <cell r="G11">
            <v>146597.54999999999</v>
          </cell>
        </row>
        <row r="12">
          <cell r="A12">
            <v>9</v>
          </cell>
          <cell r="B12">
            <v>160094</v>
          </cell>
          <cell r="C12">
            <v>163288</v>
          </cell>
          <cell r="D12">
            <v>165501</v>
          </cell>
          <cell r="E12">
            <v>168695</v>
          </cell>
          <cell r="F12">
            <v>170908</v>
          </cell>
          <cell r="G12">
            <v>149051.1</v>
          </cell>
        </row>
        <row r="13">
          <cell r="A13">
            <v>10</v>
          </cell>
          <cell r="B13">
            <v>162783</v>
          </cell>
          <cell r="C13">
            <v>166058</v>
          </cell>
          <cell r="D13">
            <v>168325</v>
          </cell>
          <cell r="E13">
            <v>171600</v>
          </cell>
          <cell r="F13">
            <v>173868</v>
          </cell>
          <cell r="G13">
            <v>151572.10999999999</v>
          </cell>
        </row>
        <row r="14">
          <cell r="A14">
            <v>11</v>
          </cell>
          <cell r="B14">
            <v>164905</v>
          </cell>
          <cell r="C14">
            <v>168261</v>
          </cell>
          <cell r="D14">
            <v>170585</v>
          </cell>
          <cell r="E14">
            <v>173941</v>
          </cell>
          <cell r="F14">
            <v>176265</v>
          </cell>
          <cell r="G14">
            <v>154161.97</v>
          </cell>
        </row>
        <row r="15">
          <cell r="A15">
            <v>12</v>
          </cell>
          <cell r="B15">
            <v>167744</v>
          </cell>
          <cell r="C15">
            <v>171185</v>
          </cell>
          <cell r="D15">
            <v>173568</v>
          </cell>
          <cell r="E15">
            <v>177008</v>
          </cell>
          <cell r="F15">
            <v>179390</v>
          </cell>
          <cell r="G15">
            <v>156823.42000000001</v>
          </cell>
        </row>
        <row r="16">
          <cell r="A16">
            <v>13</v>
          </cell>
          <cell r="B16">
            <v>170663</v>
          </cell>
          <cell r="C16">
            <v>174190</v>
          </cell>
          <cell r="D16">
            <v>176632</v>
          </cell>
          <cell r="E16">
            <v>180160</v>
          </cell>
          <cell r="F16">
            <v>182601</v>
          </cell>
          <cell r="G16">
            <v>159557.85</v>
          </cell>
        </row>
        <row r="17">
          <cell r="A17">
            <v>14</v>
          </cell>
          <cell r="B17">
            <v>173661</v>
          </cell>
          <cell r="C17">
            <v>177278</v>
          </cell>
          <cell r="D17">
            <v>179781</v>
          </cell>
          <cell r="E17">
            <v>183397</v>
          </cell>
          <cell r="F17">
            <v>185900</v>
          </cell>
          <cell r="G17">
            <v>162368</v>
          </cell>
        </row>
        <row r="18">
          <cell r="A18">
            <v>15</v>
          </cell>
          <cell r="B18">
            <v>176742</v>
          </cell>
          <cell r="C18">
            <v>180449</v>
          </cell>
          <cell r="D18">
            <v>183015</v>
          </cell>
          <cell r="E18">
            <v>186723</v>
          </cell>
          <cell r="F18">
            <v>189289</v>
          </cell>
          <cell r="G18">
            <v>165253.88</v>
          </cell>
        </row>
        <row r="19">
          <cell r="A19">
            <v>16</v>
          </cell>
          <cell r="B19">
            <v>179103</v>
          </cell>
          <cell r="C19">
            <v>182904</v>
          </cell>
          <cell r="D19">
            <v>185536</v>
          </cell>
          <cell r="E19">
            <v>189337</v>
          </cell>
          <cell r="F19">
            <v>191969</v>
          </cell>
          <cell r="G19">
            <v>168220.99</v>
          </cell>
        </row>
        <row r="20">
          <cell r="A20">
            <v>17</v>
          </cell>
          <cell r="B20">
            <v>182355</v>
          </cell>
          <cell r="C20">
            <v>186253</v>
          </cell>
          <cell r="D20">
            <v>188951</v>
          </cell>
          <cell r="E20">
            <v>192849</v>
          </cell>
          <cell r="F20">
            <v>195546</v>
          </cell>
          <cell r="G20">
            <v>171267.96</v>
          </cell>
        </row>
        <row r="21">
          <cell r="A21">
            <v>18</v>
          </cell>
          <cell r="B21">
            <v>185698</v>
          </cell>
          <cell r="C21">
            <v>189695</v>
          </cell>
          <cell r="D21">
            <v>192462</v>
          </cell>
          <cell r="E21">
            <v>196458</v>
          </cell>
          <cell r="F21">
            <v>199224</v>
          </cell>
          <cell r="G21">
            <v>174400.3</v>
          </cell>
        </row>
        <row r="22">
          <cell r="A22">
            <v>19</v>
          </cell>
          <cell r="B22">
            <v>188193</v>
          </cell>
          <cell r="C22">
            <v>192292</v>
          </cell>
          <cell r="D22">
            <v>195128</v>
          </cell>
          <cell r="E22">
            <v>199227</v>
          </cell>
          <cell r="F22">
            <v>202065</v>
          </cell>
          <cell r="G22">
            <v>177618</v>
          </cell>
        </row>
        <row r="23">
          <cell r="A23">
            <v>20</v>
          </cell>
          <cell r="B23">
            <v>190784</v>
          </cell>
          <cell r="C23">
            <v>194986</v>
          </cell>
          <cell r="D23">
            <v>197896</v>
          </cell>
          <cell r="E23">
            <v>202098</v>
          </cell>
          <cell r="F23">
            <v>205007</v>
          </cell>
          <cell r="G23">
            <v>180923.82</v>
          </cell>
        </row>
        <row r="24">
          <cell r="A24">
            <v>21</v>
          </cell>
          <cell r="B24">
            <v>193942</v>
          </cell>
          <cell r="C24">
            <v>198252</v>
          </cell>
          <cell r="D24">
            <v>201236</v>
          </cell>
          <cell r="E24">
            <v>205546</v>
          </cell>
          <cell r="F24">
            <v>208530</v>
          </cell>
          <cell r="G24">
            <v>184321.88</v>
          </cell>
        </row>
        <row r="25">
          <cell r="A25">
            <v>22</v>
          </cell>
          <cell r="B25">
            <v>196868</v>
          </cell>
          <cell r="C25">
            <v>201178</v>
          </cell>
          <cell r="D25">
            <v>204162</v>
          </cell>
          <cell r="E25">
            <v>208472</v>
          </cell>
          <cell r="F25">
            <v>211456</v>
          </cell>
          <cell r="G25">
            <v>187717.13</v>
          </cell>
        </row>
        <row r="26">
          <cell r="A26">
            <v>23</v>
          </cell>
          <cell r="B26">
            <v>200004</v>
          </cell>
          <cell r="C26">
            <v>204194</v>
          </cell>
          <cell r="D26">
            <v>207097</v>
          </cell>
          <cell r="E26">
            <v>211289</v>
          </cell>
          <cell r="F26">
            <v>214190</v>
          </cell>
          <cell r="G26">
            <v>191104.14</v>
          </cell>
        </row>
        <row r="27">
          <cell r="A27">
            <v>24</v>
          </cell>
          <cell r="B27">
            <v>203235</v>
          </cell>
          <cell r="C27">
            <v>207308</v>
          </cell>
          <cell r="D27">
            <v>210128</v>
          </cell>
          <cell r="E27">
            <v>214201</v>
          </cell>
          <cell r="F27">
            <v>217021</v>
          </cell>
          <cell r="G27">
            <v>194587.44</v>
          </cell>
        </row>
        <row r="28">
          <cell r="A28">
            <v>25</v>
          </cell>
          <cell r="B28">
            <v>206538</v>
          </cell>
          <cell r="C28">
            <v>210484</v>
          </cell>
          <cell r="D28">
            <v>213216</v>
          </cell>
          <cell r="E28">
            <v>217162</v>
          </cell>
          <cell r="F28">
            <v>219894</v>
          </cell>
          <cell r="G28">
            <v>198161</v>
          </cell>
        </row>
        <row r="29">
          <cell r="A29">
            <v>26</v>
          </cell>
          <cell r="B29">
            <v>209918</v>
          </cell>
          <cell r="C29">
            <v>213727</v>
          </cell>
          <cell r="D29">
            <v>216364</v>
          </cell>
          <cell r="E29">
            <v>220174</v>
          </cell>
          <cell r="F29">
            <v>222811</v>
          </cell>
          <cell r="G29">
            <v>201828.54</v>
          </cell>
        </row>
        <row r="30">
          <cell r="A30">
            <v>27</v>
          </cell>
          <cell r="B30">
            <v>213370</v>
          </cell>
          <cell r="C30">
            <v>217033</v>
          </cell>
          <cell r="D30">
            <v>219570</v>
          </cell>
          <cell r="E30">
            <v>223233</v>
          </cell>
          <cell r="F30">
            <v>225770</v>
          </cell>
          <cell r="G30">
            <v>205591</v>
          </cell>
        </row>
        <row r="31">
          <cell r="A31">
            <v>28</v>
          </cell>
          <cell r="B31">
            <v>216901</v>
          </cell>
          <cell r="C31">
            <v>220409</v>
          </cell>
          <cell r="D31">
            <v>222837</v>
          </cell>
          <cell r="E31">
            <v>226345</v>
          </cell>
          <cell r="F31">
            <v>228774</v>
          </cell>
          <cell r="G31">
            <v>209453.43</v>
          </cell>
        </row>
        <row r="32">
          <cell r="A32">
            <v>29</v>
          </cell>
          <cell r="B32">
            <v>220510</v>
          </cell>
          <cell r="C32">
            <v>223852</v>
          </cell>
          <cell r="D32">
            <v>226166</v>
          </cell>
          <cell r="E32">
            <v>229508</v>
          </cell>
          <cell r="F32">
            <v>231821</v>
          </cell>
          <cell r="G32">
            <v>213415.37</v>
          </cell>
        </row>
        <row r="33">
          <cell r="A33">
            <v>30</v>
          </cell>
          <cell r="B33">
            <v>224202</v>
          </cell>
          <cell r="C33">
            <v>227367</v>
          </cell>
          <cell r="D33">
            <v>229558</v>
          </cell>
          <cell r="E33">
            <v>232721</v>
          </cell>
          <cell r="F33">
            <v>234912</v>
          </cell>
          <cell r="G33">
            <v>217481.83</v>
          </cell>
        </row>
        <row r="34">
          <cell r="A34">
            <v>31</v>
          </cell>
          <cell r="B34">
            <v>227973</v>
          </cell>
          <cell r="C34">
            <v>230949</v>
          </cell>
          <cell r="D34">
            <v>233011</v>
          </cell>
          <cell r="E34">
            <v>235987</v>
          </cell>
          <cell r="F34">
            <v>238048</v>
          </cell>
          <cell r="G34">
            <v>221653.7</v>
          </cell>
        </row>
        <row r="35">
          <cell r="A35">
            <v>32</v>
          </cell>
          <cell r="B35">
            <v>231831</v>
          </cell>
          <cell r="C35">
            <v>234607</v>
          </cell>
          <cell r="D35">
            <v>236529</v>
          </cell>
          <cell r="E35">
            <v>239306</v>
          </cell>
          <cell r="F35">
            <v>241227</v>
          </cell>
          <cell r="G35">
            <v>225935.95</v>
          </cell>
        </row>
        <row r="36">
          <cell r="A36">
            <v>33</v>
          </cell>
          <cell r="B36">
            <v>235771</v>
          </cell>
          <cell r="C36">
            <v>238334</v>
          </cell>
          <cell r="D36">
            <v>240110</v>
          </cell>
          <cell r="E36">
            <v>242674</v>
          </cell>
          <cell r="F36">
            <v>244449</v>
          </cell>
          <cell r="G36">
            <v>230328.08</v>
          </cell>
        </row>
        <row r="37">
          <cell r="A37">
            <v>34</v>
          </cell>
          <cell r="B37">
            <v>239801</v>
          </cell>
          <cell r="C37">
            <v>242140</v>
          </cell>
          <cell r="D37">
            <v>243759</v>
          </cell>
          <cell r="E37">
            <v>246096</v>
          </cell>
          <cell r="F37">
            <v>247715</v>
          </cell>
          <cell r="G37">
            <v>234836.36</v>
          </cell>
        </row>
        <row r="38">
          <cell r="A38">
            <v>35</v>
          </cell>
          <cell r="B38">
            <v>243921</v>
          </cell>
          <cell r="C38">
            <v>246021</v>
          </cell>
          <cell r="D38">
            <v>247474</v>
          </cell>
          <cell r="E38">
            <v>249574</v>
          </cell>
          <cell r="F38">
            <v>251027</v>
          </cell>
          <cell r="G38">
            <v>239462.99</v>
          </cell>
        </row>
        <row r="39">
          <cell r="A39">
            <v>36</v>
          </cell>
          <cell r="B39">
            <v>248130</v>
          </cell>
          <cell r="C39">
            <v>249976</v>
          </cell>
          <cell r="D39">
            <v>251255</v>
          </cell>
          <cell r="E39">
            <v>253102</v>
          </cell>
          <cell r="F39">
            <v>254380</v>
          </cell>
          <cell r="G39">
            <v>244208.78</v>
          </cell>
        </row>
        <row r="40">
          <cell r="A40">
            <v>37</v>
          </cell>
          <cell r="B40">
            <v>252432</v>
          </cell>
          <cell r="C40">
            <v>254012</v>
          </cell>
          <cell r="D40">
            <v>255104</v>
          </cell>
          <cell r="E40">
            <v>256684</v>
          </cell>
          <cell r="F40">
            <v>257778</v>
          </cell>
          <cell r="G40">
            <v>249078.59</v>
          </cell>
        </row>
        <row r="41">
          <cell r="A41">
            <v>38</v>
          </cell>
          <cell r="B41">
            <v>256976</v>
          </cell>
          <cell r="C41">
            <v>258297</v>
          </cell>
          <cell r="D41">
            <v>259212</v>
          </cell>
          <cell r="E41">
            <v>260534</v>
          </cell>
          <cell r="F41">
            <v>261450</v>
          </cell>
          <cell r="G41">
            <v>254168.8</v>
          </cell>
        </row>
        <row r="42">
          <cell r="A42">
            <v>39</v>
          </cell>
          <cell r="B42">
            <v>261564</v>
          </cell>
          <cell r="C42">
            <v>262582</v>
          </cell>
          <cell r="D42">
            <v>263287</v>
          </cell>
          <cell r="E42">
            <v>264304</v>
          </cell>
          <cell r="F42">
            <v>265009</v>
          </cell>
          <cell r="G42">
            <v>259403.21</v>
          </cell>
        </row>
        <row r="43">
          <cell r="A43">
            <v>40</v>
          </cell>
          <cell r="B43">
            <v>266252</v>
          </cell>
          <cell r="C43">
            <v>266948</v>
          </cell>
          <cell r="D43">
            <v>267430</v>
          </cell>
          <cell r="E43">
            <v>268126</v>
          </cell>
          <cell r="F43">
            <v>268608</v>
          </cell>
          <cell r="G43">
            <v>264773.06</v>
          </cell>
        </row>
        <row r="44">
          <cell r="A44">
            <v>41</v>
          </cell>
          <cell r="B44">
            <v>271043</v>
          </cell>
          <cell r="C44">
            <v>271399</v>
          </cell>
          <cell r="D44">
            <v>271647</v>
          </cell>
          <cell r="E44">
            <v>272004</v>
          </cell>
          <cell r="F44">
            <v>272251</v>
          </cell>
          <cell r="G44">
            <v>270283.09000000003</v>
          </cell>
        </row>
        <row r="45">
          <cell r="A45">
            <v>42</v>
          </cell>
          <cell r="B45">
            <v>275937</v>
          </cell>
          <cell r="C45">
            <v>275937</v>
          </cell>
          <cell r="D45">
            <v>275937</v>
          </cell>
          <cell r="E45">
            <v>275937</v>
          </cell>
          <cell r="F45">
            <v>275937</v>
          </cell>
          <cell r="G45">
            <v>275936.7</v>
          </cell>
        </row>
        <row r="46">
          <cell r="A46">
            <v>43</v>
          </cell>
          <cell r="B46">
            <v>282063</v>
          </cell>
          <cell r="C46">
            <v>282063</v>
          </cell>
          <cell r="D46">
            <v>282063</v>
          </cell>
          <cell r="E46">
            <v>282063</v>
          </cell>
          <cell r="F46">
            <v>282063</v>
          </cell>
          <cell r="G46">
            <v>282062.88</v>
          </cell>
        </row>
        <row r="47">
          <cell r="A47">
            <v>44</v>
          </cell>
          <cell r="B47">
            <v>288356</v>
          </cell>
          <cell r="C47">
            <v>288356</v>
          </cell>
          <cell r="D47">
            <v>288356</v>
          </cell>
          <cell r="E47">
            <v>288356</v>
          </cell>
          <cell r="F47">
            <v>288356</v>
          </cell>
          <cell r="G47">
            <v>288356.47999999998</v>
          </cell>
        </row>
        <row r="48">
          <cell r="A48">
            <v>45</v>
          </cell>
          <cell r="B48">
            <v>294824</v>
          </cell>
          <cell r="C48">
            <v>294824</v>
          </cell>
          <cell r="D48">
            <v>294824</v>
          </cell>
          <cell r="E48">
            <v>294824</v>
          </cell>
          <cell r="F48">
            <v>294824</v>
          </cell>
          <cell r="G48">
            <v>294824.2</v>
          </cell>
        </row>
        <row r="49">
          <cell r="A49">
            <v>46</v>
          </cell>
          <cell r="B49">
            <v>301470</v>
          </cell>
          <cell r="C49">
            <v>301470</v>
          </cell>
          <cell r="D49">
            <v>301470</v>
          </cell>
          <cell r="E49">
            <v>301470</v>
          </cell>
          <cell r="F49">
            <v>301470</v>
          </cell>
          <cell r="G49">
            <v>301470.05</v>
          </cell>
        </row>
        <row r="50">
          <cell r="A50">
            <v>47</v>
          </cell>
          <cell r="B50">
            <v>315314</v>
          </cell>
          <cell r="C50">
            <v>315314</v>
          </cell>
          <cell r="D50">
            <v>315314</v>
          </cell>
          <cell r="E50">
            <v>315314</v>
          </cell>
          <cell r="F50">
            <v>315314</v>
          </cell>
          <cell r="G50">
            <v>315313.56</v>
          </cell>
        </row>
        <row r="51">
          <cell r="A51">
            <v>48</v>
          </cell>
          <cell r="B51">
            <v>336492</v>
          </cell>
          <cell r="C51">
            <v>336492</v>
          </cell>
          <cell r="D51">
            <v>336492</v>
          </cell>
          <cell r="E51">
            <v>336492</v>
          </cell>
          <cell r="F51">
            <v>336492</v>
          </cell>
          <cell r="G51">
            <v>336491.35</v>
          </cell>
        </row>
        <row r="52">
          <cell r="A52">
            <v>49</v>
          </cell>
          <cell r="B52">
            <v>359957</v>
          </cell>
          <cell r="C52">
            <v>359957</v>
          </cell>
          <cell r="D52">
            <v>359957</v>
          </cell>
          <cell r="E52">
            <v>359957</v>
          </cell>
          <cell r="F52">
            <v>359957</v>
          </cell>
          <cell r="G52">
            <v>359956.74</v>
          </cell>
        </row>
        <row r="53">
          <cell r="A53">
            <v>50</v>
          </cell>
          <cell r="B53">
            <v>397581</v>
          </cell>
          <cell r="C53">
            <v>397581</v>
          </cell>
          <cell r="D53">
            <v>397581</v>
          </cell>
          <cell r="E53">
            <v>397581</v>
          </cell>
          <cell r="F53">
            <v>397581</v>
          </cell>
          <cell r="G53">
            <v>397581.73</v>
          </cell>
        </row>
        <row r="54">
          <cell r="A54">
            <v>51</v>
          </cell>
          <cell r="B54">
            <v>444240</v>
          </cell>
          <cell r="C54">
            <v>444240</v>
          </cell>
          <cell r="D54">
            <v>444240</v>
          </cell>
          <cell r="E54">
            <v>444240</v>
          </cell>
          <cell r="F54">
            <v>444240</v>
          </cell>
          <cell r="G54">
            <v>444240.63</v>
          </cell>
        </row>
        <row r="55">
          <cell r="A55">
            <v>52</v>
          </cell>
          <cell r="B55">
            <v>484035</v>
          </cell>
          <cell r="C55">
            <v>484035</v>
          </cell>
          <cell r="D55">
            <v>484035</v>
          </cell>
          <cell r="E55">
            <v>484035</v>
          </cell>
          <cell r="F55">
            <v>484035</v>
          </cell>
          <cell r="G55">
            <v>484035.37</v>
          </cell>
        </row>
        <row r="56">
          <cell r="A56">
            <v>53</v>
          </cell>
          <cell r="B56">
            <v>538581</v>
          </cell>
          <cell r="C56">
            <v>538581</v>
          </cell>
          <cell r="D56">
            <v>538581</v>
          </cell>
          <cell r="E56">
            <v>538581</v>
          </cell>
          <cell r="F56">
            <v>538581</v>
          </cell>
          <cell r="G56">
            <v>538581.69999999995</v>
          </cell>
        </row>
        <row r="57">
          <cell r="A57">
            <v>54</v>
          </cell>
          <cell r="B57">
            <v>604096</v>
          </cell>
          <cell r="C57">
            <v>604096</v>
          </cell>
          <cell r="D57">
            <v>604096</v>
          </cell>
          <cell r="E57">
            <v>604096</v>
          </cell>
          <cell r="F57">
            <v>604096</v>
          </cell>
          <cell r="G57">
            <v>604095.94999999995</v>
          </cell>
        </row>
        <row r="58">
          <cell r="A58">
            <v>55</v>
          </cell>
          <cell r="B58">
            <v>679129</v>
          </cell>
          <cell r="C58">
            <v>679129</v>
          </cell>
          <cell r="D58">
            <v>679129</v>
          </cell>
          <cell r="E58">
            <v>679129</v>
          </cell>
          <cell r="F58">
            <v>679129</v>
          </cell>
          <cell r="G58">
            <v>679128.96</v>
          </cell>
        </row>
        <row r="59">
          <cell r="A59" t="str">
            <v>Læ1</v>
          </cell>
          <cell r="B59">
            <v>213400</v>
          </cell>
          <cell r="C59">
            <v>213400</v>
          </cell>
          <cell r="D59">
            <v>213400</v>
          </cell>
          <cell r="E59">
            <v>213400</v>
          </cell>
          <cell r="F59">
            <v>213400</v>
          </cell>
          <cell r="G59">
            <v>213400</v>
          </cell>
        </row>
        <row r="60">
          <cell r="A60" t="str">
            <v>Læ2</v>
          </cell>
          <cell r="B60">
            <v>227400</v>
          </cell>
          <cell r="C60">
            <v>227400</v>
          </cell>
          <cell r="D60">
            <v>227400</v>
          </cell>
          <cell r="E60">
            <v>227400</v>
          </cell>
          <cell r="F60">
            <v>227400</v>
          </cell>
          <cell r="G60">
            <v>227400</v>
          </cell>
        </row>
        <row r="61">
          <cell r="A61" t="str">
            <v>Læ3</v>
          </cell>
          <cell r="B61">
            <v>248500</v>
          </cell>
          <cell r="C61">
            <v>248500</v>
          </cell>
          <cell r="D61">
            <v>248500</v>
          </cell>
          <cell r="E61">
            <v>248500</v>
          </cell>
          <cell r="F61">
            <v>248500</v>
          </cell>
          <cell r="G61">
            <v>248500</v>
          </cell>
        </row>
        <row r="62">
          <cell r="A62" t="str">
            <v>Bh1</v>
          </cell>
          <cell r="B62">
            <v>203400</v>
          </cell>
          <cell r="C62">
            <v>203400</v>
          </cell>
          <cell r="D62">
            <v>203400</v>
          </cell>
          <cell r="E62">
            <v>203400</v>
          </cell>
          <cell r="F62">
            <v>203400</v>
          </cell>
          <cell r="G62">
            <v>203400</v>
          </cell>
        </row>
        <row r="63">
          <cell r="A63" t="str">
            <v>Bh2</v>
          </cell>
          <cell r="B63">
            <v>213400</v>
          </cell>
          <cell r="C63">
            <v>213400</v>
          </cell>
          <cell r="D63">
            <v>213400</v>
          </cell>
          <cell r="E63">
            <v>213400</v>
          </cell>
          <cell r="F63">
            <v>213400</v>
          </cell>
          <cell r="G63">
            <v>213400</v>
          </cell>
        </row>
        <row r="64">
          <cell r="A64" t="str">
            <v>Bh3</v>
          </cell>
          <cell r="B64">
            <v>221500</v>
          </cell>
          <cell r="C64">
            <v>221500</v>
          </cell>
          <cell r="D64">
            <v>221500</v>
          </cell>
          <cell r="E64">
            <v>221500</v>
          </cell>
          <cell r="F64">
            <v>221500</v>
          </cell>
          <cell r="G64">
            <v>221500</v>
          </cell>
        </row>
        <row r="69">
          <cell r="A69" t="str">
            <v>Læ1</v>
          </cell>
          <cell r="B69">
            <v>0</v>
          </cell>
          <cell r="C69">
            <v>3900</v>
          </cell>
          <cell r="D69">
            <v>6900</v>
          </cell>
          <cell r="E69">
            <v>10800</v>
          </cell>
          <cell r="F69">
            <v>13800</v>
          </cell>
        </row>
        <row r="70">
          <cell r="A70" t="str">
            <v>Læ2</v>
          </cell>
          <cell r="B70">
            <v>0</v>
          </cell>
          <cell r="C70">
            <v>3300</v>
          </cell>
          <cell r="D70">
            <v>5700</v>
          </cell>
          <cell r="E70">
            <v>9000</v>
          </cell>
          <cell r="F70">
            <v>11400</v>
          </cell>
        </row>
        <row r="71">
          <cell r="A71" t="str">
            <v>Læ3</v>
          </cell>
          <cell r="B71">
            <v>0</v>
          </cell>
          <cell r="C71">
            <v>2100</v>
          </cell>
          <cell r="D71">
            <v>3900</v>
          </cell>
          <cell r="E71">
            <v>6000</v>
          </cell>
          <cell r="F71">
            <v>7500</v>
          </cell>
        </row>
        <row r="72">
          <cell r="A72" t="str">
            <v>Bh1</v>
          </cell>
          <cell r="B72">
            <v>0</v>
          </cell>
          <cell r="C72">
            <v>4500</v>
          </cell>
          <cell r="D72">
            <v>7500</v>
          </cell>
          <cell r="E72">
            <v>12000</v>
          </cell>
          <cell r="F72">
            <v>15000</v>
          </cell>
        </row>
        <row r="73">
          <cell r="A73" t="str">
            <v>Bh2</v>
          </cell>
          <cell r="B73">
            <v>0</v>
          </cell>
          <cell r="C73">
            <v>3900</v>
          </cell>
          <cell r="D73">
            <v>6900</v>
          </cell>
          <cell r="E73">
            <v>10800</v>
          </cell>
          <cell r="F73">
            <v>13800</v>
          </cell>
        </row>
        <row r="74">
          <cell r="A74" t="str">
            <v>Bh3</v>
          </cell>
          <cell r="B74">
            <v>0</v>
          </cell>
          <cell r="C74">
            <v>3600</v>
          </cell>
          <cell r="D74">
            <v>6300</v>
          </cell>
          <cell r="E74">
            <v>9900</v>
          </cell>
          <cell r="F74">
            <v>12600</v>
          </cell>
        </row>
      </sheetData>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erer-bhkll (Lockout)"/>
      <sheetName val="Vejledning"/>
      <sheetName val="Lockoutvejledning"/>
      <sheetName val="Nylønstillæg"/>
      <sheetName val="Grundlon"/>
      <sheetName val="Grundlon12"/>
      <sheetName val="Trin4tillaeg"/>
    </sheetNames>
    <sheetDataSet>
      <sheetData sheetId="0"/>
      <sheetData sheetId="1"/>
      <sheetData sheetId="2"/>
      <sheetData sheetId="3"/>
      <sheetData sheetId="4"/>
      <sheetData sheetId="5">
        <row r="4">
          <cell r="A4">
            <v>1</v>
          </cell>
          <cell r="B4">
            <v>184817</v>
          </cell>
          <cell r="C4">
            <v>188265</v>
          </cell>
          <cell r="D4">
            <v>190650</v>
          </cell>
          <cell r="E4">
            <v>194098</v>
          </cell>
          <cell r="F4">
            <v>196484</v>
          </cell>
          <cell r="G4">
            <v>171917.38</v>
          </cell>
        </row>
        <row r="5">
          <cell r="A5">
            <v>2</v>
          </cell>
          <cell r="B5">
            <v>187655</v>
          </cell>
          <cell r="C5">
            <v>191187</v>
          </cell>
          <cell r="D5">
            <v>193632</v>
          </cell>
          <cell r="E5">
            <v>197161</v>
          </cell>
          <cell r="F5">
            <v>199607</v>
          </cell>
          <cell r="G5">
            <v>174577.34</v>
          </cell>
        </row>
        <row r="6">
          <cell r="A6">
            <v>3</v>
          </cell>
          <cell r="B6">
            <v>190571</v>
          </cell>
          <cell r="C6">
            <v>194187</v>
          </cell>
          <cell r="D6">
            <v>196692</v>
          </cell>
          <cell r="E6">
            <v>200308</v>
          </cell>
          <cell r="F6">
            <v>202814</v>
          </cell>
          <cell r="G6">
            <v>177309.48</v>
          </cell>
        </row>
        <row r="7">
          <cell r="A7">
            <v>4</v>
          </cell>
          <cell r="B7">
            <v>193567</v>
          </cell>
          <cell r="C7">
            <v>197274</v>
          </cell>
          <cell r="D7">
            <v>199840</v>
          </cell>
          <cell r="E7">
            <v>203545</v>
          </cell>
          <cell r="F7">
            <v>206110</v>
          </cell>
          <cell r="G7">
            <v>180117.41</v>
          </cell>
        </row>
        <row r="8">
          <cell r="A8">
            <v>5</v>
          </cell>
          <cell r="B8">
            <v>196645</v>
          </cell>
          <cell r="C8">
            <v>200442</v>
          </cell>
          <cell r="D8">
            <v>203072</v>
          </cell>
          <cell r="E8">
            <v>206869</v>
          </cell>
          <cell r="F8">
            <v>209497</v>
          </cell>
          <cell r="G8">
            <v>183001.14</v>
          </cell>
        </row>
        <row r="9">
          <cell r="A9">
            <v>6</v>
          </cell>
          <cell r="B9">
            <v>199810</v>
          </cell>
          <cell r="C9">
            <v>203700</v>
          </cell>
          <cell r="D9">
            <v>206395</v>
          </cell>
          <cell r="E9">
            <v>210285</v>
          </cell>
          <cell r="F9">
            <v>212978</v>
          </cell>
          <cell r="G9">
            <v>185966.06</v>
          </cell>
        </row>
        <row r="10">
          <cell r="A10">
            <v>7</v>
          </cell>
          <cell r="B10">
            <v>203058</v>
          </cell>
          <cell r="C10">
            <v>207045</v>
          </cell>
          <cell r="D10">
            <v>209805</v>
          </cell>
          <cell r="E10">
            <v>213792</v>
          </cell>
          <cell r="F10">
            <v>216551</v>
          </cell>
          <cell r="G10">
            <v>189010.4</v>
          </cell>
        </row>
        <row r="11">
          <cell r="A11">
            <v>8</v>
          </cell>
          <cell r="B11">
            <v>206396</v>
          </cell>
          <cell r="C11">
            <v>210482</v>
          </cell>
          <cell r="D11">
            <v>213311</v>
          </cell>
          <cell r="E11">
            <v>217397</v>
          </cell>
          <cell r="F11">
            <v>220226</v>
          </cell>
          <cell r="G11">
            <v>192139.54</v>
          </cell>
        </row>
        <row r="12">
          <cell r="A12">
            <v>9</v>
          </cell>
          <cell r="B12">
            <v>209829</v>
          </cell>
          <cell r="C12">
            <v>214015</v>
          </cell>
          <cell r="D12">
            <v>216916</v>
          </cell>
          <cell r="E12">
            <v>221102</v>
          </cell>
          <cell r="F12">
            <v>224002</v>
          </cell>
          <cell r="G12">
            <v>195355.31</v>
          </cell>
        </row>
        <row r="13">
          <cell r="A13">
            <v>10</v>
          </cell>
          <cell r="B13">
            <v>213353</v>
          </cell>
          <cell r="C13">
            <v>217646</v>
          </cell>
          <cell r="D13">
            <v>220617</v>
          </cell>
          <cell r="E13">
            <v>224909</v>
          </cell>
          <cell r="F13">
            <v>227882</v>
          </cell>
          <cell r="G13">
            <v>198659.5</v>
          </cell>
        </row>
        <row r="14">
          <cell r="A14">
            <v>11</v>
          </cell>
          <cell r="B14">
            <v>216134</v>
          </cell>
          <cell r="C14">
            <v>220533</v>
          </cell>
          <cell r="D14">
            <v>223579</v>
          </cell>
          <cell r="E14">
            <v>227978</v>
          </cell>
          <cell r="F14">
            <v>231023</v>
          </cell>
          <cell r="G14">
            <v>202053.93</v>
          </cell>
        </row>
        <row r="15">
          <cell r="A15">
            <v>12</v>
          </cell>
          <cell r="B15">
            <v>219855</v>
          </cell>
          <cell r="C15">
            <v>224365</v>
          </cell>
          <cell r="D15">
            <v>227489</v>
          </cell>
          <cell r="E15">
            <v>231997</v>
          </cell>
          <cell r="F15">
            <v>235119</v>
          </cell>
          <cell r="G15">
            <v>205542.18</v>
          </cell>
        </row>
        <row r="16">
          <cell r="A16">
            <v>13</v>
          </cell>
          <cell r="B16">
            <v>223681</v>
          </cell>
          <cell r="C16">
            <v>228304</v>
          </cell>
          <cell r="D16">
            <v>231504</v>
          </cell>
          <cell r="E16">
            <v>236129</v>
          </cell>
          <cell r="F16">
            <v>239328</v>
          </cell>
          <cell r="G16">
            <v>209126.09</v>
          </cell>
        </row>
        <row r="17">
          <cell r="A17">
            <v>14</v>
          </cell>
          <cell r="B17">
            <v>227611</v>
          </cell>
          <cell r="C17">
            <v>232351</v>
          </cell>
          <cell r="D17">
            <v>235632</v>
          </cell>
          <cell r="E17">
            <v>240371</v>
          </cell>
          <cell r="F17">
            <v>243652</v>
          </cell>
          <cell r="G17">
            <v>212809.24</v>
          </cell>
        </row>
        <row r="18">
          <cell r="A18">
            <v>15</v>
          </cell>
          <cell r="B18">
            <v>231649</v>
          </cell>
          <cell r="C18">
            <v>236507</v>
          </cell>
          <cell r="D18">
            <v>239870</v>
          </cell>
          <cell r="E18">
            <v>244730</v>
          </cell>
          <cell r="F18">
            <v>248094</v>
          </cell>
          <cell r="G18">
            <v>216591.65</v>
          </cell>
        </row>
        <row r="19">
          <cell r="A19">
            <v>16</v>
          </cell>
          <cell r="B19">
            <v>234743</v>
          </cell>
          <cell r="C19">
            <v>239725</v>
          </cell>
          <cell r="D19">
            <v>243175</v>
          </cell>
          <cell r="E19">
            <v>248156</v>
          </cell>
          <cell r="F19">
            <v>251606</v>
          </cell>
          <cell r="G19">
            <v>220480.52</v>
          </cell>
        </row>
        <row r="20">
          <cell r="A20">
            <v>17</v>
          </cell>
          <cell r="B20">
            <v>239005</v>
          </cell>
          <cell r="C20">
            <v>244114</v>
          </cell>
          <cell r="D20">
            <v>247651</v>
          </cell>
          <cell r="E20">
            <v>252759</v>
          </cell>
          <cell r="F20">
            <v>256294</v>
          </cell>
          <cell r="G20">
            <v>224474.06</v>
          </cell>
        </row>
        <row r="21">
          <cell r="A21">
            <v>18</v>
          </cell>
          <cell r="B21">
            <v>243387</v>
          </cell>
          <cell r="C21">
            <v>248626</v>
          </cell>
          <cell r="D21">
            <v>252252</v>
          </cell>
          <cell r="E21">
            <v>257490</v>
          </cell>
          <cell r="F21">
            <v>261115</v>
          </cell>
          <cell r="G21">
            <v>228579.5</v>
          </cell>
        </row>
        <row r="22">
          <cell r="A22">
            <v>19</v>
          </cell>
          <cell r="B22">
            <v>246657</v>
          </cell>
          <cell r="C22">
            <v>252029</v>
          </cell>
          <cell r="D22">
            <v>255746</v>
          </cell>
          <cell r="E22">
            <v>261119</v>
          </cell>
          <cell r="F22">
            <v>264839</v>
          </cell>
          <cell r="G22">
            <v>232796.81</v>
          </cell>
        </row>
        <row r="23">
          <cell r="A23">
            <v>20</v>
          </cell>
          <cell r="B23">
            <v>250053</v>
          </cell>
          <cell r="C23">
            <v>255560</v>
          </cell>
          <cell r="D23">
            <v>259374</v>
          </cell>
          <cell r="E23">
            <v>264882</v>
          </cell>
          <cell r="F23">
            <v>268694</v>
          </cell>
          <cell r="G23">
            <v>237129.61</v>
          </cell>
        </row>
        <row r="24">
          <cell r="A24">
            <v>21</v>
          </cell>
          <cell r="B24">
            <v>254192</v>
          </cell>
          <cell r="C24">
            <v>259841</v>
          </cell>
          <cell r="D24">
            <v>263752</v>
          </cell>
          <cell r="E24">
            <v>269401</v>
          </cell>
          <cell r="F24">
            <v>273312</v>
          </cell>
          <cell r="G24">
            <v>241583.32</v>
          </cell>
        </row>
        <row r="25">
          <cell r="A25">
            <v>22</v>
          </cell>
          <cell r="B25">
            <v>258027</v>
          </cell>
          <cell r="C25">
            <v>263676</v>
          </cell>
          <cell r="D25">
            <v>267587</v>
          </cell>
          <cell r="E25">
            <v>273236</v>
          </cell>
          <cell r="F25">
            <v>277147</v>
          </cell>
          <cell r="G25">
            <v>246033.33</v>
          </cell>
        </row>
        <row r="26">
          <cell r="A26">
            <v>23</v>
          </cell>
          <cell r="B26">
            <v>262137</v>
          </cell>
          <cell r="C26">
            <v>267629</v>
          </cell>
          <cell r="D26">
            <v>271434</v>
          </cell>
          <cell r="E26">
            <v>276928</v>
          </cell>
          <cell r="F26">
            <v>280730</v>
          </cell>
          <cell r="G26">
            <v>250472.55</v>
          </cell>
        </row>
        <row r="27">
          <cell r="A27">
            <v>24</v>
          </cell>
          <cell r="B27">
            <v>266372</v>
          </cell>
          <cell r="C27">
            <v>271710</v>
          </cell>
          <cell r="D27">
            <v>275406</v>
          </cell>
          <cell r="E27">
            <v>280745</v>
          </cell>
          <cell r="F27">
            <v>284441</v>
          </cell>
          <cell r="G27">
            <v>255037.97</v>
          </cell>
        </row>
        <row r="28">
          <cell r="A28">
            <v>25</v>
          </cell>
          <cell r="B28">
            <v>270701</v>
          </cell>
          <cell r="C28">
            <v>275873</v>
          </cell>
          <cell r="D28">
            <v>279454</v>
          </cell>
          <cell r="E28">
            <v>284626</v>
          </cell>
          <cell r="F28">
            <v>288206</v>
          </cell>
          <cell r="G28">
            <v>259721.7</v>
          </cell>
        </row>
        <row r="29">
          <cell r="A29">
            <v>26</v>
          </cell>
          <cell r="B29">
            <v>275131</v>
          </cell>
          <cell r="C29">
            <v>280123</v>
          </cell>
          <cell r="D29">
            <v>283580</v>
          </cell>
          <cell r="E29">
            <v>288573</v>
          </cell>
          <cell r="F29">
            <v>292029</v>
          </cell>
          <cell r="G29">
            <v>264528.59000000003</v>
          </cell>
        </row>
        <row r="30">
          <cell r="A30">
            <v>27</v>
          </cell>
          <cell r="B30">
            <v>279656</v>
          </cell>
          <cell r="C30">
            <v>284456</v>
          </cell>
          <cell r="D30">
            <v>287782</v>
          </cell>
          <cell r="E30">
            <v>292583</v>
          </cell>
          <cell r="F30">
            <v>295908</v>
          </cell>
          <cell r="G30">
            <v>269459.90000000002</v>
          </cell>
        </row>
        <row r="31">
          <cell r="A31">
            <v>28</v>
          </cell>
          <cell r="B31">
            <v>284283</v>
          </cell>
          <cell r="C31">
            <v>288881</v>
          </cell>
          <cell r="D31">
            <v>292064</v>
          </cell>
          <cell r="E31">
            <v>296661</v>
          </cell>
          <cell r="F31">
            <v>299845</v>
          </cell>
          <cell r="G31">
            <v>274522.23</v>
          </cell>
        </row>
        <row r="32">
          <cell r="A32">
            <v>29</v>
          </cell>
          <cell r="B32">
            <v>289014</v>
          </cell>
          <cell r="C32">
            <v>293394</v>
          </cell>
          <cell r="D32">
            <v>296427</v>
          </cell>
          <cell r="E32">
            <v>300807</v>
          </cell>
          <cell r="F32">
            <v>303839</v>
          </cell>
          <cell r="G32">
            <v>279714.99</v>
          </cell>
        </row>
        <row r="33">
          <cell r="A33">
            <v>30</v>
          </cell>
          <cell r="B33">
            <v>293853</v>
          </cell>
          <cell r="C33">
            <v>298001</v>
          </cell>
          <cell r="D33">
            <v>300872</v>
          </cell>
          <cell r="E33">
            <v>305018</v>
          </cell>
          <cell r="F33">
            <v>307890</v>
          </cell>
          <cell r="G33">
            <v>285044.74</v>
          </cell>
        </row>
        <row r="34">
          <cell r="A34">
            <v>31</v>
          </cell>
          <cell r="B34">
            <v>298795</v>
          </cell>
          <cell r="C34">
            <v>302696</v>
          </cell>
          <cell r="D34">
            <v>305398</v>
          </cell>
          <cell r="E34">
            <v>309299</v>
          </cell>
          <cell r="F34">
            <v>312000</v>
          </cell>
          <cell r="G34">
            <v>290512.64000000001</v>
          </cell>
        </row>
        <row r="35">
          <cell r="A35">
            <v>32</v>
          </cell>
          <cell r="B35">
            <v>303852</v>
          </cell>
          <cell r="C35">
            <v>307490</v>
          </cell>
          <cell r="D35">
            <v>310009</v>
          </cell>
          <cell r="E35">
            <v>313649</v>
          </cell>
          <cell r="F35">
            <v>316167</v>
          </cell>
          <cell r="G35">
            <v>296125.21000000002</v>
          </cell>
        </row>
        <row r="36">
          <cell r="A36">
            <v>33</v>
          </cell>
          <cell r="B36">
            <v>309016</v>
          </cell>
          <cell r="C36">
            <v>312375</v>
          </cell>
          <cell r="D36">
            <v>314703</v>
          </cell>
          <cell r="E36">
            <v>318063</v>
          </cell>
          <cell r="F36">
            <v>320390</v>
          </cell>
          <cell r="G36">
            <v>301881.8</v>
          </cell>
        </row>
        <row r="37">
          <cell r="A37">
            <v>34</v>
          </cell>
          <cell r="B37">
            <v>314298</v>
          </cell>
          <cell r="C37">
            <v>317363</v>
          </cell>
          <cell r="D37">
            <v>319485</v>
          </cell>
          <cell r="E37">
            <v>322548</v>
          </cell>
          <cell r="F37">
            <v>324670</v>
          </cell>
          <cell r="G37">
            <v>307790.62</v>
          </cell>
        </row>
        <row r="38">
          <cell r="A38">
            <v>35</v>
          </cell>
          <cell r="B38">
            <v>319697</v>
          </cell>
          <cell r="C38">
            <v>322450</v>
          </cell>
          <cell r="D38">
            <v>324354</v>
          </cell>
          <cell r="E38">
            <v>327107</v>
          </cell>
          <cell r="F38">
            <v>329011</v>
          </cell>
          <cell r="G38">
            <v>313854.56</v>
          </cell>
        </row>
        <row r="39">
          <cell r="A39">
            <v>36</v>
          </cell>
          <cell r="B39">
            <v>325214</v>
          </cell>
          <cell r="C39">
            <v>327634</v>
          </cell>
          <cell r="D39">
            <v>329310</v>
          </cell>
          <cell r="E39">
            <v>331731</v>
          </cell>
          <cell r="F39">
            <v>333406</v>
          </cell>
          <cell r="G39">
            <v>320074.68</v>
          </cell>
        </row>
        <row r="40">
          <cell r="A40">
            <v>37</v>
          </cell>
          <cell r="B40">
            <v>330853</v>
          </cell>
          <cell r="C40">
            <v>332923</v>
          </cell>
          <cell r="D40">
            <v>334355</v>
          </cell>
          <cell r="E40">
            <v>336425</v>
          </cell>
          <cell r="F40">
            <v>337859</v>
          </cell>
          <cell r="G40">
            <v>326457.34000000003</v>
          </cell>
        </row>
        <row r="41">
          <cell r="A41">
            <v>38</v>
          </cell>
          <cell r="B41">
            <v>336808</v>
          </cell>
          <cell r="C41">
            <v>338540</v>
          </cell>
          <cell r="D41">
            <v>339739</v>
          </cell>
          <cell r="E41">
            <v>341471</v>
          </cell>
          <cell r="F41">
            <v>342672</v>
          </cell>
          <cell r="G41">
            <v>333128.88</v>
          </cell>
        </row>
        <row r="42">
          <cell r="A42">
            <v>39</v>
          </cell>
          <cell r="B42">
            <v>342821</v>
          </cell>
          <cell r="C42">
            <v>344156</v>
          </cell>
          <cell r="D42">
            <v>345080</v>
          </cell>
          <cell r="E42">
            <v>346413</v>
          </cell>
          <cell r="F42">
            <v>347337</v>
          </cell>
          <cell r="G42">
            <v>339989.41</v>
          </cell>
        </row>
        <row r="43">
          <cell r="A43">
            <v>40</v>
          </cell>
          <cell r="B43">
            <v>348966</v>
          </cell>
          <cell r="C43">
            <v>349878</v>
          </cell>
          <cell r="D43">
            <v>350510</v>
          </cell>
          <cell r="E43">
            <v>351422</v>
          </cell>
          <cell r="F43">
            <v>352054</v>
          </cell>
          <cell r="G43">
            <v>347027.46</v>
          </cell>
        </row>
        <row r="44">
          <cell r="A44">
            <v>41</v>
          </cell>
          <cell r="B44">
            <v>355245</v>
          </cell>
          <cell r="C44">
            <v>355712</v>
          </cell>
          <cell r="D44">
            <v>356037</v>
          </cell>
          <cell r="E44">
            <v>356505</v>
          </cell>
          <cell r="F44">
            <v>356828</v>
          </cell>
          <cell r="G44">
            <v>354249.23</v>
          </cell>
        </row>
        <row r="45">
          <cell r="A45">
            <v>42</v>
          </cell>
          <cell r="B45">
            <v>361660</v>
          </cell>
          <cell r="C45">
            <v>361660</v>
          </cell>
          <cell r="D45">
            <v>361660</v>
          </cell>
          <cell r="E45">
            <v>361660</v>
          </cell>
          <cell r="F45">
            <v>361660</v>
          </cell>
          <cell r="G45">
            <v>361659.2</v>
          </cell>
        </row>
        <row r="46">
          <cell r="A46">
            <v>43</v>
          </cell>
          <cell r="B46">
            <v>369689</v>
          </cell>
          <cell r="C46">
            <v>369689</v>
          </cell>
          <cell r="D46">
            <v>369689</v>
          </cell>
          <cell r="E46">
            <v>369689</v>
          </cell>
          <cell r="F46">
            <v>369689</v>
          </cell>
          <cell r="G46">
            <v>369688.53</v>
          </cell>
        </row>
        <row r="47">
          <cell r="A47">
            <v>44</v>
          </cell>
          <cell r="B47">
            <v>377937</v>
          </cell>
          <cell r="C47">
            <v>377937</v>
          </cell>
          <cell r="D47">
            <v>377937</v>
          </cell>
          <cell r="E47">
            <v>377937</v>
          </cell>
          <cell r="F47">
            <v>377937</v>
          </cell>
          <cell r="G47">
            <v>377937.3</v>
          </cell>
        </row>
        <row r="48">
          <cell r="A48">
            <v>45</v>
          </cell>
          <cell r="B48">
            <v>386414</v>
          </cell>
          <cell r="C48">
            <v>386414</v>
          </cell>
          <cell r="D48">
            <v>386414</v>
          </cell>
          <cell r="E48">
            <v>386414</v>
          </cell>
          <cell r="F48">
            <v>386414</v>
          </cell>
          <cell r="G48">
            <v>386414.29</v>
          </cell>
        </row>
        <row r="49">
          <cell r="A49">
            <v>46</v>
          </cell>
          <cell r="B49">
            <v>395125</v>
          </cell>
          <cell r="C49">
            <v>395125</v>
          </cell>
          <cell r="D49">
            <v>395125</v>
          </cell>
          <cell r="E49">
            <v>395125</v>
          </cell>
          <cell r="F49">
            <v>395125</v>
          </cell>
          <cell r="G49">
            <v>395124.74</v>
          </cell>
        </row>
        <row r="50">
          <cell r="A50">
            <v>47</v>
          </cell>
          <cell r="B50">
            <v>413269</v>
          </cell>
          <cell r="C50">
            <v>413269</v>
          </cell>
          <cell r="D50">
            <v>413269</v>
          </cell>
          <cell r="E50">
            <v>413269</v>
          </cell>
          <cell r="F50">
            <v>413269</v>
          </cell>
          <cell r="G50">
            <v>413268.87</v>
          </cell>
        </row>
        <row r="51">
          <cell r="A51">
            <v>48</v>
          </cell>
          <cell r="B51">
            <v>441027</v>
          </cell>
          <cell r="C51">
            <v>441027</v>
          </cell>
          <cell r="D51">
            <v>441027</v>
          </cell>
          <cell r="E51">
            <v>441027</v>
          </cell>
          <cell r="F51">
            <v>441027</v>
          </cell>
          <cell r="G51">
            <v>441025.75</v>
          </cell>
        </row>
        <row r="52">
          <cell r="A52">
            <v>49</v>
          </cell>
          <cell r="B52">
            <v>471781</v>
          </cell>
          <cell r="C52">
            <v>471781</v>
          </cell>
          <cell r="D52">
            <v>471781</v>
          </cell>
          <cell r="E52">
            <v>471781</v>
          </cell>
          <cell r="F52">
            <v>471781</v>
          </cell>
          <cell r="G52">
            <v>471780.9</v>
          </cell>
        </row>
        <row r="53">
          <cell r="A53">
            <v>50</v>
          </cell>
          <cell r="B53">
            <v>521094</v>
          </cell>
          <cell r="C53">
            <v>521094</v>
          </cell>
          <cell r="D53">
            <v>521094</v>
          </cell>
          <cell r="E53">
            <v>521094</v>
          </cell>
          <cell r="F53">
            <v>521094</v>
          </cell>
          <cell r="G53">
            <v>521094.47</v>
          </cell>
        </row>
        <row r="54">
          <cell r="A54">
            <v>51</v>
          </cell>
          <cell r="B54">
            <v>592911</v>
          </cell>
          <cell r="C54">
            <v>592911</v>
          </cell>
          <cell r="D54">
            <v>592911</v>
          </cell>
          <cell r="E54">
            <v>592911</v>
          </cell>
          <cell r="F54">
            <v>592911</v>
          </cell>
          <cell r="G54">
            <v>592911.94999999995</v>
          </cell>
        </row>
        <row r="55">
          <cell r="A55">
            <v>52</v>
          </cell>
          <cell r="B55">
            <v>650993</v>
          </cell>
          <cell r="C55">
            <v>650993</v>
          </cell>
          <cell r="D55">
            <v>650993</v>
          </cell>
          <cell r="E55">
            <v>650993</v>
          </cell>
          <cell r="F55">
            <v>650993</v>
          </cell>
          <cell r="G55">
            <v>650993.51</v>
          </cell>
        </row>
        <row r="56">
          <cell r="A56">
            <v>53</v>
          </cell>
          <cell r="B56">
            <v>728408</v>
          </cell>
          <cell r="C56">
            <v>728408</v>
          </cell>
          <cell r="D56">
            <v>728408</v>
          </cell>
          <cell r="E56">
            <v>728408</v>
          </cell>
          <cell r="F56">
            <v>728408</v>
          </cell>
          <cell r="G56">
            <v>728409.39</v>
          </cell>
        </row>
        <row r="57">
          <cell r="A57">
            <v>54</v>
          </cell>
          <cell r="B57">
            <v>821385</v>
          </cell>
          <cell r="C57">
            <v>821385</v>
          </cell>
          <cell r="D57">
            <v>821385</v>
          </cell>
          <cell r="E57">
            <v>821385</v>
          </cell>
          <cell r="F57">
            <v>821385</v>
          </cell>
          <cell r="G57">
            <v>821385.31</v>
          </cell>
        </row>
        <row r="58">
          <cell r="A58">
            <v>55</v>
          </cell>
          <cell r="B58">
            <v>925652</v>
          </cell>
          <cell r="C58">
            <v>925652</v>
          </cell>
          <cell r="D58">
            <v>925652</v>
          </cell>
          <cell r="E58">
            <v>925652</v>
          </cell>
          <cell r="F58">
            <v>925652</v>
          </cell>
          <cell r="G58">
            <v>925652.26</v>
          </cell>
        </row>
        <row r="59">
          <cell r="A59" t="str">
            <v>Læ1</v>
          </cell>
          <cell r="B59">
            <v>279695</v>
          </cell>
          <cell r="C59">
            <v>279695</v>
          </cell>
          <cell r="D59">
            <v>279695</v>
          </cell>
          <cell r="E59">
            <v>279695</v>
          </cell>
          <cell r="F59">
            <v>279695</v>
          </cell>
          <cell r="G59">
            <v>279695</v>
          </cell>
        </row>
        <row r="60">
          <cell r="A60" t="str">
            <v>Læ2</v>
          </cell>
          <cell r="B60">
            <v>298044</v>
          </cell>
          <cell r="C60">
            <v>298044</v>
          </cell>
          <cell r="D60">
            <v>298044</v>
          </cell>
          <cell r="E60">
            <v>298044</v>
          </cell>
          <cell r="F60">
            <v>298044</v>
          </cell>
          <cell r="G60">
            <v>298044</v>
          </cell>
        </row>
        <row r="61">
          <cell r="A61" t="str">
            <v>Læ3</v>
          </cell>
          <cell r="B61">
            <v>325699</v>
          </cell>
          <cell r="C61">
            <v>325699</v>
          </cell>
          <cell r="D61">
            <v>325699</v>
          </cell>
          <cell r="E61">
            <v>325699</v>
          </cell>
          <cell r="F61">
            <v>325699</v>
          </cell>
          <cell r="G61">
            <v>325699</v>
          </cell>
        </row>
        <row r="62">
          <cell r="A62" t="str">
            <v>Bh1</v>
          </cell>
          <cell r="B62">
            <v>266588</v>
          </cell>
          <cell r="C62">
            <v>266588</v>
          </cell>
          <cell r="D62">
            <v>266588</v>
          </cell>
          <cell r="E62">
            <v>266588</v>
          </cell>
          <cell r="F62">
            <v>266588</v>
          </cell>
          <cell r="G62">
            <v>266588</v>
          </cell>
        </row>
        <row r="63">
          <cell r="A63" t="str">
            <v>Bh2</v>
          </cell>
          <cell r="B63">
            <v>279695</v>
          </cell>
          <cell r="C63">
            <v>279695</v>
          </cell>
          <cell r="D63">
            <v>279695</v>
          </cell>
          <cell r="E63">
            <v>279695</v>
          </cell>
          <cell r="F63">
            <v>279695</v>
          </cell>
          <cell r="G63">
            <v>279695</v>
          </cell>
        </row>
        <row r="64">
          <cell r="A64" t="str">
            <v>Bh3</v>
          </cell>
          <cell r="B64">
            <v>290311</v>
          </cell>
          <cell r="C64">
            <v>290311</v>
          </cell>
          <cell r="D64">
            <v>290311</v>
          </cell>
          <cell r="E64">
            <v>290311</v>
          </cell>
          <cell r="F64">
            <v>290311</v>
          </cell>
          <cell r="G64">
            <v>290311</v>
          </cell>
        </row>
        <row r="69">
          <cell r="A69" t="str">
            <v>Læ1</v>
          </cell>
          <cell r="B69">
            <v>0</v>
          </cell>
          <cell r="C69">
            <v>3900</v>
          </cell>
          <cell r="D69">
            <v>6900</v>
          </cell>
          <cell r="E69">
            <v>10800</v>
          </cell>
          <cell r="F69">
            <v>13800</v>
          </cell>
        </row>
        <row r="70">
          <cell r="A70" t="str">
            <v>Læ2</v>
          </cell>
          <cell r="B70">
            <v>0</v>
          </cell>
          <cell r="C70">
            <v>3300</v>
          </cell>
          <cell r="D70">
            <v>5700</v>
          </cell>
          <cell r="E70">
            <v>9000</v>
          </cell>
          <cell r="F70">
            <v>11400</v>
          </cell>
        </row>
        <row r="71">
          <cell r="A71" t="str">
            <v>Læ3</v>
          </cell>
          <cell r="B71">
            <v>0</v>
          </cell>
          <cell r="C71">
            <v>2100</v>
          </cell>
          <cell r="D71">
            <v>3900</v>
          </cell>
          <cell r="E71">
            <v>6000</v>
          </cell>
          <cell r="F71">
            <v>7500</v>
          </cell>
        </row>
        <row r="72">
          <cell r="A72" t="str">
            <v>Bh1</v>
          </cell>
          <cell r="B72">
            <v>0</v>
          </cell>
          <cell r="C72">
            <v>4500</v>
          </cell>
          <cell r="D72">
            <v>7500</v>
          </cell>
          <cell r="E72">
            <v>12000</v>
          </cell>
          <cell r="F72">
            <v>15000</v>
          </cell>
        </row>
        <row r="73">
          <cell r="A73" t="str">
            <v>Bh2</v>
          </cell>
          <cell r="B73">
            <v>0</v>
          </cell>
          <cell r="C73">
            <v>3900</v>
          </cell>
          <cell r="D73">
            <v>6900</v>
          </cell>
          <cell r="E73">
            <v>10800</v>
          </cell>
          <cell r="F73">
            <v>13800</v>
          </cell>
        </row>
        <row r="74">
          <cell r="A74" t="str">
            <v>Bh3</v>
          </cell>
          <cell r="B74">
            <v>0</v>
          </cell>
          <cell r="C74">
            <v>3600</v>
          </cell>
          <cell r="D74">
            <v>6300</v>
          </cell>
          <cell r="E74">
            <v>9900</v>
          </cell>
          <cell r="F74">
            <v>12600</v>
          </cell>
        </row>
      </sheetData>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penge"/>
      <sheetName val="Byt"/>
    </sheetNames>
    <definedNames>
      <definedName name="bytom"/>
    </defined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Tove Dohn" id="{A8E38661-4210-B847-A2A2-6A67A86BF882}" userId="S::tove@friskolerne.dk::cf832d71-50f8-4653-95bd-ced5cfa07810"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4" dT="2021-07-06T14:58:43.47" personId="{A8E38661-4210-B847-A2A2-6A67A86BF882}" id="{D7AD2A34-4904-334D-9B47-62E230041626}">
    <text>Pr. 1. april 2021 siger bh. kl. lederes løn med kr. 4.700,- i årligt grundbeløb.</text>
  </threadedComment>
  <threadedComment ref="G7" dT="2019-09-02T11:31:48.80" personId="{A8E38661-4210-B847-A2A2-6A67A86BF882}" id="{2563B399-27EF-1245-9F5B-5BBF3A5D3AF2}">
    <text>Skolens stedtillægsområde videreføres til de øvrige faner.</text>
  </threadedComment>
  <threadedComment ref="T7" dT="2019-09-02T11:31:48.80" personId="{A8E38661-4210-B847-A2A2-6A67A86BF882}" id="{DCF91D4B-BC0E-D145-8FA4-4A2E39D21064}">
    <text>Skolens stedtillægsområde videreføres til de øvrige faner.</text>
  </threadedComment>
  <threadedComment ref="L29" dT="2020-07-08T11:21:01.38" personId="{A8E38661-4210-B847-A2A2-6A67A86BF882}" id="{5034BCBB-19E1-454F-B40E-25BBAE0F4271}">
    <text>Indtast ny skatteprocent</text>
  </threadedComment>
  <threadedComment ref="Y29" dT="2020-07-08T11:21:01.38" personId="{A8E38661-4210-B847-A2A2-6A67A86BF882}" id="{6C3072EF-174D-334B-8924-C562B4BCB8E6}">
    <text>Indtast ny skatteprocent</text>
  </threadedComment>
  <threadedComment ref="L30" dT="2020-07-08T11:44:35.73" personId="{A8E38661-4210-B847-A2A2-6A67A86BF882}" id="{2DEA3D5E-08A0-1340-9FD0-93F1F01DCECD}">
    <text>Indtast nyt fradrag</text>
  </threadedComment>
  <threadedComment ref="Y30" dT="2020-07-08T11:44:35.73" personId="{A8E38661-4210-B847-A2A2-6A67A86BF882}" id="{29D853F1-2DC4-6949-A5DF-6C39218B886E}">
    <text>Indtast nyt fradrag</text>
  </threadedComment>
</ThreadedComments>
</file>

<file path=xl/threadedComments/threadedComment10.xml><?xml version="1.0" encoding="utf-8"?>
<ThreadedComments xmlns="http://schemas.microsoft.com/office/spreadsheetml/2018/threadedcomments" xmlns:x="http://schemas.openxmlformats.org/spreadsheetml/2006/main">
  <threadedComment ref="AB4" dT="2021-07-06T14:58:43.47" personId="{A8E38661-4210-B847-A2A2-6A67A86BF882}" id="{858D873D-20AE-844D-A647-102430869F38}">
    <text>Pr. 1. april 2021 siger bh. kl. lederes løn med kr. 4.700,- i årligt grundbeløb.</text>
  </threadedComment>
  <threadedComment ref="G7" dT="2019-09-02T11:31:48.80" personId="{A8E38661-4210-B847-A2A2-6A67A86BF882}" id="{24D7FB4F-8F4E-B049-912F-CE8E915C1D9A}">
    <text>Skolens stedtillægsområde videreføres til de øvrige faner.</text>
  </threadedComment>
  <threadedComment ref="T7" dT="2019-09-02T11:31:48.80" personId="{A8E38661-4210-B847-A2A2-6A67A86BF882}" id="{29C17532-3E91-DB49-B076-953FE1E6195A}">
    <text>Skolens stedtillægsområde videreføres til de øvrige faner.</text>
  </threadedComment>
  <threadedComment ref="L29" dT="2020-07-08T11:21:01.38" personId="{A8E38661-4210-B847-A2A2-6A67A86BF882}" id="{85C24096-EDF8-6B4B-A46D-C5185E54F8AD}">
    <text>Indtast ny skatteprocent</text>
  </threadedComment>
  <threadedComment ref="Y29" dT="2020-07-08T11:21:01.38" personId="{A8E38661-4210-B847-A2A2-6A67A86BF882}" id="{64A69288-FC09-3D43-863D-DDE682108D47}">
    <text>Indtast ny skatteprocent</text>
  </threadedComment>
  <threadedComment ref="L30" dT="2020-07-08T11:44:35.73" personId="{A8E38661-4210-B847-A2A2-6A67A86BF882}" id="{8F3CBBB2-E58F-EE4B-90FE-3D5DB7660E63}">
    <text>Indtast nyt fradrag</text>
  </threadedComment>
  <threadedComment ref="Y30" dT="2020-07-08T11:44:35.73" personId="{A8E38661-4210-B847-A2A2-6A67A86BF882}" id="{4D8DDAFD-E8F7-654C-82D9-9B9761E9E9C6}">
    <text>Indtast nyt fradrag</text>
  </threadedComment>
</ThreadedComments>
</file>

<file path=xl/threadedComments/threadedComment11.xml><?xml version="1.0" encoding="utf-8"?>
<ThreadedComments xmlns="http://schemas.microsoft.com/office/spreadsheetml/2018/threadedcomments" xmlns:x="http://schemas.openxmlformats.org/spreadsheetml/2006/main">
  <threadedComment ref="AB4" dT="2021-07-06T14:58:43.47" personId="{A8E38661-4210-B847-A2A2-6A67A86BF882}" id="{574AA60C-64FA-5941-92A4-7C24FA85E0E0}">
    <text>Pr. 1. april 2021 siger bh. kl. lederes løn med kr. 4.700,- i årligt grundbeløb.</text>
  </threadedComment>
  <threadedComment ref="G7" dT="2019-09-02T11:31:48.80" personId="{A8E38661-4210-B847-A2A2-6A67A86BF882}" id="{F4B34946-DE65-2A46-945A-36BE59A86793}">
    <text>Skolens stedtillægsområde videreføres til de øvrige faner.</text>
  </threadedComment>
  <threadedComment ref="T7" dT="2019-09-02T11:31:48.80" personId="{A8E38661-4210-B847-A2A2-6A67A86BF882}" id="{036F5A47-4765-A540-8016-F825DC56235A}">
    <text>Skolens stedtillægsområde videreføres til de øvrige faner.</text>
  </threadedComment>
  <threadedComment ref="L29" dT="2020-07-08T11:21:01.38" personId="{A8E38661-4210-B847-A2A2-6A67A86BF882}" id="{29718F11-629C-D148-8312-5F26E2B1A442}">
    <text>Indtast ny skatteprocent</text>
  </threadedComment>
  <threadedComment ref="Y29" dT="2020-07-08T11:21:01.38" personId="{A8E38661-4210-B847-A2A2-6A67A86BF882}" id="{47BE7595-A4D0-3E42-AF77-CD14B38CECC5}">
    <text>Indtast ny skatteprocent</text>
  </threadedComment>
  <threadedComment ref="L30" dT="2020-07-08T11:44:35.73" personId="{A8E38661-4210-B847-A2A2-6A67A86BF882}" id="{549BCA5F-7A19-9D47-94C0-6B0BD96D70FB}">
    <text>Indtast nyt fradrag</text>
  </threadedComment>
  <threadedComment ref="Y30" dT="2020-07-08T11:44:35.73" personId="{A8E38661-4210-B847-A2A2-6A67A86BF882}" id="{0BF803A3-98F6-B74C-81C5-946350B5C39F}">
    <text>Indtast nyt fradrag</text>
  </threadedComment>
</ThreadedComments>
</file>

<file path=xl/threadedComments/threadedComment12.xml><?xml version="1.0" encoding="utf-8"?>
<ThreadedComments xmlns="http://schemas.microsoft.com/office/spreadsheetml/2018/threadedcomments" xmlns:x="http://schemas.openxmlformats.org/spreadsheetml/2006/main">
  <threadedComment ref="AB4" dT="2021-07-06T14:58:43.47" personId="{A8E38661-4210-B847-A2A2-6A67A86BF882}" id="{0940A264-E2E5-D54B-8120-CBAB112C2B99}">
    <text>Pr. 1. april 2021 siger bh. kl. lederes løn med kr. 4.700,- i årligt grundbeløb.</text>
  </threadedComment>
  <threadedComment ref="G7" dT="2019-09-02T11:31:48.80" personId="{A8E38661-4210-B847-A2A2-6A67A86BF882}" id="{007D6927-B204-4949-8C13-B5C7E8C77D6F}">
    <text>Skolens stedtillægsområde videreføres til de øvrige faner.</text>
  </threadedComment>
  <threadedComment ref="T7" dT="2019-09-02T11:31:48.80" personId="{A8E38661-4210-B847-A2A2-6A67A86BF882}" id="{2609EF0C-424C-0C44-928E-26E74BD4C14F}">
    <text>Skolens stedtillægsområde videreføres til de øvrige faner.</text>
  </threadedComment>
  <threadedComment ref="L29" dT="2020-07-08T11:21:01.38" personId="{A8E38661-4210-B847-A2A2-6A67A86BF882}" id="{CCD0CBE5-67B0-984B-94F0-31CCD52F079D}">
    <text>Indtast ny skatteprocent</text>
  </threadedComment>
  <threadedComment ref="Y29" dT="2020-07-08T11:21:01.38" personId="{A8E38661-4210-B847-A2A2-6A67A86BF882}" id="{087A93BD-FEFE-2A45-9E69-A32357DE5049}">
    <text>Indtast ny skatteprocent</text>
  </threadedComment>
  <threadedComment ref="L30" dT="2020-07-08T11:44:35.73" personId="{A8E38661-4210-B847-A2A2-6A67A86BF882}" id="{7DA0DB4C-1592-F346-98AA-20912F80C348}">
    <text>Indtast nyt fradrag</text>
  </threadedComment>
  <threadedComment ref="Y30" dT="2020-07-08T11:44:35.73" personId="{A8E38661-4210-B847-A2A2-6A67A86BF882}" id="{B56F2EC7-9FD8-4C4E-9646-F4E8A9763E78}">
    <text>Indtast nyt fradrag</text>
  </threadedComment>
</ThreadedComments>
</file>

<file path=xl/threadedComments/threadedComment13.xml><?xml version="1.0" encoding="utf-8"?>
<ThreadedComments xmlns="http://schemas.microsoft.com/office/spreadsheetml/2018/threadedcomments" xmlns:x="http://schemas.openxmlformats.org/spreadsheetml/2006/main">
  <threadedComment ref="AB4" dT="2021-07-06T14:58:43.47" personId="{A8E38661-4210-B847-A2A2-6A67A86BF882}" id="{D5247166-74D7-9248-A898-5D394ABD6D1A}">
    <text>Pr. 1. april 2021 siger bh. kl. lederes løn med kr. 4.700,- i årligt grundbeløb.</text>
  </threadedComment>
  <threadedComment ref="G7" dT="2019-09-02T11:31:48.80" personId="{A8E38661-4210-B847-A2A2-6A67A86BF882}" id="{AB9B8099-DDA3-A846-BE0E-93B46BEFDC16}">
    <text>Skolens stedtillægsområde videreføres til de øvrige faner.</text>
  </threadedComment>
  <threadedComment ref="T7" dT="2019-09-02T11:31:48.80" personId="{A8E38661-4210-B847-A2A2-6A67A86BF882}" id="{98C4DBC8-9504-F14F-B29E-CCFFBA4AF896}">
    <text>Skolens stedtillægsområde videreføres til de øvrige faner.</text>
  </threadedComment>
  <threadedComment ref="L29" dT="2020-07-08T11:21:01.38" personId="{A8E38661-4210-B847-A2A2-6A67A86BF882}" id="{6E2A827F-AD9B-904A-85D4-D627A95F97AA}">
    <text>Indtast ny skatteprocent</text>
  </threadedComment>
  <threadedComment ref="Y29" dT="2020-07-08T11:21:01.38" personId="{A8E38661-4210-B847-A2A2-6A67A86BF882}" id="{CD06DD72-E88A-DC4B-853E-F8069DB89443}">
    <text>Indtast ny skatteprocent</text>
  </threadedComment>
  <threadedComment ref="L30" dT="2020-07-08T11:44:35.73" personId="{A8E38661-4210-B847-A2A2-6A67A86BF882}" id="{DF3861E0-AC7D-7949-99D2-1972BAC0CDC9}">
    <text>Indtast nyt fradrag</text>
  </threadedComment>
  <threadedComment ref="Y30" dT="2020-07-08T11:44:35.73" personId="{A8E38661-4210-B847-A2A2-6A67A86BF882}" id="{95FD44B0-C4B7-0041-9DA1-DC3A59CAF5DE}">
    <text>Indtast nyt fradrag</text>
  </threadedComment>
</ThreadedComments>
</file>

<file path=xl/threadedComments/threadedComment14.xml><?xml version="1.0" encoding="utf-8"?>
<ThreadedComments xmlns="http://schemas.microsoft.com/office/spreadsheetml/2018/threadedcomments" xmlns:x="http://schemas.openxmlformats.org/spreadsheetml/2006/main">
  <threadedComment ref="AB4" dT="2021-07-06T14:58:43.47" personId="{A8E38661-4210-B847-A2A2-6A67A86BF882}" id="{3135914D-4E54-8445-8DCA-70D9D9594436}">
    <text>Pr. 1. april 2021 siger bh. kl. lederes løn med kr. 4.700,- i årligt grundbeløb.</text>
  </threadedComment>
  <threadedComment ref="G7" dT="2019-09-02T11:31:48.80" personId="{A8E38661-4210-B847-A2A2-6A67A86BF882}" id="{EB300837-0514-F64C-B93C-0D1F7C314CE4}">
    <text>Skolens stedtillægsområde videreføres til de øvrige faner.</text>
  </threadedComment>
  <threadedComment ref="T7" dT="2019-09-02T11:31:48.80" personId="{A8E38661-4210-B847-A2A2-6A67A86BF882}" id="{78347EA2-DBE5-AE45-B6A3-5D32D930776A}">
    <text>Skolens stedtillægsområde videreføres til de øvrige faner.</text>
  </threadedComment>
  <threadedComment ref="L29" dT="2020-07-08T11:21:01.38" personId="{A8E38661-4210-B847-A2A2-6A67A86BF882}" id="{FD2A8A2D-A702-C44E-89F6-2227FEFCBCCC}">
    <text>Indtast ny skatteprocent</text>
  </threadedComment>
  <threadedComment ref="Y29" dT="2020-07-08T11:21:01.38" personId="{A8E38661-4210-B847-A2A2-6A67A86BF882}" id="{0B289E34-4AFA-F74D-ABBB-52B87550C3CD}">
    <text>Indtast ny skatteprocent</text>
  </threadedComment>
  <threadedComment ref="L30" dT="2020-07-08T11:44:35.73" personId="{A8E38661-4210-B847-A2A2-6A67A86BF882}" id="{94C460A9-4B0F-A540-9C0A-0DA12B612596}">
    <text>Indtast nyt fradrag</text>
  </threadedComment>
  <threadedComment ref="Y30" dT="2020-07-08T11:44:35.73" personId="{A8E38661-4210-B847-A2A2-6A67A86BF882}" id="{F26B8B59-090B-5E4E-B861-93AAC10FCB7A}">
    <text>Indtast nyt fradrag</text>
  </threadedComment>
</ThreadedComments>
</file>

<file path=xl/threadedComments/threadedComment15.xml><?xml version="1.0" encoding="utf-8"?>
<ThreadedComments xmlns="http://schemas.microsoft.com/office/spreadsheetml/2018/threadedcomments" xmlns:x="http://schemas.openxmlformats.org/spreadsheetml/2006/main">
  <threadedComment ref="AB4" dT="2021-07-06T14:58:43.47" personId="{A8E38661-4210-B847-A2A2-6A67A86BF882}" id="{FF8A589A-B09A-F843-90D3-E819896226D2}">
    <text>Pr. 1. april 2021 siger bh. kl. lederes løn med kr. 4.700,- i årligt grundbeløb.</text>
  </threadedComment>
  <threadedComment ref="G7" dT="2019-09-02T11:31:48.80" personId="{A8E38661-4210-B847-A2A2-6A67A86BF882}" id="{C8482B9F-ADAA-2F4B-97C8-DDC48A1730ED}">
    <text>Skolens stedtillægsområde videreføres til de øvrige faner.</text>
  </threadedComment>
  <threadedComment ref="T7" dT="2019-09-02T11:31:48.80" personId="{A8E38661-4210-B847-A2A2-6A67A86BF882}" id="{0CCB0391-D504-C840-B497-2418E3E3805C}">
    <text>Skolens stedtillægsområde videreføres til de øvrige faner.</text>
  </threadedComment>
  <threadedComment ref="L29" dT="2020-07-08T11:21:01.38" personId="{A8E38661-4210-B847-A2A2-6A67A86BF882}" id="{8C07B0B3-4FC2-6647-8FE6-3F726EA43FC9}">
    <text>Indtast ny skatteprocent</text>
  </threadedComment>
  <threadedComment ref="Y29" dT="2020-07-08T11:21:01.38" personId="{A8E38661-4210-B847-A2A2-6A67A86BF882}" id="{2F2FB5BA-F30C-234E-9CD5-39E640382573}">
    <text>Indtast ny skatteprocent</text>
  </threadedComment>
  <threadedComment ref="L30" dT="2020-07-08T11:44:35.73" personId="{A8E38661-4210-B847-A2A2-6A67A86BF882}" id="{729E9FB2-6AB7-2B4B-A8F5-C428049EEFD8}">
    <text>Indtast nyt fradrag</text>
  </threadedComment>
  <threadedComment ref="Y30" dT="2020-07-08T11:44:35.73" personId="{A8E38661-4210-B847-A2A2-6A67A86BF882}" id="{B681D68A-1CB1-5244-B787-E29E84D6826B}">
    <text>Indtast nyt fradrag</text>
  </threadedComment>
</ThreadedComments>
</file>

<file path=xl/threadedComments/threadedComment16.xml><?xml version="1.0" encoding="utf-8"?>
<ThreadedComments xmlns="http://schemas.microsoft.com/office/spreadsheetml/2018/threadedcomments" xmlns:x="http://schemas.openxmlformats.org/spreadsheetml/2006/main">
  <threadedComment ref="AB4" dT="2021-07-06T14:58:43.47" personId="{A8E38661-4210-B847-A2A2-6A67A86BF882}" id="{34E03818-BEC7-1E48-AD82-AED6FF200237}">
    <text>Pr. 1. april 2021 siger bh. kl. lederes løn med kr. 4.700,- i årligt grundbeløb.</text>
  </threadedComment>
  <threadedComment ref="G7" dT="2019-09-02T11:31:48.80" personId="{A8E38661-4210-B847-A2A2-6A67A86BF882}" id="{65170824-7992-3844-9DE5-B8F6EBC13CD6}">
    <text>Skolens stedtillægsområde videreføres til de øvrige faner.</text>
  </threadedComment>
  <threadedComment ref="T7" dT="2019-09-02T11:31:48.80" personId="{A8E38661-4210-B847-A2A2-6A67A86BF882}" id="{2D5EC190-13F8-5949-BF50-2DF8E400C4AB}">
    <text>Skolens stedtillægsområde videreføres til de øvrige faner.</text>
  </threadedComment>
  <threadedComment ref="L29" dT="2020-07-08T11:21:01.38" personId="{A8E38661-4210-B847-A2A2-6A67A86BF882}" id="{E779A26F-6081-5F49-B43C-D70821D84728}">
    <text>Indtast ny skatteprocent</text>
  </threadedComment>
  <threadedComment ref="Y29" dT="2020-07-08T11:21:01.38" personId="{A8E38661-4210-B847-A2A2-6A67A86BF882}" id="{94348447-A8A3-1340-98F8-921A92D1EA3E}">
    <text>Indtast ny skatteprocent</text>
  </threadedComment>
  <threadedComment ref="L30" dT="2020-07-08T11:44:35.73" personId="{A8E38661-4210-B847-A2A2-6A67A86BF882}" id="{F73A49C0-5041-F64D-9FCA-970863D015B1}">
    <text>Indtast nyt fradrag</text>
  </threadedComment>
  <threadedComment ref="Y30" dT="2020-07-08T11:44:35.73" personId="{A8E38661-4210-B847-A2A2-6A67A86BF882}" id="{C55FDFA5-4624-6744-B970-BF628BB92335}">
    <text>Indtast nyt fradrag</text>
  </threadedComment>
</ThreadedComments>
</file>

<file path=xl/threadedComments/threadedComment17.xml><?xml version="1.0" encoding="utf-8"?>
<ThreadedComments xmlns="http://schemas.microsoft.com/office/spreadsheetml/2018/threadedcomments" xmlns:x="http://schemas.openxmlformats.org/spreadsheetml/2006/main">
  <threadedComment ref="P13" dT="2019-06-28T13:00:58.23" personId="{A8E38661-4210-B847-A2A2-6A67A86BF882}" id="{BC219D39-7A6A-0441-A633-66444A34F2EB}">
    <text>Bemærk der kun er 16,64 feriedage til afholdelse i perioden 1. maj 2020 - 31. august 2020. Dette pga. det forkortede optjeningsår 1. jan 2019 - 31. august 2019.</text>
  </threadedComment>
  <threadedComment ref="J17" dT="2019-06-30T08:36:28.73" personId="{A8E38661-4210-B847-A2A2-6A67A86BF882}" id="{B74C4F5E-CC86-054E-8C70-D602F3A8EA26}">
    <text>Indtast her ny skatteprocent pr. 1. januar</text>
  </threadedComment>
  <threadedComment ref="J18" dT="2019-06-30T08:36:46.52" personId="{A8E38661-4210-B847-A2A2-6A67A86BF882}" id="{F1E3095C-D907-D749-AABE-CC7D3FBE04A9}">
    <text>Indtast her nyt fradrag pr. 1. januar</text>
  </threadedComment>
  <threadedComment ref="D19" dT="2019-06-30T08:35:32.89" personId="{A8E38661-4210-B847-A2A2-6A67A86BF882}" id="{3F9FAFBF-AAA9-4342-A57C-5513161DECD6}">
    <text>Indtast her ny sats for km.godtgørelse pr. 1. januar</text>
  </threadedComment>
  <threadedComment ref="D20" dT="2019-06-30T08:36:01.13" personId="{A8E38661-4210-B847-A2A2-6A67A86BF882}" id="{77187DE2-7364-554E-B9EE-DBDD8C139F16}">
    <text>Indtast her ny sats for km. godtgørelse pr. 1. januar</text>
  </threadedComment>
  <threadedComment ref="C61" dT="2019-06-28T12:56:32.39" personId="{A8E38661-4210-B847-A2A2-6A67A86BF882}" id="{EE250929-C458-274D-9F7C-7E5C3053D3CE}">
    <text>Indtast her den ferieberettiget løn for perioden juni og juli i det lige afsluttede skolår.</text>
  </threadedComment>
  <threadedComment ref="C71" dT="2019-06-28T12:57:56.07" personId="{A8E38661-4210-B847-A2A2-6A67A86BF882}" id="{B07E5B60-532C-184F-B024-F77FDB1394E2}">
    <text>Indtast her feriepengeberegningsgrundlaget for perioden jan-juli. Grundlaget kan også aflæses i lønberegningsarket for sidste skoleår.</text>
  </threadedComment>
</ThreadedComments>
</file>

<file path=xl/threadedComments/threadedComment18.xml><?xml version="1.0" encoding="utf-8"?>
<ThreadedComments xmlns="http://schemas.microsoft.com/office/spreadsheetml/2018/threadedcomments" xmlns:x="http://schemas.openxmlformats.org/spreadsheetml/2006/main">
  <threadedComment ref="B11" dT="2019-06-30T08:58:27.19" personId="{A8E38661-4210-B847-A2A2-6A67A86BF882}" id="{3AFD5D28-0074-CC4E-992C-5F7A8B0C4054}">
    <text>Tillægget blev udregnet til mellemledere der pr. 1. januar 2019 var aflønnet med intervalløn. Tillægget er den daværende difference imellem intervallønnen og den nye basisløn som blev indført med den nye lederaftale 1. januar 2019.</text>
  </threadedComment>
  <threadedComment ref="P14" dT="2019-06-30T08:55:51.02" personId="{A8E38661-4210-B847-A2A2-6A67A86BF882}" id="{466BB08D-9AB2-504C-800E-2DBD26C41018}">
    <text>Bemærk der kun er optjent 16,64 feriedage i det forkortede ferieår 1. januar 2019 - 31. august 2019</text>
  </threadedComment>
  <threadedComment ref="D20" dT="2019-06-30T08:35:32.89" personId="{A8E38661-4210-B847-A2A2-6A67A86BF882}" id="{00D4F3E8-A94A-D647-84A4-E49FC9FB7D36}">
    <text>Indtast her ny sats for km.godtgørelse pr. 1. januar</text>
  </threadedComment>
  <threadedComment ref="D21" dT="2019-06-30T08:36:01.13" personId="{A8E38661-4210-B847-A2A2-6A67A86BF882}" id="{A97FFC62-A69D-A744-87F7-7FDDDA4619B2}">
    <text>Indtast her ny sats for km. godtgørelse pr. 1. januar</text>
  </threadedComment>
</ThreadedComments>
</file>

<file path=xl/threadedComments/threadedComment2.xml><?xml version="1.0" encoding="utf-8"?>
<ThreadedComments xmlns="http://schemas.microsoft.com/office/spreadsheetml/2018/threadedcomments" xmlns:x="http://schemas.openxmlformats.org/spreadsheetml/2006/main">
  <threadedComment ref="AB4" dT="2021-07-06T14:58:43.47" personId="{A8E38661-4210-B847-A2A2-6A67A86BF882}" id="{E2964DDF-55D5-F94E-89DE-22915D2A6A5E}">
    <text>Pr. 1. april 2021 siger bh. kl. lederes løn med kr. 4.700,- i årligt grundbeløb.</text>
  </threadedComment>
  <threadedComment ref="G7" dT="2019-09-02T11:31:48.80" personId="{A8E38661-4210-B847-A2A2-6A67A86BF882}" id="{8B4E5A0D-9FDA-D046-A2D9-F42F6EAC504E}">
    <text>Skolens stedtillægsområde videreføres til de øvrige faner.</text>
  </threadedComment>
  <threadedComment ref="T7" dT="2019-09-02T11:31:48.80" personId="{A8E38661-4210-B847-A2A2-6A67A86BF882}" id="{556CD247-34E5-764A-9C9B-8247F6DD2CE3}">
    <text>Skolens stedtillægsområde videreføres til de øvrige faner.</text>
  </threadedComment>
  <threadedComment ref="L29" dT="2020-07-08T11:21:01.38" personId="{A8E38661-4210-B847-A2A2-6A67A86BF882}" id="{07F87323-C143-F64B-8E65-50F7513AF7F2}">
    <text>Indtast ny skatteprocent</text>
  </threadedComment>
  <threadedComment ref="Y29" dT="2020-07-08T11:21:01.38" personId="{A8E38661-4210-B847-A2A2-6A67A86BF882}" id="{2D576934-3602-D94B-8BAD-2E9C994C26F9}">
    <text>Indtast ny skatteprocent</text>
  </threadedComment>
  <threadedComment ref="L30" dT="2020-07-08T11:44:35.73" personId="{A8E38661-4210-B847-A2A2-6A67A86BF882}" id="{545ACA37-329E-1E41-9CC8-7308AD93012E}">
    <text>Indtast nyt fradrag</text>
  </threadedComment>
  <threadedComment ref="Y30" dT="2020-07-08T11:44:35.73" personId="{A8E38661-4210-B847-A2A2-6A67A86BF882}" id="{74521D63-6AE8-334C-9616-437B2A2BBEBC}">
    <text>Indtast nyt fradrag</text>
  </threadedComment>
</ThreadedComments>
</file>

<file path=xl/threadedComments/threadedComment3.xml><?xml version="1.0" encoding="utf-8"?>
<ThreadedComments xmlns="http://schemas.microsoft.com/office/spreadsheetml/2018/threadedcomments" xmlns:x="http://schemas.openxmlformats.org/spreadsheetml/2006/main">
  <threadedComment ref="AB4" dT="2021-07-06T14:58:43.47" personId="{A8E38661-4210-B847-A2A2-6A67A86BF882}" id="{1C9B0F54-C403-EF42-9DD8-B0D5A86C962A}">
    <text>Pr. 1. april 2021 siger bh. kl. lederes løn med kr. 4.700,- i årligt grundbeløb.</text>
  </threadedComment>
  <threadedComment ref="G7" dT="2019-09-02T11:31:48.80" personId="{A8E38661-4210-B847-A2A2-6A67A86BF882}" id="{079F2868-7915-7C4F-A3F8-7E904D012C58}">
    <text>Skolens stedtillægsområde videreføres til de øvrige faner.</text>
  </threadedComment>
  <threadedComment ref="T7" dT="2019-09-02T11:31:48.80" personId="{A8E38661-4210-B847-A2A2-6A67A86BF882}" id="{DA8BA326-7679-D44C-A6AD-5BA416CC953E}">
    <text>Skolens stedtillægsområde videreføres til de øvrige faner.</text>
  </threadedComment>
  <threadedComment ref="L29" dT="2020-07-08T11:21:01.38" personId="{A8E38661-4210-B847-A2A2-6A67A86BF882}" id="{B3F80CF3-46EB-4C47-A4BC-344F563BCD5D}">
    <text>Indtast ny skatteprocent</text>
  </threadedComment>
  <threadedComment ref="Y29" dT="2020-07-08T11:21:01.38" personId="{A8E38661-4210-B847-A2A2-6A67A86BF882}" id="{D36ECA00-684F-D54A-9491-8FDBF1965E05}">
    <text>Indtast ny skatteprocent</text>
  </threadedComment>
  <threadedComment ref="L30" dT="2020-07-08T11:44:35.73" personId="{A8E38661-4210-B847-A2A2-6A67A86BF882}" id="{81C96E1A-9841-E740-AD2C-5A6E04496D21}">
    <text>Indtast nyt fradrag</text>
  </threadedComment>
  <threadedComment ref="Y30" dT="2020-07-08T11:44:35.73" personId="{A8E38661-4210-B847-A2A2-6A67A86BF882}" id="{732BAB21-66FF-1240-B38D-EDED0D04635C}">
    <text>Indtast nyt fradrag</text>
  </threadedComment>
</ThreadedComments>
</file>

<file path=xl/threadedComments/threadedComment4.xml><?xml version="1.0" encoding="utf-8"?>
<ThreadedComments xmlns="http://schemas.microsoft.com/office/spreadsheetml/2018/threadedcomments" xmlns:x="http://schemas.openxmlformats.org/spreadsheetml/2006/main">
  <threadedComment ref="AB4" dT="2021-07-06T14:58:43.47" personId="{A8E38661-4210-B847-A2A2-6A67A86BF882}" id="{A81212A9-13E8-AE4F-AFA7-0D71995213E9}">
    <text>Pr. 1. april 2021 siger bh. kl. lederes løn med kr. 4.700,- i årligt grundbeløb.</text>
  </threadedComment>
  <threadedComment ref="G7" dT="2019-09-02T11:31:48.80" personId="{A8E38661-4210-B847-A2A2-6A67A86BF882}" id="{1A47A9FE-B5D1-974D-82F3-EF086CF3031A}">
    <text>Skolens stedtillægsområde videreføres til de øvrige faner.</text>
  </threadedComment>
  <threadedComment ref="T7" dT="2019-09-02T11:31:48.80" personId="{A8E38661-4210-B847-A2A2-6A67A86BF882}" id="{19A84F3D-21C1-2A4D-B527-56C22085E815}">
    <text>Skolens stedtillægsområde videreføres til de øvrige faner.</text>
  </threadedComment>
  <threadedComment ref="L29" dT="2020-07-08T11:21:01.38" personId="{A8E38661-4210-B847-A2A2-6A67A86BF882}" id="{C87DDF4D-967A-CB4C-817A-ACFD6C50AB65}">
    <text>Indtast ny skatteprocent</text>
  </threadedComment>
  <threadedComment ref="Y29" dT="2020-07-08T11:21:01.38" personId="{A8E38661-4210-B847-A2A2-6A67A86BF882}" id="{EC0E6FE0-9C27-454C-A981-86C1D0790446}">
    <text>Indtast ny skatteprocent</text>
  </threadedComment>
  <threadedComment ref="L30" dT="2020-07-08T11:44:35.73" personId="{A8E38661-4210-B847-A2A2-6A67A86BF882}" id="{A0951AE9-40C9-3B46-921D-26FA42D0251F}">
    <text>Indtast nyt fradrag</text>
  </threadedComment>
  <threadedComment ref="Y30" dT="2020-07-08T11:44:35.73" personId="{A8E38661-4210-B847-A2A2-6A67A86BF882}" id="{7D3C10DF-AFAA-4C47-BA9E-98AB6E414F6E}">
    <text>Indtast nyt fradrag</text>
  </threadedComment>
</ThreadedComments>
</file>

<file path=xl/threadedComments/threadedComment5.xml><?xml version="1.0" encoding="utf-8"?>
<ThreadedComments xmlns="http://schemas.microsoft.com/office/spreadsheetml/2018/threadedcomments" xmlns:x="http://schemas.openxmlformats.org/spreadsheetml/2006/main">
  <threadedComment ref="AB4" dT="2021-07-06T14:58:43.47" personId="{A8E38661-4210-B847-A2A2-6A67A86BF882}" id="{4917A5C9-CA98-D043-97DA-87AC5C697BA3}">
    <text>Pr. 1. april 2021 siger bh. kl. lederes løn med kr. 4.700,- i årligt grundbeløb.</text>
  </threadedComment>
  <threadedComment ref="G7" dT="2019-09-02T11:31:48.80" personId="{A8E38661-4210-B847-A2A2-6A67A86BF882}" id="{9F090795-F3CF-D14E-ADDA-377F19AEF484}">
    <text>Skolens stedtillægsområde videreføres til de øvrige faner.</text>
  </threadedComment>
  <threadedComment ref="T7" dT="2019-09-02T11:31:48.80" personId="{A8E38661-4210-B847-A2A2-6A67A86BF882}" id="{ECCDDB88-628A-1347-B657-09C2A5F28134}">
    <text>Skolens stedtillægsområde videreføres til de øvrige faner.</text>
  </threadedComment>
  <threadedComment ref="L29" dT="2020-07-08T11:21:01.38" personId="{A8E38661-4210-B847-A2A2-6A67A86BF882}" id="{FD1CCACB-9C01-5E45-B5AD-6396ABDB3C44}">
    <text>Indtast ny skatteprocent</text>
  </threadedComment>
  <threadedComment ref="Y29" dT="2020-07-08T11:21:01.38" personId="{A8E38661-4210-B847-A2A2-6A67A86BF882}" id="{23C30250-9F24-9846-B00C-33C01154F02A}">
    <text>Indtast ny skatteprocent</text>
  </threadedComment>
  <threadedComment ref="L30" dT="2020-07-08T11:44:35.73" personId="{A8E38661-4210-B847-A2A2-6A67A86BF882}" id="{254A7484-708F-4848-AF88-8FEB87D81C77}">
    <text>Indtast nyt fradrag</text>
  </threadedComment>
  <threadedComment ref="Y30" dT="2020-07-08T11:44:35.73" personId="{A8E38661-4210-B847-A2A2-6A67A86BF882}" id="{48720B89-CD51-7C41-93F6-09A3677DE8B2}">
    <text>Indtast nyt fradrag</text>
  </threadedComment>
</ThreadedComments>
</file>

<file path=xl/threadedComments/threadedComment6.xml><?xml version="1.0" encoding="utf-8"?>
<ThreadedComments xmlns="http://schemas.microsoft.com/office/spreadsheetml/2018/threadedcomments" xmlns:x="http://schemas.openxmlformats.org/spreadsheetml/2006/main">
  <threadedComment ref="AB4" dT="2021-07-06T14:58:43.47" personId="{A8E38661-4210-B847-A2A2-6A67A86BF882}" id="{8232DE58-303B-DF42-ACE3-209A2BF735E8}">
    <text>Pr. 1. april 2021 siger bh. kl. lederes løn med kr. 4.700,- i årligt grundbeløb.</text>
  </threadedComment>
  <threadedComment ref="G7" dT="2019-09-02T11:31:48.80" personId="{A8E38661-4210-B847-A2A2-6A67A86BF882}" id="{55AE33F8-7F07-DB4D-B79C-81F99B542387}">
    <text>Skolens stedtillægsområde videreføres til de øvrige faner.</text>
  </threadedComment>
  <threadedComment ref="T7" dT="2019-09-02T11:31:48.80" personId="{A8E38661-4210-B847-A2A2-6A67A86BF882}" id="{18C9563B-FB0A-134C-9D3A-6E013176754D}">
    <text>Skolens stedtillægsområde videreføres til de øvrige faner.</text>
  </threadedComment>
  <threadedComment ref="L29" dT="2020-07-08T11:21:01.38" personId="{A8E38661-4210-B847-A2A2-6A67A86BF882}" id="{5632C05A-F98B-434B-8B92-757264A3DC2D}">
    <text>Indtast ny skatteprocent</text>
  </threadedComment>
  <threadedComment ref="Y29" dT="2020-07-08T11:21:01.38" personId="{A8E38661-4210-B847-A2A2-6A67A86BF882}" id="{390A2CBD-4E11-1641-9E68-46AC5A4CD690}">
    <text>Indtast ny skatteprocent</text>
  </threadedComment>
  <threadedComment ref="L30" dT="2020-07-08T11:44:35.73" personId="{A8E38661-4210-B847-A2A2-6A67A86BF882}" id="{5456A199-A1DF-4444-B792-A17F77AD5C6B}">
    <text>Indtast nyt fradrag</text>
  </threadedComment>
  <threadedComment ref="Y30" dT="2020-07-08T11:44:35.73" personId="{A8E38661-4210-B847-A2A2-6A67A86BF882}" id="{7FAB4843-BC08-6840-AE8D-31069BE90180}">
    <text>Indtast nyt fradrag</text>
  </threadedComment>
</ThreadedComments>
</file>

<file path=xl/threadedComments/threadedComment7.xml><?xml version="1.0" encoding="utf-8"?>
<ThreadedComments xmlns="http://schemas.microsoft.com/office/spreadsheetml/2018/threadedcomments" xmlns:x="http://schemas.openxmlformats.org/spreadsheetml/2006/main">
  <threadedComment ref="AB4" dT="2021-07-06T14:58:43.47" personId="{A8E38661-4210-B847-A2A2-6A67A86BF882}" id="{EAAC0DD2-70A5-914B-A8C9-F6EBB04A3AE3}">
    <text>Pr. 1. april 2021 siger bh. kl. lederes løn med kr. 4.700,- i årligt grundbeløb.</text>
  </threadedComment>
  <threadedComment ref="G7" dT="2019-09-02T11:31:48.80" personId="{A8E38661-4210-B847-A2A2-6A67A86BF882}" id="{6DF107D7-0656-3940-99A2-F7CB99F0805F}">
    <text>Skolens stedtillægsområde videreføres til de øvrige faner.</text>
  </threadedComment>
  <threadedComment ref="T7" dT="2019-09-02T11:31:48.80" personId="{A8E38661-4210-B847-A2A2-6A67A86BF882}" id="{351AD142-F527-0249-9AD2-CA213C6C90F0}">
    <text>Skolens stedtillægsområde videreføres til de øvrige faner.</text>
  </threadedComment>
  <threadedComment ref="L29" dT="2020-07-08T11:21:01.38" personId="{A8E38661-4210-B847-A2A2-6A67A86BF882}" id="{0CA531E6-C5AD-C646-80B2-AF6414E03972}">
    <text>Indtast ny skatteprocent</text>
  </threadedComment>
  <threadedComment ref="Y29" dT="2020-07-08T11:21:01.38" personId="{A8E38661-4210-B847-A2A2-6A67A86BF882}" id="{FD5A9182-54A6-D045-8536-A97674372428}">
    <text>Indtast ny skatteprocent</text>
  </threadedComment>
  <threadedComment ref="L30" dT="2020-07-08T11:44:35.73" personId="{A8E38661-4210-B847-A2A2-6A67A86BF882}" id="{3E0450F6-9858-4C44-BF2D-BC94D3A679D0}">
    <text>Indtast nyt fradrag</text>
  </threadedComment>
  <threadedComment ref="Y30" dT="2020-07-08T11:44:35.73" personId="{A8E38661-4210-B847-A2A2-6A67A86BF882}" id="{BC8FD76B-F049-BF46-8153-060CB7574348}">
    <text>Indtast nyt fradrag</text>
  </threadedComment>
</ThreadedComments>
</file>

<file path=xl/threadedComments/threadedComment8.xml><?xml version="1.0" encoding="utf-8"?>
<ThreadedComments xmlns="http://schemas.microsoft.com/office/spreadsheetml/2018/threadedcomments" xmlns:x="http://schemas.openxmlformats.org/spreadsheetml/2006/main">
  <threadedComment ref="AB4" dT="2021-07-06T14:58:43.47" personId="{A8E38661-4210-B847-A2A2-6A67A86BF882}" id="{04A304D0-B21F-EC4F-B8CA-DB0A51EE4440}">
    <text>Pr. 1. april 2021 siger bh. kl. lederes løn med kr. 4.700,- i årligt grundbeløb.</text>
  </threadedComment>
  <threadedComment ref="G7" dT="2019-09-02T11:31:48.80" personId="{A8E38661-4210-B847-A2A2-6A67A86BF882}" id="{D54D9C44-9E02-F14B-A947-8E1DBB97C05A}">
    <text>Skolens stedtillægsområde videreføres til de øvrige faner.</text>
  </threadedComment>
  <threadedComment ref="T7" dT="2019-09-02T11:31:48.80" personId="{A8E38661-4210-B847-A2A2-6A67A86BF882}" id="{75F4562F-7A2B-BD48-BB13-65C96CD3B9A5}">
    <text>Skolens stedtillægsområde videreføres til de øvrige faner.</text>
  </threadedComment>
  <threadedComment ref="L29" dT="2020-07-08T11:21:01.38" personId="{A8E38661-4210-B847-A2A2-6A67A86BF882}" id="{5559A0E7-E736-E74A-8408-3812284D3A54}">
    <text>Indtast ny skatteprocent</text>
  </threadedComment>
  <threadedComment ref="Y29" dT="2020-07-08T11:21:01.38" personId="{A8E38661-4210-B847-A2A2-6A67A86BF882}" id="{9A1FAA5F-A06F-464A-98BB-52925110B5A3}">
    <text>Indtast ny skatteprocent</text>
  </threadedComment>
  <threadedComment ref="L30" dT="2020-07-08T11:44:35.73" personId="{A8E38661-4210-B847-A2A2-6A67A86BF882}" id="{567D5CE4-659E-7C44-8E6A-73BA7A480F05}">
    <text>Indtast nyt fradrag</text>
  </threadedComment>
  <threadedComment ref="Y30" dT="2020-07-08T11:44:35.73" personId="{A8E38661-4210-B847-A2A2-6A67A86BF882}" id="{C9304BFC-D871-E04D-825E-B511B3D262C0}">
    <text>Indtast nyt fradrag</text>
  </threadedComment>
</ThreadedComments>
</file>

<file path=xl/threadedComments/threadedComment9.xml><?xml version="1.0" encoding="utf-8"?>
<ThreadedComments xmlns="http://schemas.microsoft.com/office/spreadsheetml/2018/threadedcomments" xmlns:x="http://schemas.openxmlformats.org/spreadsheetml/2006/main">
  <threadedComment ref="AB4" dT="2021-07-06T14:58:43.47" personId="{A8E38661-4210-B847-A2A2-6A67A86BF882}" id="{96B90E60-26F2-DB45-9569-59A664989358}">
    <text>Pr. 1. april 2021 siger bh. kl. lederes løn med kr. 4.700,- i årligt grundbeløb.</text>
  </threadedComment>
  <threadedComment ref="G7" dT="2019-09-02T11:31:48.80" personId="{A8E38661-4210-B847-A2A2-6A67A86BF882}" id="{847F5CF1-D167-294B-BA28-0070C690BF42}">
    <text>Skolens stedtillægsområde videreføres til de øvrige faner.</text>
  </threadedComment>
  <threadedComment ref="T7" dT="2019-09-02T11:31:48.80" personId="{A8E38661-4210-B847-A2A2-6A67A86BF882}" id="{53D0FBDA-917B-C44E-86F5-60468B374D01}">
    <text>Skolens stedtillægsområde videreføres til de øvrige faner.</text>
  </threadedComment>
  <threadedComment ref="L29" dT="2020-07-08T11:21:01.38" personId="{A8E38661-4210-B847-A2A2-6A67A86BF882}" id="{25E165D1-751F-1C44-B2EC-452919F079EB}">
    <text>Indtast ny skatteprocent</text>
  </threadedComment>
  <threadedComment ref="Y29" dT="2020-07-08T11:21:01.38" personId="{A8E38661-4210-B847-A2A2-6A67A86BF882}" id="{2230D8D6-69D1-4840-9F34-BC4DC5630A22}">
    <text>Indtast ny skatteprocent</text>
  </threadedComment>
  <threadedComment ref="L30" dT="2020-07-08T11:44:35.73" personId="{A8E38661-4210-B847-A2A2-6A67A86BF882}" id="{C7581BD9-6386-4546-9431-B09736B7CF4A}">
    <text>Indtast nyt fradrag</text>
  </threadedComment>
  <threadedComment ref="Y30" dT="2020-07-08T11:44:35.73" personId="{A8E38661-4210-B847-A2A2-6A67A86BF882}" id="{1EB17A9F-8A2B-9E46-97C4-3F2BF00A453E}">
    <text>Indtast nyt fradrag</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drawing" Target="../drawings/drawing4.xml"/><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drawing" Target="../drawings/drawing5.xml"/><Relationship Id="rId4" Type="http://schemas.microsoft.com/office/2017/10/relationships/threadedComment" Target="../threadedComments/threadedComment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drawing" Target="../drawings/drawing6.xml"/><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7.xml"/><Relationship Id="rId4" Type="http://schemas.microsoft.com/office/2017/10/relationships/threadedComment" Target="../threadedComments/threadedComment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drawing" Target="../drawings/drawing8.xml"/><Relationship Id="rId4" Type="http://schemas.microsoft.com/office/2017/10/relationships/threadedComment" Target="../threadedComments/threadedComment5.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drawing" Target="../drawings/drawing9.xml"/><Relationship Id="rId4" Type="http://schemas.microsoft.com/office/2017/10/relationships/threadedComment" Target="../threadedComments/threadedComment6.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drawing" Target="../drawings/drawing10.xml"/><Relationship Id="rId4" Type="http://schemas.microsoft.com/office/2017/10/relationships/threadedComment" Target="../threadedComments/threadedComment7.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drawing" Target="../drawings/drawing11.xml"/><Relationship Id="rId4" Type="http://schemas.microsoft.com/office/2017/10/relationships/threadedComment" Target="../threadedComments/threadedComment8.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drawing" Target="../drawings/drawing12.xml"/><Relationship Id="rId4" Type="http://schemas.microsoft.com/office/2017/10/relationships/threadedComment" Target="../threadedComments/threadedComment9.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drawing" Target="../drawings/drawing13.xml"/><Relationship Id="rId4" Type="http://schemas.microsoft.com/office/2017/10/relationships/threadedComment" Target="../threadedComments/threadedComment10.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drawing" Target="../drawings/drawing14.xml"/><Relationship Id="rId4" Type="http://schemas.microsoft.com/office/2017/10/relationships/threadedComment" Target="../threadedComments/threadedComment1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drawing" Target="../drawings/drawing15.xml"/><Relationship Id="rId4" Type="http://schemas.microsoft.com/office/2017/10/relationships/threadedComment" Target="../threadedComments/threadedComment1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7.vml"/><Relationship Id="rId1" Type="http://schemas.openxmlformats.org/officeDocument/2006/relationships/drawing" Target="../drawings/drawing16.xml"/><Relationship Id="rId4" Type="http://schemas.microsoft.com/office/2017/10/relationships/threadedComment" Target="../threadedComments/threadedComment1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8.vml"/><Relationship Id="rId1" Type="http://schemas.openxmlformats.org/officeDocument/2006/relationships/drawing" Target="../drawings/drawing17.xml"/><Relationship Id="rId4" Type="http://schemas.microsoft.com/office/2017/10/relationships/threadedComment" Target="../threadedComments/threadedComment14.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9.vml"/><Relationship Id="rId1" Type="http://schemas.openxmlformats.org/officeDocument/2006/relationships/drawing" Target="../drawings/drawing18.xml"/><Relationship Id="rId4" Type="http://schemas.microsoft.com/office/2017/10/relationships/threadedComment" Target="../threadedComments/threadedComment15.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drawing" Target="../drawings/drawing19.xml"/><Relationship Id="rId4" Type="http://schemas.microsoft.com/office/2017/10/relationships/threadedComment" Target="../threadedComments/threadedComment16.xml"/></Relationships>
</file>

<file path=xl/worksheets/_rels/sheet31.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18.xml"/><Relationship Id="rId1" Type="http://schemas.openxmlformats.org/officeDocument/2006/relationships/vmlDrawing" Target="../drawings/vmlDrawing21.vml"/></Relationships>
</file>

<file path=xl/worksheets/_rels/sheet34.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19.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B46"/>
  <sheetViews>
    <sheetView workbookViewId="0">
      <selection activeCell="B30" sqref="B30"/>
    </sheetView>
  </sheetViews>
  <sheetFormatPr baseColWidth="10" defaultColWidth="11.42578125" defaultRowHeight="14"/>
  <cols>
    <col min="1" max="1" width="5.7109375" customWidth="1"/>
    <col min="2" max="2" width="89.42578125" customWidth="1"/>
  </cols>
  <sheetData>
    <row r="1" spans="1:2" ht="16">
      <c r="A1" s="373" t="s">
        <v>707</v>
      </c>
      <c r="B1" s="90"/>
    </row>
    <row r="2" spans="1:2" ht="8" customHeight="1">
      <c r="A2" s="91"/>
      <c r="B2" s="92"/>
    </row>
    <row r="3" spans="1:2" ht="73" customHeight="1">
      <c r="A3" s="91" t="s">
        <v>157</v>
      </c>
      <c r="B3" s="1009" t="s">
        <v>652</v>
      </c>
    </row>
    <row r="4" spans="1:2" ht="8" customHeight="1">
      <c r="A4" s="93"/>
      <c r="B4" s="1009"/>
    </row>
    <row r="5" spans="1:2" ht="73" customHeight="1">
      <c r="A5" s="91" t="s">
        <v>157</v>
      </c>
      <c r="B5" s="1009" t="s">
        <v>653</v>
      </c>
    </row>
    <row r="6" spans="1:2" ht="8" customHeight="1">
      <c r="A6" s="93"/>
      <c r="B6" s="1009"/>
    </row>
    <row r="7" spans="1:2" ht="18" customHeight="1">
      <c r="A7" s="91" t="s">
        <v>157</v>
      </c>
      <c r="B7" s="1167" t="s">
        <v>600</v>
      </c>
    </row>
    <row r="8" spans="1:2" ht="8" customHeight="1">
      <c r="A8" s="93"/>
      <c r="B8" s="1167"/>
    </row>
    <row r="9" spans="1:2" ht="8" customHeight="1">
      <c r="A9" s="93"/>
      <c r="B9" s="1009"/>
    </row>
    <row r="10" spans="1:2" ht="17" customHeight="1">
      <c r="A10" s="91" t="s">
        <v>157</v>
      </c>
      <c r="B10" s="1009" t="s">
        <v>290</v>
      </c>
    </row>
    <row r="11" spans="1:2" ht="8" customHeight="1">
      <c r="A11" s="93"/>
      <c r="B11" s="1009"/>
    </row>
    <row r="12" spans="1:2" ht="32" customHeight="1">
      <c r="A12" s="91" t="s">
        <v>157</v>
      </c>
      <c r="B12" s="1009" t="s">
        <v>702</v>
      </c>
    </row>
    <row r="13" spans="1:2" ht="8" customHeight="1">
      <c r="A13" s="93"/>
      <c r="B13" s="1009"/>
    </row>
    <row r="14" spans="1:2" ht="82" customHeight="1">
      <c r="A14" s="1168" t="s">
        <v>655</v>
      </c>
      <c r="B14" s="1009" t="s">
        <v>703</v>
      </c>
    </row>
    <row r="15" spans="1:2" ht="1" customHeight="1">
      <c r="A15" s="1168"/>
      <c r="B15" s="1009"/>
    </row>
    <row r="16" spans="1:2" ht="79" customHeight="1">
      <c r="A16" s="1168"/>
      <c r="B16" s="1009" t="s">
        <v>704</v>
      </c>
    </row>
    <row r="17" spans="1:2" ht="41" customHeight="1">
      <c r="A17" s="1168" t="s">
        <v>657</v>
      </c>
      <c r="B17" s="1169" t="s">
        <v>656</v>
      </c>
    </row>
    <row r="18" spans="1:2" ht="8" customHeight="1">
      <c r="A18" s="1168"/>
      <c r="B18" s="1169"/>
    </row>
    <row r="19" spans="1:2" ht="27" customHeight="1">
      <c r="A19" s="1168"/>
      <c r="B19" s="1169"/>
    </row>
    <row r="20" spans="1:2" ht="67" customHeight="1">
      <c r="A20" s="1007" t="s">
        <v>658</v>
      </c>
      <c r="B20" s="1010" t="s">
        <v>712</v>
      </c>
    </row>
    <row r="21" spans="1:2" ht="165" customHeight="1">
      <c r="A21" s="1007" t="s">
        <v>659</v>
      </c>
      <c r="B21" s="1010" t="s">
        <v>660</v>
      </c>
    </row>
    <row r="22" spans="1:2" ht="56" customHeight="1">
      <c r="A22" s="1007" t="s">
        <v>713</v>
      </c>
      <c r="B22" s="1010" t="s">
        <v>714</v>
      </c>
    </row>
    <row r="23" spans="1:2" ht="87" customHeight="1">
      <c r="A23" s="1008" t="s">
        <v>661</v>
      </c>
      <c r="B23" s="1011" t="s">
        <v>715</v>
      </c>
    </row>
    <row r="24" spans="1:2" ht="8" customHeight="1">
      <c r="A24" s="93"/>
      <c r="B24" s="1009"/>
    </row>
    <row r="25" spans="1:2" ht="115.5" customHeight="1">
      <c r="A25" s="91" t="s">
        <v>157</v>
      </c>
      <c r="B25" s="1009" t="s">
        <v>474</v>
      </c>
    </row>
    <row r="26" spans="1:2" ht="8" customHeight="1">
      <c r="A26" s="93"/>
      <c r="B26" s="1009"/>
    </row>
    <row r="27" spans="1:2" ht="28" customHeight="1">
      <c r="A27" s="91" t="s">
        <v>157</v>
      </c>
      <c r="B27" s="1009" t="s">
        <v>620</v>
      </c>
    </row>
    <row r="28" spans="1:2" ht="8" customHeight="1">
      <c r="A28" s="93"/>
      <c r="B28" s="1009"/>
    </row>
    <row r="29" spans="1:2" ht="22" customHeight="1">
      <c r="A29" s="91" t="s">
        <v>157</v>
      </c>
      <c r="B29" s="1009" t="s">
        <v>716</v>
      </c>
    </row>
    <row r="30" spans="1:2" ht="8" customHeight="1">
      <c r="A30" s="93"/>
      <c r="B30" s="1012"/>
    </row>
    <row r="31" spans="1:2" ht="67.5" customHeight="1">
      <c r="A31" s="91" t="s">
        <v>157</v>
      </c>
      <c r="B31" s="1009" t="s">
        <v>621</v>
      </c>
    </row>
    <row r="32" spans="1:2" ht="8" customHeight="1">
      <c r="A32" s="93"/>
      <c r="B32" s="1012"/>
    </row>
    <row r="33" spans="1:2" ht="52" customHeight="1">
      <c r="A33" s="91" t="s">
        <v>157</v>
      </c>
      <c r="B33" s="1009" t="s">
        <v>583</v>
      </c>
    </row>
    <row r="34" spans="1:2" ht="8" customHeight="1">
      <c r="A34" s="93"/>
      <c r="B34" s="1012"/>
    </row>
    <row r="35" spans="1:2" ht="64" customHeight="1">
      <c r="A35" s="91" t="s">
        <v>157</v>
      </c>
      <c r="B35" s="1009" t="s">
        <v>662</v>
      </c>
    </row>
    <row r="36" spans="1:2" ht="8" customHeight="1">
      <c r="A36" s="93"/>
      <c r="B36" s="95"/>
    </row>
    <row r="37" spans="1:2">
      <c r="A37" s="91"/>
      <c r="B37" s="96"/>
    </row>
    <row r="38" spans="1:2">
      <c r="A38" s="91"/>
      <c r="B38" s="97"/>
    </row>
    <row r="39" spans="1:2">
      <c r="A39" s="67"/>
      <c r="B39" s="66"/>
    </row>
    <row r="40" spans="1:2">
      <c r="A40" s="67"/>
      <c r="B40" s="258"/>
    </row>
    <row r="41" spans="1:2">
      <c r="A41" s="67"/>
      <c r="B41" s="66"/>
    </row>
    <row r="42" spans="1:2">
      <c r="A42" s="67"/>
      <c r="B42" s="257"/>
    </row>
    <row r="43" spans="1:2" ht="36" customHeight="1">
      <c r="B43" s="66"/>
    </row>
    <row r="46" spans="1:2" ht="51" customHeight="1">
      <c r="B46" s="66"/>
    </row>
  </sheetData>
  <sheetProtection sheet="1" objects="1" scenarios="1"/>
  <mergeCells count="4">
    <mergeCell ref="B7:B8"/>
    <mergeCell ref="A14:A16"/>
    <mergeCell ref="A17:A19"/>
    <mergeCell ref="B17:B19"/>
  </mergeCells>
  <phoneticPr fontId="21" type="noConversion"/>
  <printOptions horizontalCentered="1" verticalCentered="1"/>
  <pageMargins left="0.74803149606299213" right="0.35433070866141736" top="0.39370078740157483" bottom="0.39370078740157483" header="0.51181102362204722" footer="0.51181102362204722"/>
  <pageSetup paperSize="9" orientation="portrait" horizontalDpi="0" verticalDpi="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9">
    <tabColor rgb="FFFFFF00"/>
    <pageSetUpPr fitToPage="1"/>
  </sheetPr>
  <dimension ref="A1:AL357"/>
  <sheetViews>
    <sheetView tabSelected="1" zoomScale="114" zoomScaleNormal="150" workbookViewId="0">
      <pane xSplit="6" ySplit="2" topLeftCell="G3" activePane="bottomRight" state="frozen"/>
      <selection activeCell="G5" sqref="G5"/>
      <selection pane="topRight" activeCell="G5" sqref="G5"/>
      <selection pane="bottomLeft" activeCell="G5" sqref="G5"/>
      <selection pane="bottomRight" activeCell="J6" sqref="J6"/>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635</v>
      </c>
      <c r="H1" s="77" t="str">
        <f>G1</f>
        <v xml:space="preserve">A </v>
      </c>
      <c r="I1" s="77" t="str">
        <f t="shared" ref="I1:R1" si="0">H1</f>
        <v xml:space="preserve">A </v>
      </c>
      <c r="J1" s="77" t="str">
        <f t="shared" si="0"/>
        <v xml:space="preserve">A </v>
      </c>
      <c r="K1" s="77" t="str">
        <f t="shared" si="0"/>
        <v xml:space="preserve">A </v>
      </c>
      <c r="L1" s="77" t="str">
        <f t="shared" si="0"/>
        <v xml:space="preserve">A </v>
      </c>
      <c r="M1" s="77" t="str">
        <f t="shared" si="0"/>
        <v xml:space="preserve">A </v>
      </c>
      <c r="N1" s="77" t="str">
        <f t="shared" si="0"/>
        <v xml:space="preserve">A </v>
      </c>
      <c r="O1" s="77" t="str">
        <f t="shared" si="0"/>
        <v xml:space="preserve">A </v>
      </c>
      <c r="P1" s="77" t="str">
        <f t="shared" si="0"/>
        <v xml:space="preserve">A </v>
      </c>
      <c r="Q1" s="77" t="str">
        <f t="shared" si="0"/>
        <v xml:space="preserve">A </v>
      </c>
      <c r="R1" s="77" t="str">
        <f t="shared" si="0"/>
        <v xml:space="preserve">A </v>
      </c>
      <c r="S1" s="1028"/>
      <c r="T1" s="905" t="s">
        <v>635</v>
      </c>
      <c r="U1" s="77" t="str">
        <f>T1</f>
        <v xml:space="preserve">A </v>
      </c>
      <c r="V1" s="77" t="str">
        <f t="shared" ref="V1" si="1">U1</f>
        <v xml:space="preserve">A </v>
      </c>
      <c r="W1" s="77" t="str">
        <f t="shared" ref="W1" si="2">V1</f>
        <v xml:space="preserve">A </v>
      </c>
      <c r="X1" s="77" t="str">
        <f t="shared" ref="X1" si="3">W1</f>
        <v xml:space="preserve">A </v>
      </c>
      <c r="Y1" s="77" t="str">
        <f t="shared" ref="Y1" si="4">X1</f>
        <v xml:space="preserve">A </v>
      </c>
      <c r="Z1" s="77" t="str">
        <f t="shared" ref="Z1" si="5">Y1</f>
        <v xml:space="preserve">A </v>
      </c>
      <c r="AA1" s="77" t="str">
        <f t="shared" ref="AA1" si="6">Z1</f>
        <v xml:space="preserve">A </v>
      </c>
      <c r="AB1" s="77" t="str">
        <f t="shared" ref="AB1" si="7">AA1</f>
        <v xml:space="preserve">A </v>
      </c>
      <c r="AC1" s="77" t="str">
        <f t="shared" ref="AC1" si="8">AB1</f>
        <v xml:space="preserve">A </v>
      </c>
      <c r="AD1" s="77" t="str">
        <f t="shared" ref="AD1" si="9">AC1</f>
        <v xml:space="preserve">A </v>
      </c>
      <c r="AE1" s="77" t="str">
        <f t="shared" ref="AE1" si="10">AD1</f>
        <v xml:space="preserve">A </v>
      </c>
      <c r="AF1" s="3" t="s">
        <v>185</v>
      </c>
      <c r="AG1" s="86"/>
      <c r="AH1" s="86"/>
      <c r="AI1" s="86"/>
      <c r="AJ1" s="86"/>
      <c r="AK1" s="86"/>
      <c r="AL1" s="86"/>
    </row>
    <row r="2" spans="1:38" ht="22" customHeight="1">
      <c r="A2" s="1131" t="s">
        <v>401</v>
      </c>
      <c r="B2" s="4">
        <f t="shared" ref="B2:B53" si="11">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11"/>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11"/>
        <v>4</v>
      </c>
      <c r="C4" s="696" t="s">
        <v>403</v>
      </c>
      <c r="D4" s="696" t="s">
        <v>403</v>
      </c>
      <c r="E4" s="696" t="s">
        <v>403</v>
      </c>
      <c r="F4" s="5" t="s">
        <v>400</v>
      </c>
      <c r="G4" s="364" t="s">
        <v>120</v>
      </c>
      <c r="H4" s="239" t="str">
        <f>G4</f>
        <v>Læ1</v>
      </c>
      <c r="I4" s="239" t="str">
        <f t="shared" ref="I4:R4" si="12">H4</f>
        <v>Læ1</v>
      </c>
      <c r="J4" s="239" t="str">
        <f>I4</f>
        <v>Læ1</v>
      </c>
      <c r="K4" s="239" t="str">
        <f t="shared" si="12"/>
        <v>Læ1</v>
      </c>
      <c r="L4" s="239" t="str">
        <f t="shared" si="12"/>
        <v>Læ1</v>
      </c>
      <c r="M4" s="239" t="str">
        <f t="shared" si="12"/>
        <v>Læ1</v>
      </c>
      <c r="N4" s="239" t="str">
        <f t="shared" si="12"/>
        <v>Læ1</v>
      </c>
      <c r="O4" s="239" t="str">
        <f t="shared" si="12"/>
        <v>Læ1</v>
      </c>
      <c r="P4" s="239" t="str">
        <f t="shared" si="12"/>
        <v>Læ1</v>
      </c>
      <c r="Q4" s="239" t="str">
        <f t="shared" si="12"/>
        <v>Læ1</v>
      </c>
      <c r="R4" s="239" t="str">
        <f t="shared" si="12"/>
        <v>Læ1</v>
      </c>
      <c r="S4" s="1030"/>
      <c r="T4" s="908" t="str">
        <f t="shared" ref="T4:AE5" si="13">G4</f>
        <v>Læ1</v>
      </c>
      <c r="U4" s="908" t="str">
        <f t="shared" si="13"/>
        <v>Læ1</v>
      </c>
      <c r="V4" s="908" t="str">
        <f t="shared" si="13"/>
        <v>Læ1</v>
      </c>
      <c r="W4" s="908" t="str">
        <f t="shared" si="13"/>
        <v>Læ1</v>
      </c>
      <c r="X4" s="908" t="str">
        <f t="shared" si="13"/>
        <v>Læ1</v>
      </c>
      <c r="Y4" s="908" t="str">
        <f t="shared" si="13"/>
        <v>Læ1</v>
      </c>
      <c r="Z4" s="908" t="str">
        <f t="shared" si="13"/>
        <v>Læ1</v>
      </c>
      <c r="AA4" s="908" t="str">
        <f t="shared" si="13"/>
        <v>Læ1</v>
      </c>
      <c r="AB4" s="908" t="str">
        <f t="shared" si="13"/>
        <v>Læ1</v>
      </c>
      <c r="AC4" s="908" t="str">
        <f t="shared" si="13"/>
        <v>Læ1</v>
      </c>
      <c r="AD4" s="908" t="str">
        <f t="shared" si="13"/>
        <v>Læ1</v>
      </c>
      <c r="AE4" s="908" t="str">
        <f t="shared" si="13"/>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14">$G5</f>
        <v>L</v>
      </c>
      <c r="J5" s="71" t="str">
        <f t="shared" si="14"/>
        <v>L</v>
      </c>
      <c r="K5" s="71" t="str">
        <f t="shared" si="14"/>
        <v>L</v>
      </c>
      <c r="L5" s="71" t="str">
        <f t="shared" si="14"/>
        <v>L</v>
      </c>
      <c r="M5" s="71" t="str">
        <f t="shared" si="14"/>
        <v>L</v>
      </c>
      <c r="N5" s="71" t="str">
        <f t="shared" si="14"/>
        <v>L</v>
      </c>
      <c r="O5" s="71" t="str">
        <f t="shared" si="14"/>
        <v>L</v>
      </c>
      <c r="P5" s="71" t="str">
        <f t="shared" si="14"/>
        <v>L</v>
      </c>
      <c r="Q5" s="71" t="str">
        <f t="shared" si="14"/>
        <v>L</v>
      </c>
      <c r="R5" s="71" t="str">
        <f t="shared" si="14"/>
        <v>L</v>
      </c>
      <c r="S5" s="1031"/>
      <c r="T5" s="908" t="str">
        <f t="shared" si="13"/>
        <v>L</v>
      </c>
      <c r="U5" s="908" t="str">
        <f t="shared" si="13"/>
        <v>L</v>
      </c>
      <c r="V5" s="908" t="str">
        <f t="shared" si="13"/>
        <v>L</v>
      </c>
      <c r="W5" s="908" t="str">
        <f t="shared" si="13"/>
        <v>L</v>
      </c>
      <c r="X5" s="908" t="str">
        <f t="shared" si="13"/>
        <v>L</v>
      </c>
      <c r="Y5" s="908" t="str">
        <f t="shared" si="13"/>
        <v>L</v>
      </c>
      <c r="Z5" s="908" t="str">
        <f t="shared" si="13"/>
        <v>L</v>
      </c>
      <c r="AA5" s="908" t="str">
        <f t="shared" si="13"/>
        <v>L</v>
      </c>
      <c r="AB5" s="908" t="str">
        <f t="shared" si="13"/>
        <v>L</v>
      </c>
      <c r="AC5" s="908" t="str">
        <f t="shared" si="13"/>
        <v>L</v>
      </c>
      <c r="AD5" s="908" t="str">
        <f t="shared" si="13"/>
        <v>L</v>
      </c>
      <c r="AE5" s="908" t="str">
        <f t="shared" si="13"/>
        <v>L</v>
      </c>
      <c r="AF5" s="6" t="s">
        <v>13</v>
      </c>
      <c r="AG5" s="86"/>
      <c r="AH5" s="86"/>
      <c r="AI5" s="86"/>
      <c r="AJ5" s="86"/>
      <c r="AK5" s="86"/>
      <c r="AL5" s="86"/>
    </row>
    <row r="6" spans="1:38" ht="14" customHeight="1">
      <c r="A6" s="1180"/>
      <c r="B6" s="4">
        <f t="shared" si="11"/>
        <v>6</v>
      </c>
      <c r="C6" s="388"/>
      <c r="D6" s="389"/>
      <c r="E6" s="390"/>
      <c r="F6" s="5" t="s">
        <v>210</v>
      </c>
      <c r="G6" s="190">
        <v>1.2330950000000001</v>
      </c>
      <c r="H6" s="69">
        <f t="shared" ref="H6:N6" si="15">G6</f>
        <v>1.2330950000000001</v>
      </c>
      <c r="I6" s="895">
        <f>H6</f>
        <v>1.2330950000000001</v>
      </c>
      <c r="J6" s="1166"/>
      <c r="K6" s="756">
        <f>J6</f>
        <v>0</v>
      </c>
      <c r="L6" s="69">
        <f t="shared" si="15"/>
        <v>0</v>
      </c>
      <c r="M6" s="69">
        <f t="shared" si="15"/>
        <v>0</v>
      </c>
      <c r="N6" s="69">
        <f t="shared" si="15"/>
        <v>0</v>
      </c>
      <c r="O6" s="346"/>
      <c r="P6" s="69">
        <f>O6</f>
        <v>0</v>
      </c>
      <c r="Q6" s="69">
        <f>P6</f>
        <v>0</v>
      </c>
      <c r="R6" s="69">
        <f>Q6</f>
        <v>0</v>
      </c>
      <c r="S6" s="190"/>
      <c r="T6" s="908">
        <f t="shared" ref="T6:T51" si="16">G6</f>
        <v>1.2330950000000001</v>
      </c>
      <c r="U6" s="908">
        <f t="shared" ref="U6:AE9" si="17">H6</f>
        <v>1.2330950000000001</v>
      </c>
      <c r="V6" s="908">
        <f t="shared" si="17"/>
        <v>1.2330950000000001</v>
      </c>
      <c r="W6" s="908">
        <f t="shared" si="17"/>
        <v>0</v>
      </c>
      <c r="X6" s="908">
        <f t="shared" si="17"/>
        <v>0</v>
      </c>
      <c r="Y6" s="908">
        <f t="shared" si="17"/>
        <v>0</v>
      </c>
      <c r="Z6" s="908">
        <f t="shared" si="17"/>
        <v>0</v>
      </c>
      <c r="AA6" s="908">
        <f t="shared" si="17"/>
        <v>0</v>
      </c>
      <c r="AB6" s="908">
        <f t="shared" si="17"/>
        <v>0</v>
      </c>
      <c r="AC6" s="908">
        <f t="shared" si="17"/>
        <v>0</v>
      </c>
      <c r="AD6" s="908">
        <f t="shared" si="17"/>
        <v>0</v>
      </c>
      <c r="AE6" s="908">
        <f t="shared" si="17"/>
        <v>0</v>
      </c>
      <c r="AF6" s="70" t="str">
        <f>"se i løntabel for april "&amp;LEFT($A$1,4)+2&amp;", når den udkommer"</f>
        <v>se i løntabel for april 2026, når den udkommer</v>
      </c>
      <c r="AG6" s="86"/>
      <c r="AH6" s="86"/>
      <c r="AI6" s="86"/>
      <c r="AJ6" s="86"/>
      <c r="AK6" s="86"/>
      <c r="AL6" s="86"/>
    </row>
    <row r="7" spans="1:38" ht="14" customHeight="1">
      <c r="A7" s="1180"/>
      <c r="B7" s="4">
        <f t="shared" si="11"/>
        <v>7</v>
      </c>
      <c r="C7" s="385"/>
      <c r="D7" s="386"/>
      <c r="E7" s="387"/>
      <c r="F7" s="5" t="s">
        <v>127</v>
      </c>
      <c r="G7" s="345"/>
      <c r="H7" s="71">
        <f>$G7</f>
        <v>0</v>
      </c>
      <c r="I7" s="71">
        <f t="shared" si="14"/>
        <v>0</v>
      </c>
      <c r="J7" s="71">
        <f t="shared" si="14"/>
        <v>0</v>
      </c>
      <c r="K7" s="71">
        <f t="shared" si="14"/>
        <v>0</v>
      </c>
      <c r="L7" s="71">
        <f t="shared" si="14"/>
        <v>0</v>
      </c>
      <c r="M7" s="71">
        <f t="shared" si="14"/>
        <v>0</v>
      </c>
      <c r="N7" s="71">
        <f t="shared" si="14"/>
        <v>0</v>
      </c>
      <c r="O7" s="71">
        <f t="shared" si="14"/>
        <v>0</v>
      </c>
      <c r="P7" s="71">
        <f t="shared" si="14"/>
        <v>0</v>
      </c>
      <c r="Q7" s="71">
        <f t="shared" si="14"/>
        <v>0</v>
      </c>
      <c r="R7" s="71">
        <f t="shared" si="14"/>
        <v>0</v>
      </c>
      <c r="S7" s="1031"/>
      <c r="T7" s="908">
        <f t="shared" si="16"/>
        <v>0</v>
      </c>
      <c r="U7" s="908">
        <f t="shared" si="17"/>
        <v>0</v>
      </c>
      <c r="V7" s="908">
        <f t="shared" si="17"/>
        <v>0</v>
      </c>
      <c r="W7" s="908">
        <f t="shared" si="17"/>
        <v>0</v>
      </c>
      <c r="X7" s="908">
        <f t="shared" si="17"/>
        <v>0</v>
      </c>
      <c r="Y7" s="908">
        <f t="shared" si="17"/>
        <v>0</v>
      </c>
      <c r="Z7" s="908">
        <f t="shared" si="17"/>
        <v>0</v>
      </c>
      <c r="AA7" s="908">
        <f t="shared" si="17"/>
        <v>0</v>
      </c>
      <c r="AB7" s="908">
        <f t="shared" si="17"/>
        <v>0</v>
      </c>
      <c r="AC7" s="908">
        <f t="shared" si="17"/>
        <v>0</v>
      </c>
      <c r="AD7" s="908">
        <f t="shared" si="17"/>
        <v>0</v>
      </c>
      <c r="AE7" s="908">
        <f t="shared" si="17"/>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9" si="18">I8</f>
        <v>Nej</v>
      </c>
      <c r="K8" s="365" t="str">
        <f t="shared" si="18"/>
        <v>Nej</v>
      </c>
      <c r="L8" s="365" t="str">
        <f t="shared" si="18"/>
        <v>Nej</v>
      </c>
      <c r="M8" s="365" t="str">
        <f t="shared" si="18"/>
        <v>Nej</v>
      </c>
      <c r="N8" s="365" t="str">
        <f t="shared" si="18"/>
        <v>Nej</v>
      </c>
      <c r="O8" s="365" t="str">
        <f t="shared" si="18"/>
        <v>Nej</v>
      </c>
      <c r="P8" s="365" t="str">
        <f t="shared" si="18"/>
        <v>Nej</v>
      </c>
      <c r="Q8" s="365" t="str">
        <f t="shared" si="18"/>
        <v>Nej</v>
      </c>
      <c r="R8" s="365" t="str">
        <f t="shared" si="18"/>
        <v>Nej</v>
      </c>
      <c r="S8" s="365"/>
      <c r="T8" s="908" t="str">
        <f t="shared" si="16"/>
        <v>Nej</v>
      </c>
      <c r="U8" s="908" t="str">
        <f t="shared" si="17"/>
        <v>Nej</v>
      </c>
      <c r="V8" s="908" t="str">
        <f t="shared" si="17"/>
        <v>Nej</v>
      </c>
      <c r="W8" s="908" t="str">
        <f t="shared" si="17"/>
        <v>Nej</v>
      </c>
      <c r="X8" s="908" t="str">
        <f t="shared" si="17"/>
        <v>Nej</v>
      </c>
      <c r="Y8" s="908" t="str">
        <f t="shared" si="17"/>
        <v>Nej</v>
      </c>
      <c r="Z8" s="908" t="str">
        <f t="shared" si="17"/>
        <v>Nej</v>
      </c>
      <c r="AA8" s="908" t="str">
        <f t="shared" si="17"/>
        <v>Nej</v>
      </c>
      <c r="AB8" s="908" t="str">
        <f t="shared" si="17"/>
        <v>Nej</v>
      </c>
      <c r="AC8" s="908" t="str">
        <f t="shared" si="17"/>
        <v>Nej</v>
      </c>
      <c r="AD8" s="908" t="str">
        <f t="shared" si="17"/>
        <v>Nej</v>
      </c>
      <c r="AE8" s="908" t="str">
        <f t="shared" si="17"/>
        <v>Nej</v>
      </c>
      <c r="AG8" s="86" t="s">
        <v>642</v>
      </c>
      <c r="AH8" s="86"/>
      <c r="AI8" s="86"/>
      <c r="AJ8" s="86"/>
      <c r="AK8" s="86"/>
      <c r="AL8" s="86"/>
    </row>
    <row r="9" spans="1:38" ht="19" customHeight="1">
      <c r="A9" s="1180"/>
      <c r="B9" s="4"/>
      <c r="C9" s="385"/>
      <c r="D9" s="386"/>
      <c r="E9" s="387"/>
      <c r="F9" s="896" t="s">
        <v>688</v>
      </c>
      <c r="G9" s="365" t="s">
        <v>642</v>
      </c>
      <c r="H9" s="365" t="str">
        <f t="shared" ref="H9:H11" si="19">G9</f>
        <v>Nej</v>
      </c>
      <c r="I9" s="365" t="str">
        <f t="shared" ref="I9" si="20">H9</f>
        <v>Nej</v>
      </c>
      <c r="J9" s="365" t="str">
        <f t="shared" si="18"/>
        <v>Nej</v>
      </c>
      <c r="K9" s="365" t="str">
        <f t="shared" si="18"/>
        <v>Nej</v>
      </c>
      <c r="L9" s="365" t="str">
        <f t="shared" si="18"/>
        <v>Nej</v>
      </c>
      <c r="M9" s="365" t="str">
        <f t="shared" si="18"/>
        <v>Nej</v>
      </c>
      <c r="N9" s="365" t="str">
        <f t="shared" si="18"/>
        <v>Nej</v>
      </c>
      <c r="O9" s="365" t="str">
        <f t="shared" si="18"/>
        <v>Nej</v>
      </c>
      <c r="P9" s="365" t="str">
        <f t="shared" si="18"/>
        <v>Nej</v>
      </c>
      <c r="Q9" s="365" t="str">
        <f t="shared" si="18"/>
        <v>Nej</v>
      </c>
      <c r="R9" s="365" t="str">
        <f t="shared" si="18"/>
        <v>Nej</v>
      </c>
      <c r="S9" s="365"/>
      <c r="T9" s="365" t="str">
        <f>G9</f>
        <v>Nej</v>
      </c>
      <c r="U9" s="365" t="str">
        <f t="shared" si="17"/>
        <v>Nej</v>
      </c>
      <c r="V9" s="365" t="str">
        <f t="shared" si="17"/>
        <v>Nej</v>
      </c>
      <c r="W9" s="365" t="str">
        <f t="shared" si="17"/>
        <v>Nej</v>
      </c>
      <c r="X9" s="365" t="str">
        <f t="shared" si="17"/>
        <v>Nej</v>
      </c>
      <c r="Y9" s="365" t="str">
        <f t="shared" si="17"/>
        <v>Nej</v>
      </c>
      <c r="Z9" s="365" t="str">
        <f t="shared" si="17"/>
        <v>Nej</v>
      </c>
      <c r="AA9" s="365" t="str">
        <f t="shared" si="17"/>
        <v>Nej</v>
      </c>
      <c r="AB9" s="365" t="str">
        <f>O9</f>
        <v>Nej</v>
      </c>
      <c r="AC9" s="365" t="str">
        <f t="shared" ref="AC9" si="21">P9</f>
        <v>Nej</v>
      </c>
      <c r="AD9" s="365" t="str">
        <f t="shared" ref="AD9" si="22">Q9</f>
        <v>Nej</v>
      </c>
      <c r="AE9" s="365" t="str">
        <f t="shared" ref="AE9" si="23">R9</f>
        <v>Nej</v>
      </c>
      <c r="AG9" s="86" t="s">
        <v>641</v>
      </c>
      <c r="AH9" s="86"/>
      <c r="AI9" s="86"/>
      <c r="AJ9" s="86"/>
      <c r="AK9" s="86"/>
      <c r="AL9" s="86"/>
    </row>
    <row r="10" spans="1:38" ht="28">
      <c r="A10" s="1180"/>
      <c r="B10" s="4">
        <f>B7+1</f>
        <v>8</v>
      </c>
      <c r="C10" s="385"/>
      <c r="D10" s="386"/>
      <c r="E10" s="387"/>
      <c r="F10" s="896" t="s">
        <v>644</v>
      </c>
      <c r="G10" s="365"/>
      <c r="H10" s="240">
        <f>G10</f>
        <v>0</v>
      </c>
      <c r="I10" s="240">
        <f t="shared" ref="I10" si="24">H10</f>
        <v>0</v>
      </c>
      <c r="J10" s="240">
        <f>I10</f>
        <v>0</v>
      </c>
      <c r="K10" s="240">
        <f t="shared" ref="K10:K12" si="25">J10</f>
        <v>0</v>
      </c>
      <c r="L10" s="240">
        <f>K10</f>
        <v>0</v>
      </c>
      <c r="M10" s="240">
        <f t="shared" ref="M10:M12" si="26">L10</f>
        <v>0</v>
      </c>
      <c r="N10" s="240">
        <f t="shared" ref="N10:N12" si="27">M10</f>
        <v>0</v>
      </c>
      <c r="O10" s="240">
        <f t="shared" ref="O10:O12" si="28">N10</f>
        <v>0</v>
      </c>
      <c r="P10" s="240">
        <f t="shared" ref="P10:P12" si="29">O10</f>
        <v>0</v>
      </c>
      <c r="Q10" s="240">
        <f t="shared" ref="Q10:Q12" si="30">P10</f>
        <v>0</v>
      </c>
      <c r="R10" s="240">
        <f t="shared" ref="R10:R12" si="31">Q10</f>
        <v>0</v>
      </c>
      <c r="S10" s="1032"/>
      <c r="T10" s="908">
        <f>T11</f>
        <v>0</v>
      </c>
      <c r="U10" s="908">
        <f t="shared" ref="U10:AE10" si="32">U11</f>
        <v>0</v>
      </c>
      <c r="V10" s="908">
        <f t="shared" si="32"/>
        <v>0</v>
      </c>
      <c r="W10" s="908">
        <f t="shared" si="32"/>
        <v>0</v>
      </c>
      <c r="X10" s="908">
        <f t="shared" si="32"/>
        <v>0</v>
      </c>
      <c r="Y10" s="908">
        <f t="shared" si="32"/>
        <v>0</v>
      </c>
      <c r="Z10" s="908">
        <f t="shared" si="32"/>
        <v>0</v>
      </c>
      <c r="AA10" s="908">
        <f t="shared" si="32"/>
        <v>0</v>
      </c>
      <c r="AB10" s="908">
        <f t="shared" si="32"/>
        <v>0</v>
      </c>
      <c r="AC10" s="908">
        <f t="shared" si="32"/>
        <v>0</v>
      </c>
      <c r="AD10" s="908">
        <f t="shared" si="32"/>
        <v>0</v>
      </c>
      <c r="AE10" s="908">
        <f t="shared" si="32"/>
        <v>0</v>
      </c>
      <c r="AF10" s="6" t="s">
        <v>73</v>
      </c>
      <c r="AG10" s="86"/>
      <c r="AH10" s="86"/>
      <c r="AI10" s="86"/>
      <c r="AJ10" s="86"/>
      <c r="AK10" s="86"/>
      <c r="AL10" s="86"/>
    </row>
    <row r="11" spans="1:38" ht="42">
      <c r="A11" s="1180"/>
      <c r="B11" s="4"/>
      <c r="C11" s="385"/>
      <c r="D11" s="386"/>
      <c r="E11" s="387"/>
      <c r="F11" s="896" t="s">
        <v>686</v>
      </c>
      <c r="G11" s="902"/>
      <c r="H11" s="901">
        <f t="shared" si="19"/>
        <v>0</v>
      </c>
      <c r="I11" s="901">
        <f>H11</f>
        <v>0</v>
      </c>
      <c r="J11" s="901">
        <f t="shared" ref="J11" si="33">I11</f>
        <v>0</v>
      </c>
      <c r="K11" s="901">
        <f t="shared" si="25"/>
        <v>0</v>
      </c>
      <c r="L11" s="901">
        <f t="shared" ref="L11" si="34">K11</f>
        <v>0</v>
      </c>
      <c r="M11" s="901">
        <f t="shared" si="26"/>
        <v>0</v>
      </c>
      <c r="N11" s="901">
        <f t="shared" si="27"/>
        <v>0</v>
      </c>
      <c r="O11" s="901">
        <f t="shared" si="28"/>
        <v>0</v>
      </c>
      <c r="P11" s="901">
        <f t="shared" si="29"/>
        <v>0</v>
      </c>
      <c r="Q11" s="901">
        <f t="shared" si="30"/>
        <v>0</v>
      </c>
      <c r="R11" s="901">
        <f t="shared" si="31"/>
        <v>0</v>
      </c>
      <c r="S11" s="901"/>
      <c r="T11" s="908">
        <f t="shared" si="16"/>
        <v>0</v>
      </c>
      <c r="U11" s="908">
        <f t="shared" ref="U11:U51" si="35">H11</f>
        <v>0</v>
      </c>
      <c r="V11" s="908">
        <f t="shared" ref="V11:V51" si="36">I11</f>
        <v>0</v>
      </c>
      <c r="W11" s="908">
        <f t="shared" ref="W11:W51" si="37">J11</f>
        <v>0</v>
      </c>
      <c r="X11" s="908">
        <f t="shared" ref="X11:X51" si="38">K11</f>
        <v>0</v>
      </c>
      <c r="Y11" s="908">
        <f t="shared" ref="Y11:Y51" si="39">L11</f>
        <v>0</v>
      </c>
      <c r="Z11" s="908">
        <f t="shared" ref="Z11:Z51" si="40">M11</f>
        <v>0</v>
      </c>
      <c r="AA11" s="908">
        <f t="shared" ref="AA11:AA51" si="41">N11</f>
        <v>0</v>
      </c>
      <c r="AB11" s="908">
        <f t="shared" ref="AB11:AB51" si="42">O11</f>
        <v>0</v>
      </c>
      <c r="AC11" s="908">
        <f t="shared" ref="AC11:AC51" si="43">P11</f>
        <v>0</v>
      </c>
      <c r="AD11" s="908">
        <f t="shared" ref="AD11:AD51" si="44">Q11</f>
        <v>0</v>
      </c>
      <c r="AE11" s="908">
        <f t="shared" ref="AE11:AE51" si="45">R11</f>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25"/>
        <v>0</v>
      </c>
      <c r="L12" s="719">
        <f t="shared" ref="L12" si="46">K12</f>
        <v>0</v>
      </c>
      <c r="M12" s="719">
        <f t="shared" si="26"/>
        <v>0</v>
      </c>
      <c r="N12" s="719">
        <f t="shared" si="27"/>
        <v>0</v>
      </c>
      <c r="O12" s="719">
        <f t="shared" si="28"/>
        <v>0</v>
      </c>
      <c r="P12" s="719">
        <f t="shared" si="29"/>
        <v>0</v>
      </c>
      <c r="Q12" s="719">
        <f t="shared" si="30"/>
        <v>0</v>
      </c>
      <c r="R12" s="719">
        <f t="shared" si="31"/>
        <v>0</v>
      </c>
      <c r="S12" s="719"/>
      <c r="T12" s="908">
        <f t="shared" ref="T12:AE12" si="47">IF(G12&gt;0,G12/G10*G11,0)</f>
        <v>0</v>
      </c>
      <c r="U12" s="908">
        <f t="shared" si="47"/>
        <v>0</v>
      </c>
      <c r="V12" s="908">
        <f t="shared" si="47"/>
        <v>0</v>
      </c>
      <c r="W12" s="908">
        <f t="shared" si="47"/>
        <v>0</v>
      </c>
      <c r="X12" s="908">
        <f t="shared" si="47"/>
        <v>0</v>
      </c>
      <c r="Y12" s="908">
        <f t="shared" si="47"/>
        <v>0</v>
      </c>
      <c r="Z12" s="908">
        <f t="shared" si="47"/>
        <v>0</v>
      </c>
      <c r="AA12" s="908">
        <f t="shared" si="47"/>
        <v>0</v>
      </c>
      <c r="AB12" s="908">
        <f t="shared" si="47"/>
        <v>0</v>
      </c>
      <c r="AC12" s="908">
        <f t="shared" si="47"/>
        <v>0</v>
      </c>
      <c r="AD12" s="908">
        <f t="shared" si="47"/>
        <v>0</v>
      </c>
      <c r="AE12" s="908">
        <f t="shared" si="47"/>
        <v>0</v>
      </c>
      <c r="AF12" s="6" t="s">
        <v>530</v>
      </c>
      <c r="AG12" s="86"/>
      <c r="AH12" s="86"/>
      <c r="AI12" s="86"/>
      <c r="AJ12" s="86"/>
      <c r="AK12" s="86"/>
      <c r="AL12" s="86"/>
    </row>
    <row r="13" spans="1:38" ht="24" customHeight="1">
      <c r="A13" s="1180"/>
      <c r="B13" s="4">
        <f t="shared" si="11"/>
        <v>10</v>
      </c>
      <c r="C13" s="385"/>
      <c r="D13" s="386"/>
      <c r="E13" s="387"/>
      <c r="F13" s="13" t="s">
        <v>331</v>
      </c>
      <c r="G13" s="460"/>
      <c r="H13" s="1065">
        <f>G13</f>
        <v>0</v>
      </c>
      <c r="I13" s="242">
        <f t="shared" ref="I13:R14" si="48">H13</f>
        <v>0</v>
      </c>
      <c r="J13" s="242">
        <f t="shared" si="48"/>
        <v>0</v>
      </c>
      <c r="K13" s="242">
        <f t="shared" si="48"/>
        <v>0</v>
      </c>
      <c r="L13" s="242">
        <f t="shared" si="48"/>
        <v>0</v>
      </c>
      <c r="M13" s="242">
        <f t="shared" si="48"/>
        <v>0</v>
      </c>
      <c r="N13" s="242">
        <f t="shared" si="48"/>
        <v>0</v>
      </c>
      <c r="O13" s="242">
        <f t="shared" si="48"/>
        <v>0</v>
      </c>
      <c r="P13" s="242">
        <f t="shared" si="48"/>
        <v>0</v>
      </c>
      <c r="Q13" s="242">
        <f t="shared" si="48"/>
        <v>0</v>
      </c>
      <c r="R13" s="242">
        <f t="shared" si="48"/>
        <v>0</v>
      </c>
      <c r="S13" s="1033"/>
      <c r="T13" s="908">
        <f t="shared" si="16"/>
        <v>0</v>
      </c>
      <c r="U13" s="908">
        <f t="shared" si="35"/>
        <v>0</v>
      </c>
      <c r="V13" s="908">
        <f t="shared" si="36"/>
        <v>0</v>
      </c>
      <c r="W13" s="908">
        <f t="shared" si="37"/>
        <v>0</v>
      </c>
      <c r="X13" s="908">
        <f t="shared" si="38"/>
        <v>0</v>
      </c>
      <c r="Y13" s="908">
        <f t="shared" si="39"/>
        <v>0</v>
      </c>
      <c r="Z13" s="908">
        <f t="shared" si="40"/>
        <v>0</v>
      </c>
      <c r="AA13" s="908">
        <f t="shared" si="41"/>
        <v>0</v>
      </c>
      <c r="AB13" s="908">
        <f t="shared" si="42"/>
        <v>0</v>
      </c>
      <c r="AC13" s="908">
        <f t="shared" si="43"/>
        <v>0</v>
      </c>
      <c r="AD13" s="908">
        <f t="shared" si="44"/>
        <v>0</v>
      </c>
      <c r="AE13" s="908">
        <f t="shared" si="45"/>
        <v>0</v>
      </c>
      <c r="AF13" s="12" t="s">
        <v>332</v>
      </c>
      <c r="AG13" s="86"/>
      <c r="AH13" s="86"/>
      <c r="AI13" s="86"/>
      <c r="AJ13" s="86"/>
      <c r="AK13" s="86"/>
      <c r="AL13" s="86"/>
    </row>
    <row r="14" spans="1:38" ht="24" customHeight="1">
      <c r="A14" s="1180"/>
      <c r="B14" s="4">
        <f t="shared" si="11"/>
        <v>11</v>
      </c>
      <c r="C14" s="863" t="s">
        <v>404</v>
      </c>
      <c r="D14" s="821"/>
      <c r="E14" s="459" t="s">
        <v>404</v>
      </c>
      <c r="F14" s="594" t="s">
        <v>408</v>
      </c>
      <c r="G14" s="460"/>
      <c r="H14" s="1065">
        <f t="shared" ref="H14:H21" si="49">G14</f>
        <v>0</v>
      </c>
      <c r="I14" s="242">
        <f t="shared" si="48"/>
        <v>0</v>
      </c>
      <c r="J14" s="242">
        <f t="shared" si="48"/>
        <v>0</v>
      </c>
      <c r="K14" s="242">
        <f t="shared" si="48"/>
        <v>0</v>
      </c>
      <c r="L14" s="242">
        <f t="shared" si="48"/>
        <v>0</v>
      </c>
      <c r="M14" s="242">
        <f t="shared" si="48"/>
        <v>0</v>
      </c>
      <c r="N14" s="242">
        <f t="shared" si="48"/>
        <v>0</v>
      </c>
      <c r="O14" s="242">
        <f t="shared" si="48"/>
        <v>0</v>
      </c>
      <c r="P14" s="242">
        <f t="shared" si="48"/>
        <v>0</v>
      </c>
      <c r="Q14" s="242">
        <f t="shared" si="48"/>
        <v>0</v>
      </c>
      <c r="R14" s="242">
        <f t="shared" si="48"/>
        <v>0</v>
      </c>
      <c r="S14" s="1033"/>
      <c r="T14" s="908">
        <f t="shared" si="16"/>
        <v>0</v>
      </c>
      <c r="U14" s="908">
        <f t="shared" si="35"/>
        <v>0</v>
      </c>
      <c r="V14" s="908">
        <f t="shared" si="36"/>
        <v>0</v>
      </c>
      <c r="W14" s="908">
        <f t="shared" si="37"/>
        <v>0</v>
      </c>
      <c r="X14" s="908">
        <f t="shared" si="38"/>
        <v>0</v>
      </c>
      <c r="Y14" s="908">
        <f t="shared" si="39"/>
        <v>0</v>
      </c>
      <c r="Z14" s="908">
        <f t="shared" si="40"/>
        <v>0</v>
      </c>
      <c r="AA14" s="908">
        <f t="shared" si="41"/>
        <v>0</v>
      </c>
      <c r="AB14" s="908">
        <f t="shared" si="42"/>
        <v>0</v>
      </c>
      <c r="AC14" s="908">
        <f t="shared" si="43"/>
        <v>0</v>
      </c>
      <c r="AD14" s="908">
        <f t="shared" si="44"/>
        <v>0</v>
      </c>
      <c r="AE14" s="908">
        <f t="shared" si="45"/>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49"/>
        <v>0</v>
      </c>
      <c r="I15" s="243">
        <f t="shared" ref="I15:R22" si="50">H15</f>
        <v>0</v>
      </c>
      <c r="J15" s="243">
        <f t="shared" si="50"/>
        <v>0</v>
      </c>
      <c r="K15" s="243">
        <f t="shared" si="50"/>
        <v>0</v>
      </c>
      <c r="L15" s="243">
        <f t="shared" si="50"/>
        <v>0</v>
      </c>
      <c r="M15" s="243">
        <f t="shared" si="50"/>
        <v>0</v>
      </c>
      <c r="N15" s="243">
        <f t="shared" si="50"/>
        <v>0</v>
      </c>
      <c r="O15" s="243">
        <f t="shared" si="50"/>
        <v>0</v>
      </c>
      <c r="P15" s="243">
        <f t="shared" si="50"/>
        <v>0</v>
      </c>
      <c r="Q15" s="243">
        <f t="shared" si="50"/>
        <v>0</v>
      </c>
      <c r="R15" s="243">
        <f t="shared" si="50"/>
        <v>0</v>
      </c>
      <c r="S15" s="1034"/>
      <c r="T15" s="908">
        <f t="shared" si="16"/>
        <v>0</v>
      </c>
      <c r="U15" s="908">
        <f t="shared" si="35"/>
        <v>0</v>
      </c>
      <c r="V15" s="908">
        <f t="shared" si="36"/>
        <v>0</v>
      </c>
      <c r="W15" s="908">
        <f t="shared" si="37"/>
        <v>0</v>
      </c>
      <c r="X15" s="908">
        <f t="shared" si="38"/>
        <v>0</v>
      </c>
      <c r="Y15" s="908">
        <f t="shared" si="39"/>
        <v>0</v>
      </c>
      <c r="Z15" s="908">
        <f t="shared" si="40"/>
        <v>0</v>
      </c>
      <c r="AA15" s="908">
        <f t="shared" si="41"/>
        <v>0</v>
      </c>
      <c r="AB15" s="908">
        <f t="shared" si="42"/>
        <v>0</v>
      </c>
      <c r="AC15" s="908">
        <f t="shared" si="43"/>
        <v>0</v>
      </c>
      <c r="AD15" s="908">
        <f t="shared" si="44"/>
        <v>0</v>
      </c>
      <c r="AE15" s="908">
        <f t="shared" si="45"/>
        <v>0</v>
      </c>
      <c r="AF15" s="3" t="s">
        <v>333</v>
      </c>
      <c r="AG15" s="86"/>
      <c r="AH15" s="86"/>
      <c r="AI15" s="86"/>
      <c r="AJ15" s="86"/>
      <c r="AK15" s="86"/>
      <c r="AL15" s="86"/>
    </row>
    <row r="16" spans="1:38" ht="24" customHeight="1">
      <c r="A16" s="1180"/>
      <c r="B16" s="4">
        <f t="shared" si="11"/>
        <v>13</v>
      </c>
      <c r="C16" s="863" t="s">
        <v>404</v>
      </c>
      <c r="D16" s="821"/>
      <c r="E16" s="459" t="s">
        <v>404</v>
      </c>
      <c r="F16" s="594" t="s">
        <v>408</v>
      </c>
      <c r="G16" s="462"/>
      <c r="H16" s="1065">
        <f t="shared" si="49"/>
        <v>0</v>
      </c>
      <c r="I16" s="244">
        <f t="shared" si="50"/>
        <v>0</v>
      </c>
      <c r="J16" s="244">
        <f t="shared" si="50"/>
        <v>0</v>
      </c>
      <c r="K16" s="244">
        <f t="shared" ref="K16" si="51">J16</f>
        <v>0</v>
      </c>
      <c r="L16" s="244">
        <f t="shared" ref="L16" si="52">K16</f>
        <v>0</v>
      </c>
      <c r="M16" s="244">
        <f t="shared" ref="M16" si="53">L16</f>
        <v>0</v>
      </c>
      <c r="N16" s="244">
        <f t="shared" ref="N16" si="54">M16</f>
        <v>0</v>
      </c>
      <c r="O16" s="244">
        <f t="shared" ref="O16" si="55">N16</f>
        <v>0</v>
      </c>
      <c r="P16" s="244">
        <f t="shared" ref="P16" si="56">O16</f>
        <v>0</v>
      </c>
      <c r="Q16" s="244">
        <f t="shared" ref="Q16" si="57">P16</f>
        <v>0</v>
      </c>
      <c r="R16" s="244">
        <f t="shared" ref="R16" si="58">Q16</f>
        <v>0</v>
      </c>
      <c r="S16" s="1035"/>
      <c r="T16" s="908">
        <f t="shared" si="16"/>
        <v>0</v>
      </c>
      <c r="U16" s="908">
        <f t="shared" si="35"/>
        <v>0</v>
      </c>
      <c r="V16" s="908">
        <f t="shared" si="36"/>
        <v>0</v>
      </c>
      <c r="W16" s="908">
        <f t="shared" si="37"/>
        <v>0</v>
      </c>
      <c r="X16" s="908">
        <f t="shared" si="38"/>
        <v>0</v>
      </c>
      <c r="Y16" s="908">
        <f t="shared" si="39"/>
        <v>0</v>
      </c>
      <c r="Z16" s="908">
        <f t="shared" si="40"/>
        <v>0</v>
      </c>
      <c r="AA16" s="908">
        <f t="shared" si="41"/>
        <v>0</v>
      </c>
      <c r="AB16" s="908">
        <f t="shared" si="42"/>
        <v>0</v>
      </c>
      <c r="AC16" s="908">
        <f t="shared" si="43"/>
        <v>0</v>
      </c>
      <c r="AD16" s="908">
        <f t="shared" si="44"/>
        <v>0</v>
      </c>
      <c r="AE16" s="908">
        <f t="shared" si="45"/>
        <v>0</v>
      </c>
      <c r="AF16" s="3" t="s">
        <v>333</v>
      </c>
      <c r="AG16" s="86"/>
      <c r="AH16" s="86"/>
      <c r="AI16" s="86"/>
      <c r="AJ16" s="86"/>
      <c r="AK16" s="86"/>
      <c r="AL16" s="86"/>
    </row>
    <row r="17" spans="1:38" ht="24" customHeight="1">
      <c r="A17" s="1180"/>
      <c r="B17" s="4">
        <f t="shared" si="11"/>
        <v>14</v>
      </c>
      <c r="C17" s="863" t="s">
        <v>404</v>
      </c>
      <c r="D17" s="821" t="s">
        <v>404</v>
      </c>
      <c r="E17" s="459" t="s">
        <v>404</v>
      </c>
      <c r="F17" s="595" t="s">
        <v>409</v>
      </c>
      <c r="G17" s="475"/>
      <c r="H17" s="1065">
        <f t="shared" si="49"/>
        <v>0</v>
      </c>
      <c r="I17" s="363">
        <f t="shared" si="50"/>
        <v>0</v>
      </c>
      <c r="J17" s="363">
        <f t="shared" si="50"/>
        <v>0</v>
      </c>
      <c r="K17" s="363">
        <f t="shared" ref="K17" si="59">J17</f>
        <v>0</v>
      </c>
      <c r="L17" s="363">
        <f t="shared" ref="L17" si="60">K17</f>
        <v>0</v>
      </c>
      <c r="M17" s="363">
        <f t="shared" ref="M17" si="61">L17</f>
        <v>0</v>
      </c>
      <c r="N17" s="363">
        <f t="shared" ref="N17" si="62">M17</f>
        <v>0</v>
      </c>
      <c r="O17" s="363">
        <f t="shared" ref="O17" si="63">N17</f>
        <v>0</v>
      </c>
      <c r="P17" s="363">
        <f t="shared" ref="P17" si="64">O17</f>
        <v>0</v>
      </c>
      <c r="Q17" s="363">
        <f t="shared" ref="Q17" si="65">P17</f>
        <v>0</v>
      </c>
      <c r="R17" s="363">
        <f t="shared" ref="R17" si="66">Q17</f>
        <v>0</v>
      </c>
      <c r="S17" s="1033"/>
      <c r="T17" s="908">
        <f t="shared" si="16"/>
        <v>0</v>
      </c>
      <c r="U17" s="908">
        <f t="shared" si="35"/>
        <v>0</v>
      </c>
      <c r="V17" s="908">
        <f t="shared" si="36"/>
        <v>0</v>
      </c>
      <c r="W17" s="908">
        <f t="shared" si="37"/>
        <v>0</v>
      </c>
      <c r="X17" s="908">
        <f t="shared" si="38"/>
        <v>0</v>
      </c>
      <c r="Y17" s="908">
        <f t="shared" si="39"/>
        <v>0</v>
      </c>
      <c r="Z17" s="908">
        <f t="shared" si="40"/>
        <v>0</v>
      </c>
      <c r="AA17" s="908">
        <f t="shared" si="41"/>
        <v>0</v>
      </c>
      <c r="AB17" s="908">
        <f t="shared" si="42"/>
        <v>0</v>
      </c>
      <c r="AC17" s="908">
        <f t="shared" si="43"/>
        <v>0</v>
      </c>
      <c r="AD17" s="908">
        <f t="shared" si="44"/>
        <v>0</v>
      </c>
      <c r="AE17" s="908">
        <f t="shared" si="45"/>
        <v>0</v>
      </c>
      <c r="AF17" s="3" t="s">
        <v>333</v>
      </c>
      <c r="AG17" s="86"/>
      <c r="AH17" s="86"/>
      <c r="AI17" s="86"/>
      <c r="AJ17" s="86"/>
      <c r="AK17" s="86"/>
      <c r="AL17" s="86"/>
    </row>
    <row r="18" spans="1:38" ht="24" customHeight="1">
      <c r="A18" s="1180"/>
      <c r="B18" s="4">
        <f t="shared" si="11"/>
        <v>15</v>
      </c>
      <c r="C18" s="863" t="s">
        <v>404</v>
      </c>
      <c r="D18" s="821" t="s">
        <v>404</v>
      </c>
      <c r="E18" s="459" t="s">
        <v>404</v>
      </c>
      <c r="F18" s="595" t="s">
        <v>409</v>
      </c>
      <c r="G18" s="461"/>
      <c r="H18" s="1065">
        <f t="shared" si="49"/>
        <v>0</v>
      </c>
      <c r="I18" s="243">
        <f t="shared" si="50"/>
        <v>0</v>
      </c>
      <c r="J18" s="243">
        <f t="shared" si="50"/>
        <v>0</v>
      </c>
      <c r="K18" s="243">
        <f t="shared" si="50"/>
        <v>0</v>
      </c>
      <c r="L18" s="243">
        <f t="shared" si="50"/>
        <v>0</v>
      </c>
      <c r="M18" s="243">
        <f t="shared" si="50"/>
        <v>0</v>
      </c>
      <c r="N18" s="243">
        <f t="shared" si="50"/>
        <v>0</v>
      </c>
      <c r="O18" s="243">
        <f t="shared" si="50"/>
        <v>0</v>
      </c>
      <c r="P18" s="243">
        <f t="shared" si="50"/>
        <v>0</v>
      </c>
      <c r="Q18" s="243">
        <f t="shared" si="50"/>
        <v>0</v>
      </c>
      <c r="R18" s="243">
        <f t="shared" si="50"/>
        <v>0</v>
      </c>
      <c r="S18" s="1034"/>
      <c r="T18" s="908">
        <f t="shared" si="16"/>
        <v>0</v>
      </c>
      <c r="U18" s="908">
        <f t="shared" si="35"/>
        <v>0</v>
      </c>
      <c r="V18" s="908">
        <f t="shared" si="36"/>
        <v>0</v>
      </c>
      <c r="W18" s="908">
        <f t="shared" si="37"/>
        <v>0</v>
      </c>
      <c r="X18" s="908">
        <f t="shared" si="38"/>
        <v>0</v>
      </c>
      <c r="Y18" s="908">
        <f t="shared" si="39"/>
        <v>0</v>
      </c>
      <c r="Z18" s="908">
        <f t="shared" si="40"/>
        <v>0</v>
      </c>
      <c r="AA18" s="908">
        <f t="shared" si="41"/>
        <v>0</v>
      </c>
      <c r="AB18" s="908">
        <f t="shared" si="42"/>
        <v>0</v>
      </c>
      <c r="AC18" s="908">
        <f t="shared" si="43"/>
        <v>0</v>
      </c>
      <c r="AD18" s="908">
        <f t="shared" si="44"/>
        <v>0</v>
      </c>
      <c r="AE18" s="908">
        <f t="shared" si="45"/>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49"/>
        <v>0</v>
      </c>
      <c r="I19" s="243">
        <f t="shared" si="50"/>
        <v>0</v>
      </c>
      <c r="J19" s="243">
        <f t="shared" si="50"/>
        <v>0</v>
      </c>
      <c r="K19" s="243">
        <f t="shared" si="50"/>
        <v>0</v>
      </c>
      <c r="L19" s="243">
        <f t="shared" si="50"/>
        <v>0</v>
      </c>
      <c r="M19" s="243">
        <f t="shared" si="50"/>
        <v>0</v>
      </c>
      <c r="N19" s="243">
        <f t="shared" si="50"/>
        <v>0</v>
      </c>
      <c r="O19" s="243">
        <f t="shared" si="50"/>
        <v>0</v>
      </c>
      <c r="P19" s="243">
        <f t="shared" si="50"/>
        <v>0</v>
      </c>
      <c r="Q19" s="243">
        <f t="shared" si="50"/>
        <v>0</v>
      </c>
      <c r="R19" s="243">
        <f t="shared" si="50"/>
        <v>0</v>
      </c>
      <c r="S19" s="1034"/>
      <c r="T19" s="908">
        <f t="shared" si="16"/>
        <v>0</v>
      </c>
      <c r="U19" s="908">
        <f t="shared" si="35"/>
        <v>0</v>
      </c>
      <c r="V19" s="908">
        <f t="shared" si="36"/>
        <v>0</v>
      </c>
      <c r="W19" s="908">
        <f t="shared" si="37"/>
        <v>0</v>
      </c>
      <c r="X19" s="908">
        <f t="shared" si="38"/>
        <v>0</v>
      </c>
      <c r="Y19" s="908">
        <f t="shared" si="39"/>
        <v>0</v>
      </c>
      <c r="Z19" s="908">
        <f t="shared" si="40"/>
        <v>0</v>
      </c>
      <c r="AA19" s="908">
        <f t="shared" si="41"/>
        <v>0</v>
      </c>
      <c r="AB19" s="908">
        <f t="shared" si="42"/>
        <v>0</v>
      </c>
      <c r="AC19" s="908">
        <f t="shared" si="43"/>
        <v>0</v>
      </c>
      <c r="AD19" s="908">
        <f t="shared" si="44"/>
        <v>0</v>
      </c>
      <c r="AE19" s="908">
        <f t="shared" si="45"/>
        <v>0</v>
      </c>
      <c r="AF19" s="3" t="s">
        <v>333</v>
      </c>
      <c r="AG19" s="86"/>
      <c r="AH19" s="86"/>
      <c r="AI19" s="86"/>
      <c r="AJ19" s="86"/>
      <c r="AK19" s="86"/>
      <c r="AL19" s="86"/>
    </row>
    <row r="20" spans="1:38" ht="24" customHeight="1">
      <c r="A20" s="1180"/>
      <c r="B20" s="73">
        <f>B19+1</f>
        <v>17</v>
      </c>
      <c r="C20" s="395"/>
      <c r="D20" s="396"/>
      <c r="E20" s="397"/>
      <c r="F20" s="596" t="s">
        <v>534</v>
      </c>
      <c r="G20" s="460"/>
      <c r="H20" s="1065">
        <f t="shared" si="49"/>
        <v>0</v>
      </c>
      <c r="I20" s="363">
        <f t="shared" ref="I20:R20" si="67">H20</f>
        <v>0</v>
      </c>
      <c r="J20" s="363">
        <f t="shared" si="67"/>
        <v>0</v>
      </c>
      <c r="K20" s="363">
        <f t="shared" si="67"/>
        <v>0</v>
      </c>
      <c r="L20" s="363">
        <f t="shared" si="67"/>
        <v>0</v>
      </c>
      <c r="M20" s="363">
        <f t="shared" si="67"/>
        <v>0</v>
      </c>
      <c r="N20" s="363">
        <f t="shared" si="67"/>
        <v>0</v>
      </c>
      <c r="O20" s="363">
        <f t="shared" si="67"/>
        <v>0</v>
      </c>
      <c r="P20" s="363">
        <f t="shared" si="67"/>
        <v>0</v>
      </c>
      <c r="Q20" s="363">
        <f t="shared" si="67"/>
        <v>0</v>
      </c>
      <c r="R20" s="363">
        <f t="shared" si="67"/>
        <v>0</v>
      </c>
      <c r="S20" s="1033"/>
      <c r="T20" s="908">
        <f t="shared" si="16"/>
        <v>0</v>
      </c>
      <c r="U20" s="908">
        <f t="shared" si="35"/>
        <v>0</v>
      </c>
      <c r="V20" s="908">
        <f t="shared" si="36"/>
        <v>0</v>
      </c>
      <c r="W20" s="908">
        <f t="shared" si="37"/>
        <v>0</v>
      </c>
      <c r="X20" s="908">
        <f t="shared" si="38"/>
        <v>0</v>
      </c>
      <c r="Y20" s="908">
        <f t="shared" si="39"/>
        <v>0</v>
      </c>
      <c r="Z20" s="908">
        <f t="shared" si="40"/>
        <v>0</v>
      </c>
      <c r="AA20" s="908">
        <f t="shared" si="41"/>
        <v>0</v>
      </c>
      <c r="AB20" s="908">
        <f t="shared" si="42"/>
        <v>0</v>
      </c>
      <c r="AC20" s="908">
        <f t="shared" si="43"/>
        <v>0</v>
      </c>
      <c r="AD20" s="908">
        <f t="shared" si="44"/>
        <v>0</v>
      </c>
      <c r="AE20" s="908">
        <f t="shared" si="45"/>
        <v>0</v>
      </c>
      <c r="AF20" s="6" t="s">
        <v>338</v>
      </c>
      <c r="AG20" s="86"/>
      <c r="AH20" s="86"/>
      <c r="AI20" s="86"/>
      <c r="AJ20" s="86"/>
      <c r="AK20" s="86"/>
      <c r="AL20" s="86"/>
    </row>
    <row r="21" spans="1:38" ht="24" customHeight="1">
      <c r="A21" s="1180"/>
      <c r="B21" s="4">
        <f>B20+1</f>
        <v>18</v>
      </c>
      <c r="C21" s="395"/>
      <c r="D21" s="396"/>
      <c r="E21" s="397"/>
      <c r="F21" s="597" t="s">
        <v>204</v>
      </c>
      <c r="G21" s="463"/>
      <c r="H21" s="1065">
        <f t="shared" si="49"/>
        <v>0</v>
      </c>
      <c r="I21" s="246">
        <f t="shared" si="50"/>
        <v>0</v>
      </c>
      <c r="J21" s="246">
        <f t="shared" si="50"/>
        <v>0</v>
      </c>
      <c r="K21" s="246">
        <f t="shared" si="50"/>
        <v>0</v>
      </c>
      <c r="L21" s="246">
        <f t="shared" si="50"/>
        <v>0</v>
      </c>
      <c r="M21" s="246">
        <f t="shared" si="50"/>
        <v>0</v>
      </c>
      <c r="N21" s="246">
        <f t="shared" si="50"/>
        <v>0</v>
      </c>
      <c r="O21" s="246">
        <f t="shared" si="50"/>
        <v>0</v>
      </c>
      <c r="P21" s="246">
        <f t="shared" si="50"/>
        <v>0</v>
      </c>
      <c r="Q21" s="246">
        <f t="shared" si="50"/>
        <v>0</v>
      </c>
      <c r="R21" s="246">
        <f t="shared" si="50"/>
        <v>0</v>
      </c>
      <c r="S21" s="1035"/>
      <c r="T21" s="908">
        <f t="shared" si="16"/>
        <v>0</v>
      </c>
      <c r="U21" s="908">
        <f t="shared" si="35"/>
        <v>0</v>
      </c>
      <c r="V21" s="908">
        <f t="shared" si="36"/>
        <v>0</v>
      </c>
      <c r="W21" s="908">
        <f t="shared" si="37"/>
        <v>0</v>
      </c>
      <c r="X21" s="908">
        <f t="shared" si="38"/>
        <v>0</v>
      </c>
      <c r="Y21" s="908">
        <f t="shared" si="39"/>
        <v>0</v>
      </c>
      <c r="Z21" s="908">
        <f t="shared" si="40"/>
        <v>0</v>
      </c>
      <c r="AA21" s="908">
        <f t="shared" si="41"/>
        <v>0</v>
      </c>
      <c r="AB21" s="908">
        <f t="shared" si="42"/>
        <v>0</v>
      </c>
      <c r="AC21" s="908">
        <f t="shared" si="43"/>
        <v>0</v>
      </c>
      <c r="AD21" s="908">
        <f t="shared" si="44"/>
        <v>0</v>
      </c>
      <c r="AE21" s="908">
        <f t="shared" si="45"/>
        <v>0</v>
      </c>
      <c r="AF21" s="6" t="s">
        <v>337</v>
      </c>
      <c r="AG21" s="86"/>
      <c r="AH21" s="86"/>
      <c r="AI21" s="86"/>
      <c r="AJ21" s="86"/>
      <c r="AK21" s="86"/>
      <c r="AL21" s="86"/>
    </row>
    <row r="22" spans="1:38" ht="24" customHeight="1">
      <c r="A22" s="1180"/>
      <c r="B22" s="4">
        <f t="shared" si="11"/>
        <v>19</v>
      </c>
      <c r="C22" s="395"/>
      <c r="D22" s="396"/>
      <c r="E22" s="397"/>
      <c r="F22" s="11" t="s">
        <v>205</v>
      </c>
      <c r="G22" s="464"/>
      <c r="H22" s="247">
        <f>G22</f>
        <v>0</v>
      </c>
      <c r="I22" s="247">
        <f t="shared" si="50"/>
        <v>0</v>
      </c>
      <c r="J22" s="247">
        <f t="shared" si="50"/>
        <v>0</v>
      </c>
      <c r="K22" s="247">
        <f t="shared" si="50"/>
        <v>0</v>
      </c>
      <c r="L22" s="247">
        <f t="shared" si="50"/>
        <v>0</v>
      </c>
      <c r="M22" s="247">
        <f t="shared" si="50"/>
        <v>0</v>
      </c>
      <c r="N22" s="247">
        <f t="shared" si="50"/>
        <v>0</v>
      </c>
      <c r="O22" s="247">
        <f t="shared" si="50"/>
        <v>0</v>
      </c>
      <c r="P22" s="247">
        <f t="shared" si="50"/>
        <v>0</v>
      </c>
      <c r="Q22" s="247">
        <f t="shared" si="50"/>
        <v>0</v>
      </c>
      <c r="R22" s="247">
        <f t="shared" si="50"/>
        <v>0</v>
      </c>
      <c r="S22" s="1036"/>
      <c r="T22" s="908">
        <f t="shared" si="16"/>
        <v>0</v>
      </c>
      <c r="U22" s="908">
        <f t="shared" si="35"/>
        <v>0</v>
      </c>
      <c r="V22" s="908">
        <f t="shared" si="36"/>
        <v>0</v>
      </c>
      <c r="W22" s="908">
        <f t="shared" si="37"/>
        <v>0</v>
      </c>
      <c r="X22" s="908">
        <f t="shared" si="38"/>
        <v>0</v>
      </c>
      <c r="Y22" s="908">
        <f t="shared" si="39"/>
        <v>0</v>
      </c>
      <c r="Z22" s="908">
        <f t="shared" si="40"/>
        <v>0</v>
      </c>
      <c r="AA22" s="908">
        <f t="shared" si="41"/>
        <v>0</v>
      </c>
      <c r="AB22" s="908">
        <f t="shared" si="42"/>
        <v>0</v>
      </c>
      <c r="AC22" s="908">
        <f t="shared" si="43"/>
        <v>0</v>
      </c>
      <c r="AD22" s="908">
        <f t="shared" si="44"/>
        <v>0</v>
      </c>
      <c r="AE22" s="908">
        <f t="shared" si="45"/>
        <v>0</v>
      </c>
      <c r="AF22" s="6" t="s">
        <v>187</v>
      </c>
      <c r="AG22" s="86"/>
      <c r="AH22" s="86"/>
      <c r="AI22" s="86"/>
      <c r="AJ22" s="86"/>
      <c r="AK22" s="86"/>
      <c r="AL22" s="86"/>
    </row>
    <row r="23" spans="1:38" ht="14" customHeight="1">
      <c r="A23" s="1180"/>
      <c r="B23" s="4">
        <f t="shared" si="11"/>
        <v>20</v>
      </c>
      <c r="C23" s="391" t="s">
        <v>404</v>
      </c>
      <c r="D23" s="391"/>
      <c r="E23" s="391"/>
      <c r="F23" s="598" t="s">
        <v>683</v>
      </c>
      <c r="G23" s="465"/>
      <c r="H23" s="248">
        <f t="shared" ref="H23:R24" si="68">G23</f>
        <v>0</v>
      </c>
      <c r="I23" s="248">
        <f t="shared" si="68"/>
        <v>0</v>
      </c>
      <c r="J23" s="248">
        <f t="shared" si="68"/>
        <v>0</v>
      </c>
      <c r="K23" s="248">
        <f t="shared" si="68"/>
        <v>0</v>
      </c>
      <c r="L23" s="248">
        <f t="shared" si="68"/>
        <v>0</v>
      </c>
      <c r="M23" s="248">
        <f t="shared" si="68"/>
        <v>0</v>
      </c>
      <c r="N23" s="248">
        <f t="shared" si="68"/>
        <v>0</v>
      </c>
      <c r="O23" s="248">
        <f>N23</f>
        <v>0</v>
      </c>
      <c r="P23" s="248">
        <f t="shared" si="68"/>
        <v>0</v>
      </c>
      <c r="Q23" s="248">
        <f t="shared" si="68"/>
        <v>0</v>
      </c>
      <c r="R23" s="248">
        <f t="shared" si="68"/>
        <v>0</v>
      </c>
      <c r="S23" s="1037"/>
      <c r="T23" s="908">
        <f t="shared" si="16"/>
        <v>0</v>
      </c>
      <c r="U23" s="908">
        <f t="shared" si="35"/>
        <v>0</v>
      </c>
      <c r="V23" s="908">
        <f t="shared" si="36"/>
        <v>0</v>
      </c>
      <c r="W23" s="908">
        <f t="shared" si="37"/>
        <v>0</v>
      </c>
      <c r="X23" s="908">
        <f t="shared" si="38"/>
        <v>0</v>
      </c>
      <c r="Y23" s="908">
        <f t="shared" si="39"/>
        <v>0</v>
      </c>
      <c r="Z23" s="908">
        <f t="shared" si="40"/>
        <v>0</v>
      </c>
      <c r="AA23" s="908">
        <f t="shared" si="41"/>
        <v>0</v>
      </c>
      <c r="AB23" s="908">
        <f t="shared" si="42"/>
        <v>0</v>
      </c>
      <c r="AC23" s="908">
        <f t="shared" si="43"/>
        <v>0</v>
      </c>
      <c r="AD23" s="908">
        <f t="shared" si="44"/>
        <v>0</v>
      </c>
      <c r="AE23" s="908">
        <f t="shared" si="45"/>
        <v>0</v>
      </c>
      <c r="AF23" s="140" t="s">
        <v>484</v>
      </c>
      <c r="AG23" s="86"/>
      <c r="AH23" s="86"/>
      <c r="AI23" s="86"/>
      <c r="AJ23" s="86"/>
      <c r="AK23" s="86"/>
      <c r="AL23" s="86"/>
    </row>
    <row r="24" spans="1:38" ht="14" customHeight="1">
      <c r="A24" s="1180"/>
      <c r="B24" s="4">
        <f t="shared" si="11"/>
        <v>21</v>
      </c>
      <c r="C24" s="395"/>
      <c r="D24" s="396"/>
      <c r="E24" s="397"/>
      <c r="F24" s="599" t="s">
        <v>218</v>
      </c>
      <c r="G24" s="466">
        <v>2</v>
      </c>
      <c r="H24" s="144">
        <v>0</v>
      </c>
      <c r="I24" s="846">
        <v>5</v>
      </c>
      <c r="J24" s="144">
        <v>0</v>
      </c>
      <c r="K24" s="144">
        <v>0</v>
      </c>
      <c r="L24" s="144">
        <f t="shared" si="68"/>
        <v>0</v>
      </c>
      <c r="M24" s="144">
        <f t="shared" si="68"/>
        <v>0</v>
      </c>
      <c r="N24" s="144">
        <f t="shared" si="68"/>
        <v>0</v>
      </c>
      <c r="O24" s="144">
        <f>N24</f>
        <v>0</v>
      </c>
      <c r="P24" s="144">
        <v>0</v>
      </c>
      <c r="Q24" s="144">
        <v>0</v>
      </c>
      <c r="R24" s="846">
        <v>18</v>
      </c>
      <c r="S24" s="1038"/>
      <c r="T24" s="908">
        <f t="shared" si="16"/>
        <v>2</v>
      </c>
      <c r="U24" s="908">
        <f t="shared" si="35"/>
        <v>0</v>
      </c>
      <c r="V24" s="908">
        <f t="shared" si="36"/>
        <v>5</v>
      </c>
      <c r="W24" s="908">
        <f t="shared" si="37"/>
        <v>0</v>
      </c>
      <c r="X24" s="908">
        <f t="shared" si="38"/>
        <v>0</v>
      </c>
      <c r="Y24" s="908">
        <f t="shared" si="39"/>
        <v>0</v>
      </c>
      <c r="Z24" s="908">
        <f t="shared" si="40"/>
        <v>0</v>
      </c>
      <c r="AA24" s="908">
        <f t="shared" si="41"/>
        <v>0</v>
      </c>
      <c r="AB24" s="908">
        <f t="shared" si="42"/>
        <v>0</v>
      </c>
      <c r="AC24" s="908">
        <f t="shared" si="43"/>
        <v>0</v>
      </c>
      <c r="AD24" s="908">
        <f t="shared" si="44"/>
        <v>0</v>
      </c>
      <c r="AE24" s="908">
        <f t="shared" si="45"/>
        <v>18</v>
      </c>
      <c r="AF24" s="3" t="s">
        <v>609</v>
      </c>
      <c r="AG24" s="86"/>
      <c r="AH24" s="86"/>
      <c r="AI24" s="86"/>
      <c r="AJ24" s="86"/>
      <c r="AK24" s="86"/>
      <c r="AL24" s="86"/>
    </row>
    <row r="25" spans="1:38" ht="27" customHeight="1">
      <c r="A25" s="1180"/>
      <c r="B25" s="4">
        <f t="shared" si="11"/>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6"/>
        <v>0</v>
      </c>
      <c r="U25" s="908">
        <f t="shared" si="35"/>
        <v>0</v>
      </c>
      <c r="V25" s="908">
        <f t="shared" si="36"/>
        <v>0</v>
      </c>
      <c r="W25" s="908">
        <f t="shared" si="37"/>
        <v>0</v>
      </c>
      <c r="X25" s="908">
        <f t="shared" si="38"/>
        <v>0</v>
      </c>
      <c r="Y25" s="908">
        <f t="shared" si="39"/>
        <v>0</v>
      </c>
      <c r="Z25" s="908">
        <f t="shared" si="40"/>
        <v>0</v>
      </c>
      <c r="AA25" s="908">
        <f t="shared" si="41"/>
        <v>0</v>
      </c>
      <c r="AB25" s="908">
        <f t="shared" si="42"/>
        <v>0</v>
      </c>
      <c r="AC25" s="908">
        <f t="shared" si="43"/>
        <v>0</v>
      </c>
      <c r="AD25" s="908">
        <f t="shared" si="44"/>
        <v>0</v>
      </c>
      <c r="AE25" s="908">
        <f t="shared" si="45"/>
        <v>0</v>
      </c>
      <c r="AF25" s="3" t="str">
        <f>"Se pjecen ""Ferievejledning "&amp;MID($A$1,1,4)+1&amp;""""</f>
        <v>Se pjecen "Ferievejledning 2025"</v>
      </c>
      <c r="AG25" s="86"/>
      <c r="AH25" s="86"/>
      <c r="AI25" s="86"/>
      <c r="AJ25" s="86"/>
      <c r="AK25" s="86"/>
      <c r="AL25" s="86"/>
    </row>
    <row r="26" spans="1:38" ht="29" customHeight="1">
      <c r="A26" s="1180"/>
      <c r="B26" s="4">
        <f t="shared" si="11"/>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6"/>
        <v>0</v>
      </c>
      <c r="U26" s="908">
        <f t="shared" si="35"/>
        <v>0</v>
      </c>
      <c r="V26" s="908">
        <f t="shared" si="36"/>
        <v>0</v>
      </c>
      <c r="W26" s="908">
        <f t="shared" si="37"/>
        <v>0</v>
      </c>
      <c r="X26" s="908">
        <f t="shared" si="38"/>
        <v>0</v>
      </c>
      <c r="Y26" s="908">
        <f t="shared" si="39"/>
        <v>0</v>
      </c>
      <c r="Z26" s="908">
        <f t="shared" si="40"/>
        <v>0</v>
      </c>
      <c r="AA26" s="908">
        <f t="shared" si="41"/>
        <v>0</v>
      </c>
      <c r="AB26" s="908">
        <f t="shared" si="42"/>
        <v>0</v>
      </c>
      <c r="AC26" s="908">
        <f t="shared" si="43"/>
        <v>0</v>
      </c>
      <c r="AD26" s="908">
        <f t="shared" si="44"/>
        <v>0</v>
      </c>
      <c r="AE26" s="908">
        <f t="shared" si="45"/>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6"/>
        <v>0</v>
      </c>
      <c r="U27" s="908">
        <f t="shared" si="35"/>
        <v>0</v>
      </c>
      <c r="V27" s="908">
        <f t="shared" si="36"/>
        <v>0</v>
      </c>
      <c r="W27" s="908">
        <f t="shared" si="37"/>
        <v>0</v>
      </c>
      <c r="X27" s="908">
        <f t="shared" si="38"/>
        <v>0</v>
      </c>
      <c r="Y27" s="908">
        <f t="shared" si="39"/>
        <v>0</v>
      </c>
      <c r="Z27" s="908">
        <f t="shared" si="40"/>
        <v>0</v>
      </c>
      <c r="AA27" s="908">
        <f t="shared" si="41"/>
        <v>0</v>
      </c>
      <c r="AB27" s="908">
        <f t="shared" si="42"/>
        <v>0</v>
      </c>
      <c r="AC27" s="908">
        <f t="shared" si="43"/>
        <v>0</v>
      </c>
      <c r="AD27" s="908">
        <f t="shared" si="44"/>
        <v>0</v>
      </c>
      <c r="AE27" s="908">
        <f t="shared" si="45"/>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6"/>
        <v>0</v>
      </c>
      <c r="U28" s="908">
        <f t="shared" si="35"/>
        <v>0</v>
      </c>
      <c r="V28" s="908">
        <f t="shared" si="36"/>
        <v>0</v>
      </c>
      <c r="W28" s="908">
        <f t="shared" si="37"/>
        <v>0</v>
      </c>
      <c r="X28" s="908">
        <f t="shared" si="38"/>
        <v>0</v>
      </c>
      <c r="Y28" s="908">
        <f t="shared" si="39"/>
        <v>0</v>
      </c>
      <c r="Z28" s="908">
        <f t="shared" si="40"/>
        <v>0</v>
      </c>
      <c r="AA28" s="908">
        <f t="shared" si="41"/>
        <v>0</v>
      </c>
      <c r="AB28" s="908">
        <f t="shared" si="42"/>
        <v>0</v>
      </c>
      <c r="AC28" s="908">
        <f t="shared" si="43"/>
        <v>0</v>
      </c>
      <c r="AD28" s="908">
        <f t="shared" si="44"/>
        <v>0</v>
      </c>
      <c r="AE28" s="908">
        <f t="shared" si="45"/>
        <v>0</v>
      </c>
      <c r="AF28" s="140" t="s">
        <v>564</v>
      </c>
      <c r="AG28" s="86"/>
      <c r="AH28" s="86"/>
      <c r="AI28" s="86"/>
      <c r="AJ28" s="86"/>
      <c r="AK28" s="86"/>
      <c r="AL28" s="86"/>
    </row>
    <row r="29" spans="1:38" ht="14" customHeight="1" thickBot="1">
      <c r="A29" s="1180"/>
      <c r="B29" s="4">
        <f t="shared" si="11"/>
        <v>26</v>
      </c>
      <c r="C29" s="399"/>
      <c r="D29" s="400"/>
      <c r="E29" s="401"/>
      <c r="F29" s="602" t="s">
        <v>199</v>
      </c>
      <c r="G29" s="469"/>
      <c r="H29" s="251">
        <f>G29</f>
        <v>0</v>
      </c>
      <c r="I29" s="251">
        <f t="shared" ref="I29:R30" si="69">H29</f>
        <v>0</v>
      </c>
      <c r="J29" s="251">
        <f t="shared" si="69"/>
        <v>0</v>
      </c>
      <c r="K29" s="251">
        <f t="shared" si="69"/>
        <v>0</v>
      </c>
      <c r="L29" s="333"/>
      <c r="M29" s="251">
        <f t="shared" si="69"/>
        <v>0</v>
      </c>
      <c r="N29" s="251">
        <f t="shared" si="69"/>
        <v>0</v>
      </c>
      <c r="O29" s="251">
        <f t="shared" si="69"/>
        <v>0</v>
      </c>
      <c r="P29" s="251">
        <f t="shared" si="69"/>
        <v>0</v>
      </c>
      <c r="Q29" s="251">
        <f t="shared" si="69"/>
        <v>0</v>
      </c>
      <c r="R29" s="251">
        <f t="shared" si="69"/>
        <v>0</v>
      </c>
      <c r="S29" s="1041"/>
      <c r="T29" s="908">
        <f t="shared" si="16"/>
        <v>0</v>
      </c>
      <c r="U29" s="908">
        <f t="shared" si="35"/>
        <v>0</v>
      </c>
      <c r="V29" s="908">
        <f t="shared" si="36"/>
        <v>0</v>
      </c>
      <c r="W29" s="908">
        <f t="shared" si="37"/>
        <v>0</v>
      </c>
      <c r="X29" s="908">
        <f t="shared" si="38"/>
        <v>0</v>
      </c>
      <c r="Y29" s="908">
        <f t="shared" si="39"/>
        <v>0</v>
      </c>
      <c r="Z29" s="908">
        <f t="shared" si="40"/>
        <v>0</v>
      </c>
      <c r="AA29" s="908">
        <f t="shared" si="41"/>
        <v>0</v>
      </c>
      <c r="AB29" s="908">
        <f t="shared" si="42"/>
        <v>0</v>
      </c>
      <c r="AC29" s="908">
        <f t="shared" si="43"/>
        <v>0</v>
      </c>
      <c r="AD29" s="908">
        <f t="shared" si="44"/>
        <v>0</v>
      </c>
      <c r="AE29" s="908">
        <f t="shared" si="45"/>
        <v>0</v>
      </c>
      <c r="AF29" s="3" t="s">
        <v>17</v>
      </c>
      <c r="AG29" s="86"/>
      <c r="AH29" s="86"/>
      <c r="AI29" s="86"/>
      <c r="AJ29" s="86"/>
      <c r="AK29" s="86"/>
      <c r="AL29" s="86"/>
    </row>
    <row r="30" spans="1:38" ht="14" customHeight="1">
      <c r="A30" s="1180"/>
      <c r="B30" s="398">
        <f t="shared" si="11"/>
        <v>27</v>
      </c>
      <c r="C30" s="1192" t="s">
        <v>412</v>
      </c>
      <c r="D30" s="405">
        <f>LEFT($A$1,4)+1</f>
        <v>2025</v>
      </c>
      <c r="E30" s="405">
        <f>LEFT($A$1,4)+2</f>
        <v>2026</v>
      </c>
      <c r="F30" s="601" t="s">
        <v>200</v>
      </c>
      <c r="G30" s="470"/>
      <c r="H30" s="252">
        <f>G30</f>
        <v>0</v>
      </c>
      <c r="I30" s="252">
        <f t="shared" si="69"/>
        <v>0</v>
      </c>
      <c r="J30" s="252">
        <f t="shared" si="69"/>
        <v>0</v>
      </c>
      <c r="K30" s="252">
        <f t="shared" si="69"/>
        <v>0</v>
      </c>
      <c r="L30" s="334"/>
      <c r="M30" s="252">
        <f t="shared" si="69"/>
        <v>0</v>
      </c>
      <c r="N30" s="252">
        <f t="shared" si="69"/>
        <v>0</v>
      </c>
      <c r="O30" s="252">
        <f t="shared" si="69"/>
        <v>0</v>
      </c>
      <c r="P30" s="252">
        <f t="shared" si="69"/>
        <v>0</v>
      </c>
      <c r="Q30" s="252">
        <f t="shared" si="69"/>
        <v>0</v>
      </c>
      <c r="R30" s="252">
        <f t="shared" si="69"/>
        <v>0</v>
      </c>
      <c r="S30" s="1042"/>
      <c r="T30" s="908">
        <f t="shared" si="16"/>
        <v>0</v>
      </c>
      <c r="U30" s="908">
        <f t="shared" si="35"/>
        <v>0</v>
      </c>
      <c r="V30" s="908">
        <f t="shared" si="36"/>
        <v>0</v>
      </c>
      <c r="W30" s="908">
        <f t="shared" si="37"/>
        <v>0</v>
      </c>
      <c r="X30" s="908">
        <f t="shared" si="38"/>
        <v>0</v>
      </c>
      <c r="Y30" s="908">
        <f t="shared" si="39"/>
        <v>0</v>
      </c>
      <c r="Z30" s="908">
        <f t="shared" si="40"/>
        <v>0</v>
      </c>
      <c r="AA30" s="908">
        <f t="shared" si="41"/>
        <v>0</v>
      </c>
      <c r="AB30" s="908">
        <f t="shared" si="42"/>
        <v>0</v>
      </c>
      <c r="AC30" s="908">
        <f t="shared" si="43"/>
        <v>0</v>
      </c>
      <c r="AD30" s="908">
        <f t="shared" si="44"/>
        <v>0</v>
      </c>
      <c r="AE30" s="908">
        <f t="shared" si="45"/>
        <v>0</v>
      </c>
      <c r="AF30" s="140"/>
      <c r="AG30" s="86"/>
      <c r="AH30" s="86"/>
      <c r="AI30" s="86"/>
      <c r="AJ30" s="86"/>
      <c r="AK30" s="86"/>
      <c r="AL30" s="86"/>
    </row>
    <row r="31" spans="1:38" ht="12" customHeight="1">
      <c r="A31" s="1180"/>
      <c r="B31" s="398">
        <f t="shared" si="11"/>
        <v>28</v>
      </c>
      <c r="C31" s="1193"/>
      <c r="D31" s="456">
        <v>2.23</v>
      </c>
      <c r="E31" s="406">
        <v>0</v>
      </c>
      <c r="F31" s="603" t="s">
        <v>410</v>
      </c>
      <c r="G31" s="471"/>
      <c r="H31" s="407"/>
      <c r="I31" s="407"/>
      <c r="J31" s="407"/>
      <c r="K31" s="407"/>
      <c r="L31" s="407"/>
      <c r="M31" s="407"/>
      <c r="N31" s="407"/>
      <c r="O31" s="407"/>
      <c r="P31" s="407"/>
      <c r="Q31" s="407"/>
      <c r="R31" s="407"/>
      <c r="S31" s="1043"/>
      <c r="T31" s="908">
        <f t="shared" si="16"/>
        <v>0</v>
      </c>
      <c r="U31" s="908">
        <f t="shared" si="35"/>
        <v>0</v>
      </c>
      <c r="V31" s="908">
        <f t="shared" si="36"/>
        <v>0</v>
      </c>
      <c r="W31" s="908">
        <f t="shared" si="37"/>
        <v>0</v>
      </c>
      <c r="X31" s="908">
        <f t="shared" si="38"/>
        <v>0</v>
      </c>
      <c r="Y31" s="908">
        <f t="shared" si="39"/>
        <v>0</v>
      </c>
      <c r="Z31" s="908">
        <f t="shared" si="40"/>
        <v>0</v>
      </c>
      <c r="AA31" s="908">
        <f t="shared" si="41"/>
        <v>0</v>
      </c>
      <c r="AB31" s="908">
        <f t="shared" si="42"/>
        <v>0</v>
      </c>
      <c r="AC31" s="908">
        <f t="shared" si="43"/>
        <v>0</v>
      </c>
      <c r="AD31" s="908">
        <f t="shared" si="44"/>
        <v>0</v>
      </c>
      <c r="AE31" s="908">
        <f t="shared" si="45"/>
        <v>0</v>
      </c>
      <c r="AF31" s="6" t="s">
        <v>266</v>
      </c>
      <c r="AG31" s="86"/>
      <c r="AH31" s="86"/>
      <c r="AI31" s="86"/>
      <c r="AJ31" s="86"/>
      <c r="AK31" s="86"/>
      <c r="AL31" s="86"/>
    </row>
    <row r="32" spans="1:38" ht="12" customHeight="1" thickBot="1">
      <c r="A32" s="1180"/>
      <c r="B32" s="398">
        <f t="shared" si="11"/>
        <v>29</v>
      </c>
      <c r="C32" s="1194"/>
      <c r="D32" s="483">
        <v>3.81</v>
      </c>
      <c r="E32" s="482">
        <v>0</v>
      </c>
      <c r="F32" s="604" t="s">
        <v>411</v>
      </c>
      <c r="G32" s="472"/>
      <c r="H32" s="408"/>
      <c r="I32" s="408"/>
      <c r="J32" s="408"/>
      <c r="K32" s="408"/>
      <c r="L32" s="408"/>
      <c r="M32" s="408"/>
      <c r="N32" s="408"/>
      <c r="O32" s="408"/>
      <c r="P32" s="408"/>
      <c r="Q32" s="408"/>
      <c r="R32" s="408"/>
      <c r="S32" s="1044"/>
      <c r="T32" s="908">
        <f t="shared" si="16"/>
        <v>0</v>
      </c>
      <c r="U32" s="908">
        <f t="shared" si="35"/>
        <v>0</v>
      </c>
      <c r="V32" s="908">
        <f t="shared" si="36"/>
        <v>0</v>
      </c>
      <c r="W32" s="908">
        <f t="shared" si="37"/>
        <v>0</v>
      </c>
      <c r="X32" s="908">
        <f t="shared" si="38"/>
        <v>0</v>
      </c>
      <c r="Y32" s="908">
        <f t="shared" si="39"/>
        <v>0</v>
      </c>
      <c r="Z32" s="908">
        <f t="shared" si="40"/>
        <v>0</v>
      </c>
      <c r="AA32" s="908">
        <f t="shared" si="41"/>
        <v>0</v>
      </c>
      <c r="AB32" s="908">
        <f t="shared" si="42"/>
        <v>0</v>
      </c>
      <c r="AC32" s="908">
        <f t="shared" si="43"/>
        <v>0</v>
      </c>
      <c r="AD32" s="908">
        <f t="shared" si="44"/>
        <v>0</v>
      </c>
      <c r="AE32" s="908">
        <f t="shared" si="45"/>
        <v>0</v>
      </c>
      <c r="AF32" s="6" t="s">
        <v>266</v>
      </c>
      <c r="AG32" s="86"/>
      <c r="AH32" s="86"/>
      <c r="AI32" s="86"/>
      <c r="AJ32" s="86"/>
      <c r="AK32" s="86"/>
      <c r="AL32" s="86"/>
    </row>
    <row r="33" spans="1:38" ht="12" customHeight="1">
      <c r="A33" s="1180"/>
      <c r="B33" s="4">
        <f t="shared" si="11"/>
        <v>30</v>
      </c>
      <c r="C33" s="402"/>
      <c r="D33" s="403"/>
      <c r="E33" s="404"/>
      <c r="F33" s="486" t="s">
        <v>413</v>
      </c>
      <c r="G33" s="473"/>
      <c r="H33" s="229"/>
      <c r="I33" s="229"/>
      <c r="J33" s="229"/>
      <c r="K33" s="229"/>
      <c r="L33" s="229"/>
      <c r="M33" s="229"/>
      <c r="N33" s="229"/>
      <c r="O33" s="229"/>
      <c r="P33" s="229"/>
      <c r="Q33" s="229"/>
      <c r="R33" s="229"/>
      <c r="S33" s="1045"/>
      <c r="T33" s="908">
        <f t="shared" si="16"/>
        <v>0</v>
      </c>
      <c r="U33" s="908">
        <f t="shared" si="35"/>
        <v>0</v>
      </c>
      <c r="V33" s="908">
        <f t="shared" si="36"/>
        <v>0</v>
      </c>
      <c r="W33" s="908">
        <f t="shared" si="37"/>
        <v>0</v>
      </c>
      <c r="X33" s="908">
        <f t="shared" si="38"/>
        <v>0</v>
      </c>
      <c r="Y33" s="908">
        <f t="shared" si="39"/>
        <v>0</v>
      </c>
      <c r="Z33" s="908">
        <f t="shared" si="40"/>
        <v>0</v>
      </c>
      <c r="AA33" s="908">
        <f t="shared" si="41"/>
        <v>0</v>
      </c>
      <c r="AB33" s="908">
        <f t="shared" si="42"/>
        <v>0</v>
      </c>
      <c r="AC33" s="908">
        <f t="shared" si="43"/>
        <v>0</v>
      </c>
      <c r="AD33" s="908">
        <f t="shared" si="44"/>
        <v>0</v>
      </c>
      <c r="AE33" s="908">
        <f t="shared" si="45"/>
        <v>0</v>
      </c>
      <c r="AF33" s="6" t="s">
        <v>266</v>
      </c>
      <c r="AG33" s="86"/>
      <c r="AH33" s="86"/>
      <c r="AI33" s="86"/>
      <c r="AJ33" s="86"/>
      <c r="AK33" s="86"/>
      <c r="AL33" s="86"/>
    </row>
    <row r="34" spans="1:38" ht="12" customHeight="1">
      <c r="A34" s="1180"/>
      <c r="B34" s="4">
        <f t="shared" si="11"/>
        <v>31</v>
      </c>
      <c r="C34" s="388"/>
      <c r="D34" s="389"/>
      <c r="E34" s="390"/>
      <c r="F34" s="486" t="s">
        <v>128</v>
      </c>
      <c r="G34" s="473"/>
      <c r="H34" s="229"/>
      <c r="I34" s="229"/>
      <c r="J34" s="229"/>
      <c r="K34" s="229"/>
      <c r="L34" s="229"/>
      <c r="M34" s="229"/>
      <c r="N34" s="229"/>
      <c r="O34" s="229"/>
      <c r="P34" s="229"/>
      <c r="Q34" s="229"/>
      <c r="R34" s="229"/>
      <c r="S34" s="1045"/>
      <c r="T34" s="908">
        <f t="shared" si="16"/>
        <v>0</v>
      </c>
      <c r="U34" s="908">
        <f t="shared" si="35"/>
        <v>0</v>
      </c>
      <c r="V34" s="908">
        <f t="shared" si="36"/>
        <v>0</v>
      </c>
      <c r="W34" s="908">
        <f t="shared" si="37"/>
        <v>0</v>
      </c>
      <c r="X34" s="908">
        <f t="shared" si="38"/>
        <v>0</v>
      </c>
      <c r="Y34" s="908">
        <f t="shared" si="39"/>
        <v>0</v>
      </c>
      <c r="Z34" s="908">
        <f t="shared" si="40"/>
        <v>0</v>
      </c>
      <c r="AA34" s="908">
        <f t="shared" si="41"/>
        <v>0</v>
      </c>
      <c r="AB34" s="908">
        <f t="shared" si="42"/>
        <v>0</v>
      </c>
      <c r="AC34" s="908">
        <f t="shared" si="43"/>
        <v>0</v>
      </c>
      <c r="AD34" s="908">
        <f t="shared" si="44"/>
        <v>0</v>
      </c>
      <c r="AE34" s="908">
        <f t="shared" si="45"/>
        <v>0</v>
      </c>
      <c r="AF34" s="6" t="s">
        <v>266</v>
      </c>
      <c r="AG34" s="86"/>
      <c r="AH34" s="86"/>
      <c r="AI34" s="86"/>
      <c r="AJ34" s="86"/>
      <c r="AK34" s="86"/>
      <c r="AL34" s="86"/>
    </row>
    <row r="35" spans="1:38" ht="12" customHeight="1">
      <c r="A35" s="1180"/>
      <c r="B35" s="4">
        <f t="shared" si="11"/>
        <v>32</v>
      </c>
      <c r="C35" s="388"/>
      <c r="D35" s="389"/>
      <c r="E35" s="390"/>
      <c r="F35" s="605" t="s">
        <v>685</v>
      </c>
      <c r="G35" s="862"/>
      <c r="H35" s="229"/>
      <c r="I35" s="229"/>
      <c r="J35" s="229"/>
      <c r="K35" s="229"/>
      <c r="L35" s="229"/>
      <c r="M35" s="229"/>
      <c r="N35" s="229"/>
      <c r="O35" s="229"/>
      <c r="P35" s="229"/>
      <c r="Q35" s="229"/>
      <c r="R35" s="229"/>
      <c r="S35" s="1045"/>
      <c r="T35" s="908">
        <f t="shared" si="16"/>
        <v>0</v>
      </c>
      <c r="U35" s="908">
        <f t="shared" si="35"/>
        <v>0</v>
      </c>
      <c r="V35" s="908">
        <f t="shared" si="36"/>
        <v>0</v>
      </c>
      <c r="W35" s="908">
        <f t="shared" si="37"/>
        <v>0</v>
      </c>
      <c r="X35" s="908">
        <f t="shared" si="38"/>
        <v>0</v>
      </c>
      <c r="Y35" s="908">
        <f t="shared" si="39"/>
        <v>0</v>
      </c>
      <c r="Z35" s="908">
        <f t="shared" si="40"/>
        <v>0</v>
      </c>
      <c r="AA35" s="908">
        <f t="shared" si="41"/>
        <v>0</v>
      </c>
      <c r="AB35" s="908">
        <f t="shared" si="42"/>
        <v>0</v>
      </c>
      <c r="AC35" s="908">
        <f t="shared" si="43"/>
        <v>0</v>
      </c>
      <c r="AD35" s="908">
        <f t="shared" si="44"/>
        <v>0</v>
      </c>
      <c r="AE35" s="908">
        <f t="shared" si="45"/>
        <v>0</v>
      </c>
      <c r="AF35" s="3" t="s">
        <v>266</v>
      </c>
      <c r="AG35" s="86"/>
      <c r="AH35" s="86"/>
      <c r="AI35" s="86"/>
      <c r="AJ35" s="86"/>
      <c r="AK35" s="86"/>
      <c r="AL35" s="86"/>
    </row>
    <row r="36" spans="1:38" ht="26" customHeight="1">
      <c r="A36" s="1180"/>
      <c r="B36" s="4">
        <f t="shared" si="11"/>
        <v>33</v>
      </c>
      <c r="C36" s="388"/>
      <c r="D36" s="389"/>
      <c r="E36" s="390"/>
      <c r="F36" s="898" t="s">
        <v>636</v>
      </c>
      <c r="G36" s="862"/>
      <c r="H36" s="229"/>
      <c r="I36" s="229"/>
      <c r="J36" s="229"/>
      <c r="K36" s="229"/>
      <c r="L36" s="229"/>
      <c r="M36" s="229"/>
      <c r="N36" s="229"/>
      <c r="O36" s="229"/>
      <c r="P36" s="229"/>
      <c r="Q36" s="229"/>
      <c r="R36" s="229"/>
      <c r="S36" s="1045"/>
      <c r="T36" s="908">
        <f t="shared" si="16"/>
        <v>0</v>
      </c>
      <c r="U36" s="908">
        <f t="shared" si="35"/>
        <v>0</v>
      </c>
      <c r="V36" s="908">
        <f t="shared" si="36"/>
        <v>0</v>
      </c>
      <c r="W36" s="908">
        <f t="shared" si="37"/>
        <v>0</v>
      </c>
      <c r="X36" s="908">
        <f t="shared" si="38"/>
        <v>0</v>
      </c>
      <c r="Y36" s="908">
        <f t="shared" si="39"/>
        <v>0</v>
      </c>
      <c r="Z36" s="908">
        <f t="shared" si="40"/>
        <v>0</v>
      </c>
      <c r="AA36" s="908">
        <f t="shared" si="41"/>
        <v>0</v>
      </c>
      <c r="AB36" s="908">
        <f t="shared" si="42"/>
        <v>0</v>
      </c>
      <c r="AC36" s="908">
        <f t="shared" si="43"/>
        <v>0</v>
      </c>
      <c r="AD36" s="908">
        <f t="shared" si="44"/>
        <v>0</v>
      </c>
      <c r="AE36" s="908">
        <f t="shared" si="45"/>
        <v>0</v>
      </c>
      <c r="AG36" s="86"/>
      <c r="AH36" s="86"/>
      <c r="AI36" s="86"/>
      <c r="AJ36" s="86"/>
      <c r="AK36" s="86"/>
      <c r="AL36" s="86"/>
    </row>
    <row r="37" spans="1:38" ht="26" customHeight="1">
      <c r="A37" s="1180"/>
      <c r="B37" s="4">
        <f t="shared" si="11"/>
        <v>34</v>
      </c>
      <c r="C37" s="388"/>
      <c r="D37" s="389"/>
      <c r="E37" s="390"/>
      <c r="F37" s="898" t="s">
        <v>638</v>
      </c>
      <c r="G37" s="862"/>
      <c r="H37" s="229"/>
      <c r="I37" s="229"/>
      <c r="J37" s="229"/>
      <c r="K37" s="229"/>
      <c r="L37" s="229"/>
      <c r="M37" s="229"/>
      <c r="N37" s="229"/>
      <c r="O37" s="229"/>
      <c r="P37" s="229"/>
      <c r="Q37" s="229"/>
      <c r="R37" s="229"/>
      <c r="S37" s="1045"/>
      <c r="T37" s="908">
        <f t="shared" si="16"/>
        <v>0</v>
      </c>
      <c r="U37" s="908">
        <f t="shared" si="35"/>
        <v>0</v>
      </c>
      <c r="V37" s="908">
        <f t="shared" si="36"/>
        <v>0</v>
      </c>
      <c r="W37" s="908">
        <f t="shared" si="37"/>
        <v>0</v>
      </c>
      <c r="X37" s="908">
        <f t="shared" si="38"/>
        <v>0</v>
      </c>
      <c r="Y37" s="908">
        <f t="shared" si="39"/>
        <v>0</v>
      </c>
      <c r="Z37" s="908">
        <f t="shared" si="40"/>
        <v>0</v>
      </c>
      <c r="AA37" s="908">
        <f t="shared" si="41"/>
        <v>0</v>
      </c>
      <c r="AB37" s="908">
        <f t="shared" si="42"/>
        <v>0</v>
      </c>
      <c r="AC37" s="908">
        <f t="shared" si="43"/>
        <v>0</v>
      </c>
      <c r="AD37" s="908">
        <f t="shared" si="44"/>
        <v>0</v>
      </c>
      <c r="AE37" s="908">
        <f t="shared" si="45"/>
        <v>0</v>
      </c>
      <c r="AG37" s="86"/>
      <c r="AH37" s="86"/>
      <c r="AI37" s="86"/>
      <c r="AJ37" s="86"/>
      <c r="AK37" s="86"/>
      <c r="AL37" s="86"/>
    </row>
    <row r="38" spans="1:38" ht="12" customHeight="1">
      <c r="A38" s="1180"/>
      <c r="B38" s="4">
        <f t="shared" si="11"/>
        <v>35</v>
      </c>
      <c r="C38" s="388"/>
      <c r="D38" s="389"/>
      <c r="E38" s="390"/>
      <c r="F38" s="605" t="s">
        <v>648</v>
      </c>
      <c r="G38" s="473"/>
      <c r="H38" s="229"/>
      <c r="I38" s="229"/>
      <c r="J38" s="229"/>
      <c r="K38" s="229"/>
      <c r="L38" s="229"/>
      <c r="M38" s="229"/>
      <c r="N38" s="229"/>
      <c r="O38" s="229"/>
      <c r="P38" s="229"/>
      <c r="Q38" s="229"/>
      <c r="R38" s="229"/>
      <c r="S38" s="1045"/>
      <c r="T38" s="908">
        <f t="shared" si="16"/>
        <v>0</v>
      </c>
      <c r="U38" s="908">
        <f t="shared" si="35"/>
        <v>0</v>
      </c>
      <c r="V38" s="908">
        <f t="shared" si="36"/>
        <v>0</v>
      </c>
      <c r="W38" s="908">
        <f t="shared" si="37"/>
        <v>0</v>
      </c>
      <c r="X38" s="908">
        <f t="shared" si="38"/>
        <v>0</v>
      </c>
      <c r="Y38" s="908">
        <f t="shared" si="39"/>
        <v>0</v>
      </c>
      <c r="Z38" s="908">
        <f t="shared" si="40"/>
        <v>0</v>
      </c>
      <c r="AA38" s="908">
        <f t="shared" si="41"/>
        <v>0</v>
      </c>
      <c r="AB38" s="908">
        <f t="shared" si="42"/>
        <v>0</v>
      </c>
      <c r="AC38" s="908">
        <f t="shared" si="43"/>
        <v>0</v>
      </c>
      <c r="AD38" s="908">
        <f t="shared" si="44"/>
        <v>0</v>
      </c>
      <c r="AE38" s="908">
        <f t="shared" si="45"/>
        <v>0</v>
      </c>
      <c r="AF38" s="6" t="s">
        <v>485</v>
      </c>
      <c r="AG38" s="86"/>
      <c r="AH38" s="86"/>
      <c r="AI38" s="86"/>
      <c r="AJ38" s="86"/>
      <c r="AK38" s="86"/>
      <c r="AL38" s="86"/>
    </row>
    <row r="39" spans="1:38" ht="12" customHeight="1">
      <c r="A39" s="1180"/>
      <c r="B39" s="4">
        <f t="shared" si="11"/>
        <v>36</v>
      </c>
      <c r="C39" s="388"/>
      <c r="D39" s="389"/>
      <c r="E39" s="390"/>
      <c r="F39" s="605" t="s">
        <v>649</v>
      </c>
      <c r="G39" s="473"/>
      <c r="H39" s="229"/>
      <c r="I39" s="229"/>
      <c r="J39" s="229"/>
      <c r="K39" s="229"/>
      <c r="L39" s="229"/>
      <c r="M39" s="229"/>
      <c r="N39" s="229"/>
      <c r="O39" s="229"/>
      <c r="P39" s="229"/>
      <c r="Q39" s="229"/>
      <c r="R39" s="229"/>
      <c r="S39" s="1045"/>
      <c r="T39" s="908">
        <f t="shared" si="16"/>
        <v>0</v>
      </c>
      <c r="U39" s="908">
        <f t="shared" si="35"/>
        <v>0</v>
      </c>
      <c r="V39" s="908">
        <f t="shared" si="36"/>
        <v>0</v>
      </c>
      <c r="W39" s="908">
        <f t="shared" si="37"/>
        <v>0</v>
      </c>
      <c r="X39" s="908">
        <f t="shared" si="38"/>
        <v>0</v>
      </c>
      <c r="Y39" s="908">
        <f t="shared" si="39"/>
        <v>0</v>
      </c>
      <c r="Z39" s="908">
        <f t="shared" si="40"/>
        <v>0</v>
      </c>
      <c r="AA39" s="908">
        <f t="shared" si="41"/>
        <v>0</v>
      </c>
      <c r="AB39" s="908">
        <f t="shared" si="42"/>
        <v>0</v>
      </c>
      <c r="AC39" s="908">
        <f t="shared" si="43"/>
        <v>0</v>
      </c>
      <c r="AD39" s="908">
        <f t="shared" si="44"/>
        <v>0</v>
      </c>
      <c r="AE39" s="908">
        <f t="shared" si="45"/>
        <v>0</v>
      </c>
      <c r="AF39" s="6" t="s">
        <v>476</v>
      </c>
      <c r="AG39" s="86"/>
      <c r="AH39" s="86"/>
      <c r="AI39" s="86"/>
      <c r="AJ39" s="86"/>
      <c r="AK39" s="86"/>
      <c r="AL39" s="86"/>
    </row>
    <row r="40" spans="1:38" ht="12" customHeight="1">
      <c r="A40" s="1180"/>
      <c r="B40" s="4">
        <f t="shared" si="11"/>
        <v>37</v>
      </c>
      <c r="C40" s="388"/>
      <c r="D40" s="389"/>
      <c r="E40" s="390"/>
      <c r="F40" s="605" t="s">
        <v>475</v>
      </c>
      <c r="G40" s="473"/>
      <c r="H40" s="229"/>
      <c r="I40" s="229"/>
      <c r="J40" s="229"/>
      <c r="K40" s="229"/>
      <c r="L40" s="229"/>
      <c r="M40" s="229"/>
      <c r="N40" s="229"/>
      <c r="O40" s="229"/>
      <c r="P40" s="229"/>
      <c r="Q40" s="229"/>
      <c r="R40" s="229"/>
      <c r="S40" s="1045"/>
      <c r="T40" s="908">
        <f t="shared" si="16"/>
        <v>0</v>
      </c>
      <c r="U40" s="908">
        <f t="shared" si="35"/>
        <v>0</v>
      </c>
      <c r="V40" s="908">
        <f t="shared" si="36"/>
        <v>0</v>
      </c>
      <c r="W40" s="908">
        <f t="shared" si="37"/>
        <v>0</v>
      </c>
      <c r="X40" s="908">
        <f t="shared" si="38"/>
        <v>0</v>
      </c>
      <c r="Y40" s="908">
        <f t="shared" si="39"/>
        <v>0</v>
      </c>
      <c r="Z40" s="908">
        <f t="shared" si="40"/>
        <v>0</v>
      </c>
      <c r="AA40" s="908">
        <f t="shared" si="41"/>
        <v>0</v>
      </c>
      <c r="AB40" s="908">
        <f t="shared" si="42"/>
        <v>0</v>
      </c>
      <c r="AC40" s="908">
        <f t="shared" si="43"/>
        <v>0</v>
      </c>
      <c r="AD40" s="908">
        <f t="shared" si="44"/>
        <v>0</v>
      </c>
      <c r="AE40" s="908">
        <f t="shared" si="45"/>
        <v>0</v>
      </c>
      <c r="AF40" s="6" t="s">
        <v>477</v>
      </c>
      <c r="AG40" s="86"/>
      <c r="AH40" s="86"/>
      <c r="AI40" s="86"/>
      <c r="AJ40" s="86"/>
      <c r="AK40" s="86"/>
      <c r="AL40" s="86"/>
    </row>
    <row r="41" spans="1:38" ht="12" customHeight="1">
      <c r="A41" s="1180"/>
      <c r="B41" s="4">
        <f t="shared" si="11"/>
        <v>38</v>
      </c>
      <c r="C41" s="899"/>
      <c r="D41" s="389"/>
      <c r="E41" s="390"/>
      <c r="F41" s="900" t="s">
        <v>640</v>
      </c>
      <c r="G41" s="473"/>
      <c r="H41" s="229"/>
      <c r="I41" s="229"/>
      <c r="J41" s="229"/>
      <c r="K41" s="229"/>
      <c r="L41" s="229"/>
      <c r="M41" s="229"/>
      <c r="N41" s="229"/>
      <c r="O41" s="229"/>
      <c r="P41" s="229"/>
      <c r="Q41" s="229"/>
      <c r="R41" s="229"/>
      <c r="S41" s="1045"/>
      <c r="T41" s="908">
        <f t="shared" si="16"/>
        <v>0</v>
      </c>
      <c r="U41" s="908">
        <f t="shared" si="35"/>
        <v>0</v>
      </c>
      <c r="V41" s="908">
        <f t="shared" si="36"/>
        <v>0</v>
      </c>
      <c r="W41" s="908">
        <f t="shared" si="37"/>
        <v>0</v>
      </c>
      <c r="X41" s="908">
        <f t="shared" si="38"/>
        <v>0</v>
      </c>
      <c r="Y41" s="908">
        <f t="shared" si="39"/>
        <v>0</v>
      </c>
      <c r="Z41" s="908">
        <f t="shared" si="40"/>
        <v>0</v>
      </c>
      <c r="AA41" s="908">
        <f t="shared" si="41"/>
        <v>0</v>
      </c>
      <c r="AB41" s="908">
        <f t="shared" si="42"/>
        <v>0</v>
      </c>
      <c r="AC41" s="908">
        <f t="shared" si="43"/>
        <v>0</v>
      </c>
      <c r="AD41" s="908">
        <f t="shared" si="44"/>
        <v>0</v>
      </c>
      <c r="AE41" s="908">
        <f t="shared" si="45"/>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si="16"/>
        <v>0</v>
      </c>
      <c r="U42" s="908">
        <f t="shared" si="35"/>
        <v>0</v>
      </c>
      <c r="V42" s="908">
        <f t="shared" si="36"/>
        <v>0</v>
      </c>
      <c r="W42" s="908">
        <f t="shared" si="37"/>
        <v>0</v>
      </c>
      <c r="X42" s="908">
        <f t="shared" si="38"/>
        <v>0</v>
      </c>
      <c r="Y42" s="908">
        <f t="shared" si="39"/>
        <v>0</v>
      </c>
      <c r="Z42" s="908">
        <f t="shared" si="40"/>
        <v>0</v>
      </c>
      <c r="AA42" s="908">
        <f t="shared" si="41"/>
        <v>0</v>
      </c>
      <c r="AB42" s="908">
        <f t="shared" si="42"/>
        <v>0</v>
      </c>
      <c r="AC42" s="908">
        <f t="shared" si="43"/>
        <v>0</v>
      </c>
      <c r="AD42" s="908">
        <f t="shared" si="44"/>
        <v>0</v>
      </c>
      <c r="AE42" s="908">
        <f t="shared" si="45"/>
        <v>0</v>
      </c>
      <c r="AF42" s="6" t="s">
        <v>69</v>
      </c>
      <c r="AG42" s="86"/>
      <c r="AH42" s="86"/>
      <c r="AI42" s="86"/>
      <c r="AJ42" s="86"/>
      <c r="AK42" s="86"/>
      <c r="AL42" s="86"/>
    </row>
    <row r="43" spans="1:38" ht="12" customHeight="1">
      <c r="A43" s="1180"/>
      <c r="B43" s="4">
        <f t="shared" si="11"/>
        <v>40</v>
      </c>
      <c r="C43" s="388"/>
      <c r="D43" s="389"/>
      <c r="E43" s="390"/>
      <c r="F43" s="486" t="s">
        <v>147</v>
      </c>
      <c r="G43" s="864"/>
      <c r="H43" s="229"/>
      <c r="I43" s="229"/>
      <c r="J43" s="229"/>
      <c r="K43" s="229"/>
      <c r="L43" s="229"/>
      <c r="M43" s="229"/>
      <c r="N43" s="229"/>
      <c r="O43" s="229"/>
      <c r="P43" s="229"/>
      <c r="Q43" s="229"/>
      <c r="R43" s="229"/>
      <c r="S43" s="1045"/>
      <c r="T43" s="908">
        <f t="shared" si="16"/>
        <v>0</v>
      </c>
      <c r="U43" s="908">
        <f t="shared" si="35"/>
        <v>0</v>
      </c>
      <c r="V43" s="908">
        <f t="shared" si="36"/>
        <v>0</v>
      </c>
      <c r="W43" s="908">
        <f t="shared" si="37"/>
        <v>0</v>
      </c>
      <c r="X43" s="908">
        <f t="shared" si="38"/>
        <v>0</v>
      </c>
      <c r="Y43" s="908">
        <f t="shared" si="39"/>
        <v>0</v>
      </c>
      <c r="Z43" s="908">
        <f t="shared" si="40"/>
        <v>0</v>
      </c>
      <c r="AA43" s="908">
        <f t="shared" si="41"/>
        <v>0</v>
      </c>
      <c r="AB43" s="908">
        <f t="shared" si="42"/>
        <v>0</v>
      </c>
      <c r="AC43" s="908">
        <f t="shared" si="43"/>
        <v>0</v>
      </c>
      <c r="AD43" s="908">
        <f t="shared" si="44"/>
        <v>0</v>
      </c>
      <c r="AE43" s="908">
        <f t="shared" si="45"/>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11"/>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6"/>
        <v>0</v>
      </c>
      <c r="U44" s="908">
        <f t="shared" si="35"/>
        <v>0</v>
      </c>
      <c r="V44" s="908">
        <f t="shared" si="36"/>
        <v>0</v>
      </c>
      <c r="W44" s="908">
        <f t="shared" si="37"/>
        <v>0</v>
      </c>
      <c r="X44" s="908">
        <f t="shared" si="38"/>
        <v>0</v>
      </c>
      <c r="Y44" s="908">
        <f t="shared" si="39"/>
        <v>0</v>
      </c>
      <c r="Z44" s="908">
        <f t="shared" si="40"/>
        <v>0</v>
      </c>
      <c r="AA44" s="908">
        <f t="shared" si="41"/>
        <v>0</v>
      </c>
      <c r="AB44" s="908">
        <f t="shared" si="42"/>
        <v>0</v>
      </c>
      <c r="AC44" s="908">
        <f t="shared" si="43"/>
        <v>0</v>
      </c>
      <c r="AD44" s="908">
        <f t="shared" si="44"/>
        <v>0</v>
      </c>
      <c r="AE44" s="908">
        <f t="shared" si="45"/>
        <v>0</v>
      </c>
      <c r="AF44" s="6" t="s">
        <v>631</v>
      </c>
      <c r="AG44" s="501"/>
      <c r="AH44" s="86"/>
      <c r="AI44" s="86"/>
      <c r="AJ44" s="86"/>
      <c r="AK44" s="86"/>
      <c r="AL44" s="86"/>
    </row>
    <row r="45" spans="1:38" ht="12" customHeight="1">
      <c r="A45" s="1180"/>
      <c r="B45" s="4">
        <f t="shared" si="11"/>
        <v>42</v>
      </c>
      <c r="C45" s="391" t="s">
        <v>404</v>
      </c>
      <c r="D45" s="389"/>
      <c r="E45" s="390"/>
      <c r="F45" s="606" t="s">
        <v>133</v>
      </c>
      <c r="G45" s="864"/>
      <c r="H45" s="229"/>
      <c r="I45" s="229"/>
      <c r="J45" s="229"/>
      <c r="K45" s="229"/>
      <c r="L45" s="229"/>
      <c r="M45" s="229"/>
      <c r="N45" s="229"/>
      <c r="O45" s="229"/>
      <c r="P45" s="229"/>
      <c r="Q45" s="229"/>
      <c r="R45" s="229"/>
      <c r="S45" s="1045"/>
      <c r="T45" s="908">
        <f t="shared" si="16"/>
        <v>0</v>
      </c>
      <c r="U45" s="908">
        <f t="shared" si="35"/>
        <v>0</v>
      </c>
      <c r="V45" s="908">
        <f t="shared" si="36"/>
        <v>0</v>
      </c>
      <c r="W45" s="908">
        <f t="shared" si="37"/>
        <v>0</v>
      </c>
      <c r="X45" s="908">
        <f t="shared" si="38"/>
        <v>0</v>
      </c>
      <c r="Y45" s="908">
        <f t="shared" si="39"/>
        <v>0</v>
      </c>
      <c r="Z45" s="908">
        <f t="shared" si="40"/>
        <v>0</v>
      </c>
      <c r="AA45" s="908">
        <f t="shared" si="41"/>
        <v>0</v>
      </c>
      <c r="AB45" s="908">
        <f t="shared" si="42"/>
        <v>0</v>
      </c>
      <c r="AC45" s="908">
        <f t="shared" si="43"/>
        <v>0</v>
      </c>
      <c r="AD45" s="908">
        <f t="shared" si="44"/>
        <v>0</v>
      </c>
      <c r="AE45" s="908">
        <f t="shared" si="45"/>
        <v>0</v>
      </c>
      <c r="AF45" s="85" t="s">
        <v>548</v>
      </c>
      <c r="AG45" s="86"/>
      <c r="AH45" s="86"/>
      <c r="AI45" s="86"/>
      <c r="AJ45" s="86"/>
      <c r="AK45" s="86"/>
      <c r="AL45" s="86"/>
    </row>
    <row r="46" spans="1:38" ht="12" customHeight="1">
      <c r="A46" s="1180"/>
      <c r="B46" s="4">
        <f t="shared" si="11"/>
        <v>43</v>
      </c>
      <c r="C46" s="391" t="s">
        <v>404</v>
      </c>
      <c r="D46" s="389"/>
      <c r="E46" s="390"/>
      <c r="F46" s="606" t="s">
        <v>148</v>
      </c>
      <c r="G46" s="473"/>
      <c r="H46" s="229"/>
      <c r="I46" s="229"/>
      <c r="J46" s="229"/>
      <c r="K46" s="229"/>
      <c r="L46" s="229"/>
      <c r="M46" s="229"/>
      <c r="N46" s="229"/>
      <c r="O46" s="229"/>
      <c r="P46" s="229"/>
      <c r="Q46" s="229"/>
      <c r="R46" s="229"/>
      <c r="S46" s="1045"/>
      <c r="T46" s="908">
        <f t="shared" si="16"/>
        <v>0</v>
      </c>
      <c r="U46" s="908">
        <f t="shared" si="35"/>
        <v>0</v>
      </c>
      <c r="V46" s="908">
        <f t="shared" si="36"/>
        <v>0</v>
      </c>
      <c r="W46" s="908">
        <f t="shared" si="37"/>
        <v>0</v>
      </c>
      <c r="X46" s="908">
        <f t="shared" si="38"/>
        <v>0</v>
      </c>
      <c r="Y46" s="908">
        <f t="shared" si="39"/>
        <v>0</v>
      </c>
      <c r="Z46" s="908">
        <f t="shared" si="40"/>
        <v>0</v>
      </c>
      <c r="AA46" s="908">
        <f t="shared" si="41"/>
        <v>0</v>
      </c>
      <c r="AB46" s="908">
        <f t="shared" si="42"/>
        <v>0</v>
      </c>
      <c r="AC46" s="908">
        <f t="shared" si="43"/>
        <v>0</v>
      </c>
      <c r="AD46" s="908">
        <f t="shared" si="44"/>
        <v>0</v>
      </c>
      <c r="AE46" s="908">
        <f t="shared" si="45"/>
        <v>0</v>
      </c>
      <c r="AF46" s="85" t="s">
        <v>548</v>
      </c>
      <c r="AG46" s="86"/>
      <c r="AH46" s="86"/>
      <c r="AI46" s="86"/>
      <c r="AJ46" s="86"/>
      <c r="AK46" s="86"/>
      <c r="AL46" s="86"/>
    </row>
    <row r="47" spans="1:38" ht="12" customHeight="1">
      <c r="A47" s="1180"/>
      <c r="B47" s="4">
        <f t="shared" si="11"/>
        <v>44</v>
      </c>
      <c r="C47" s="388"/>
      <c r="D47" s="389"/>
      <c r="E47" s="390"/>
      <c r="F47" s="606" t="s">
        <v>131</v>
      </c>
      <c r="G47" s="473"/>
      <c r="H47" s="229"/>
      <c r="I47" s="229"/>
      <c r="J47" s="229"/>
      <c r="K47" s="229"/>
      <c r="L47" s="229"/>
      <c r="M47" s="229"/>
      <c r="N47" s="229"/>
      <c r="O47" s="229"/>
      <c r="P47" s="229"/>
      <c r="Q47" s="229"/>
      <c r="R47" s="229"/>
      <c r="S47" s="1045"/>
      <c r="T47" s="908">
        <f t="shared" si="16"/>
        <v>0</v>
      </c>
      <c r="U47" s="908">
        <f t="shared" si="35"/>
        <v>0</v>
      </c>
      <c r="V47" s="908">
        <f t="shared" si="36"/>
        <v>0</v>
      </c>
      <c r="W47" s="908">
        <f t="shared" si="37"/>
        <v>0</v>
      </c>
      <c r="X47" s="908">
        <f t="shared" si="38"/>
        <v>0</v>
      </c>
      <c r="Y47" s="908">
        <f t="shared" si="39"/>
        <v>0</v>
      </c>
      <c r="Z47" s="908">
        <f t="shared" si="40"/>
        <v>0</v>
      </c>
      <c r="AA47" s="908">
        <f t="shared" si="41"/>
        <v>0</v>
      </c>
      <c r="AB47" s="908">
        <f t="shared" si="42"/>
        <v>0</v>
      </c>
      <c r="AC47" s="908">
        <f t="shared" si="43"/>
        <v>0</v>
      </c>
      <c r="AD47" s="908">
        <f t="shared" si="44"/>
        <v>0</v>
      </c>
      <c r="AE47" s="908">
        <f t="shared" si="45"/>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6"/>
        <v>0</v>
      </c>
      <c r="U48" s="908">
        <f t="shared" si="35"/>
        <v>0</v>
      </c>
      <c r="V48" s="908">
        <f t="shared" si="36"/>
        <v>0</v>
      </c>
      <c r="W48" s="908">
        <f t="shared" si="37"/>
        <v>0</v>
      </c>
      <c r="X48" s="908">
        <f t="shared" si="38"/>
        <v>0</v>
      </c>
      <c r="Y48" s="908">
        <f t="shared" si="39"/>
        <v>0</v>
      </c>
      <c r="Z48" s="908">
        <f t="shared" si="40"/>
        <v>0</v>
      </c>
      <c r="AA48" s="908">
        <f t="shared" si="41"/>
        <v>0</v>
      </c>
      <c r="AB48" s="908">
        <f t="shared" si="42"/>
        <v>0</v>
      </c>
      <c r="AC48" s="908">
        <f t="shared" si="43"/>
        <v>0</v>
      </c>
      <c r="AD48" s="908">
        <f t="shared" si="44"/>
        <v>0</v>
      </c>
      <c r="AE48" s="908">
        <f t="shared" si="45"/>
        <v>0</v>
      </c>
      <c r="AF48" s="141"/>
      <c r="AG48" s="86"/>
      <c r="AH48" s="86"/>
      <c r="AI48" s="86"/>
      <c r="AJ48" s="86"/>
      <c r="AK48" s="86"/>
      <c r="AL48" s="86"/>
    </row>
    <row r="49" spans="1:38" ht="12" customHeight="1">
      <c r="A49" s="1180"/>
      <c r="B49" s="4">
        <f t="shared" si="11"/>
        <v>46</v>
      </c>
      <c r="C49" s="1182" t="s">
        <v>544</v>
      </c>
      <c r="D49" s="1183"/>
      <c r="E49" s="1184"/>
      <c r="F49" s="560" t="s">
        <v>593</v>
      </c>
      <c r="G49" s="591"/>
      <c r="H49" s="563">
        <f>G49</f>
        <v>0</v>
      </c>
      <c r="I49" s="563">
        <f t="shared" ref="I49:R50" si="70">H49</f>
        <v>0</v>
      </c>
      <c r="J49" s="563">
        <f t="shared" si="70"/>
        <v>0</v>
      </c>
      <c r="K49" s="563">
        <f t="shared" si="70"/>
        <v>0</v>
      </c>
      <c r="L49" s="563">
        <f t="shared" si="70"/>
        <v>0</v>
      </c>
      <c r="M49" s="563">
        <f t="shared" si="70"/>
        <v>0</v>
      </c>
      <c r="N49" s="563">
        <f t="shared" si="70"/>
        <v>0</v>
      </c>
      <c r="O49" s="563">
        <f t="shared" si="70"/>
        <v>0</v>
      </c>
      <c r="P49" s="563">
        <f t="shared" si="70"/>
        <v>0</v>
      </c>
      <c r="Q49" s="563">
        <f t="shared" si="70"/>
        <v>0</v>
      </c>
      <c r="R49" s="563">
        <f t="shared" si="70"/>
        <v>0</v>
      </c>
      <c r="S49" s="1048"/>
      <c r="T49" s="908">
        <f t="shared" si="16"/>
        <v>0</v>
      </c>
      <c r="U49" s="908">
        <f t="shared" si="35"/>
        <v>0</v>
      </c>
      <c r="V49" s="908">
        <f t="shared" si="36"/>
        <v>0</v>
      </c>
      <c r="W49" s="908">
        <f t="shared" si="37"/>
        <v>0</v>
      </c>
      <c r="X49" s="908">
        <f t="shared" si="38"/>
        <v>0</v>
      </c>
      <c r="Y49" s="908">
        <f t="shared" si="39"/>
        <v>0</v>
      </c>
      <c r="Z49" s="908">
        <f t="shared" si="40"/>
        <v>0</v>
      </c>
      <c r="AA49" s="908">
        <f t="shared" si="41"/>
        <v>0</v>
      </c>
      <c r="AB49" s="908">
        <f t="shared" si="42"/>
        <v>0</v>
      </c>
      <c r="AC49" s="908">
        <f t="shared" si="43"/>
        <v>0</v>
      </c>
      <c r="AD49" s="908">
        <f t="shared" si="44"/>
        <v>0</v>
      </c>
      <c r="AE49" s="908">
        <f t="shared" si="45"/>
        <v>0</v>
      </c>
      <c r="AF49" s="564" t="s">
        <v>542</v>
      </c>
      <c r="AG49" s="86"/>
      <c r="AH49" s="86"/>
      <c r="AI49" s="86"/>
      <c r="AJ49" s="86"/>
      <c r="AK49" s="86"/>
      <c r="AL49" s="86"/>
    </row>
    <row r="50" spans="1:38" ht="12" customHeight="1">
      <c r="A50" s="1180"/>
      <c r="B50" s="4">
        <f t="shared" si="11"/>
        <v>47</v>
      </c>
      <c r="C50" s="1185"/>
      <c r="D50" s="1186"/>
      <c r="E50" s="1187"/>
      <c r="F50" s="561" t="s">
        <v>594</v>
      </c>
      <c r="G50" s="592"/>
      <c r="H50" s="565">
        <f>G50</f>
        <v>0</v>
      </c>
      <c r="I50" s="565">
        <f t="shared" si="70"/>
        <v>0</v>
      </c>
      <c r="J50" s="565">
        <f t="shared" si="70"/>
        <v>0</v>
      </c>
      <c r="K50" s="565">
        <f t="shared" si="70"/>
        <v>0</v>
      </c>
      <c r="L50" s="565">
        <f t="shared" si="70"/>
        <v>0</v>
      </c>
      <c r="M50" s="565">
        <f t="shared" si="70"/>
        <v>0</v>
      </c>
      <c r="N50" s="565">
        <f t="shared" si="70"/>
        <v>0</v>
      </c>
      <c r="O50" s="565">
        <f t="shared" si="70"/>
        <v>0</v>
      </c>
      <c r="P50" s="565">
        <f t="shared" si="70"/>
        <v>0</v>
      </c>
      <c r="Q50" s="565">
        <f t="shared" si="70"/>
        <v>0</v>
      </c>
      <c r="R50" s="565">
        <f t="shared" si="70"/>
        <v>0</v>
      </c>
      <c r="S50" s="1049"/>
      <c r="T50" s="908">
        <f t="shared" si="16"/>
        <v>0</v>
      </c>
      <c r="U50" s="908">
        <f t="shared" si="35"/>
        <v>0</v>
      </c>
      <c r="V50" s="908">
        <f t="shared" si="36"/>
        <v>0</v>
      </c>
      <c r="W50" s="908">
        <f t="shared" si="37"/>
        <v>0</v>
      </c>
      <c r="X50" s="908">
        <f t="shared" si="38"/>
        <v>0</v>
      </c>
      <c r="Y50" s="908">
        <f t="shared" si="39"/>
        <v>0</v>
      </c>
      <c r="Z50" s="908">
        <f t="shared" si="40"/>
        <v>0</v>
      </c>
      <c r="AA50" s="908">
        <f t="shared" si="41"/>
        <v>0</v>
      </c>
      <c r="AB50" s="908">
        <f t="shared" si="42"/>
        <v>0</v>
      </c>
      <c r="AC50" s="908">
        <f t="shared" si="43"/>
        <v>0</v>
      </c>
      <c r="AD50" s="908">
        <f t="shared" si="44"/>
        <v>0</v>
      </c>
      <c r="AE50" s="908">
        <f t="shared" si="45"/>
        <v>0</v>
      </c>
      <c r="AF50" s="566" t="s">
        <v>541</v>
      </c>
      <c r="AG50" s="86"/>
      <c r="AH50" s="86"/>
      <c r="AI50" s="86"/>
      <c r="AJ50" s="86"/>
      <c r="AK50" s="86"/>
      <c r="AL50" s="86"/>
    </row>
    <row r="51" spans="1:38" ht="12" customHeight="1">
      <c r="A51" s="1181"/>
      <c r="B51" s="4">
        <f t="shared" si="11"/>
        <v>48</v>
      </c>
      <c r="C51" s="1188"/>
      <c r="D51" s="1189"/>
      <c r="E51" s="1190"/>
      <c r="F51" s="562" t="s">
        <v>539</v>
      </c>
      <c r="G51" s="593"/>
      <c r="H51" s="567">
        <f>G51</f>
        <v>0</v>
      </c>
      <c r="I51" s="567">
        <f t="shared" ref="I51:R51" si="71">H51</f>
        <v>0</v>
      </c>
      <c r="J51" s="567">
        <f t="shared" si="71"/>
        <v>0</v>
      </c>
      <c r="K51" s="567">
        <f t="shared" si="71"/>
        <v>0</v>
      </c>
      <c r="L51" s="567">
        <f t="shared" si="71"/>
        <v>0</v>
      </c>
      <c r="M51" s="567">
        <f t="shared" si="71"/>
        <v>0</v>
      </c>
      <c r="N51" s="567">
        <f t="shared" si="71"/>
        <v>0</v>
      </c>
      <c r="O51" s="567">
        <f t="shared" si="71"/>
        <v>0</v>
      </c>
      <c r="P51" s="567">
        <f t="shared" si="71"/>
        <v>0</v>
      </c>
      <c r="Q51" s="567">
        <f t="shared" si="71"/>
        <v>0</v>
      </c>
      <c r="R51" s="567">
        <f t="shared" si="71"/>
        <v>0</v>
      </c>
      <c r="S51" s="1050"/>
      <c r="T51" s="908">
        <f t="shared" si="16"/>
        <v>0</v>
      </c>
      <c r="U51" s="908">
        <f t="shared" si="35"/>
        <v>0</v>
      </c>
      <c r="V51" s="908">
        <f t="shared" si="36"/>
        <v>0</v>
      </c>
      <c r="W51" s="908">
        <f t="shared" si="37"/>
        <v>0</v>
      </c>
      <c r="X51" s="908">
        <f t="shared" si="38"/>
        <v>0</v>
      </c>
      <c r="Y51" s="908">
        <f t="shared" si="39"/>
        <v>0</v>
      </c>
      <c r="Z51" s="908">
        <f t="shared" si="40"/>
        <v>0</v>
      </c>
      <c r="AA51" s="908">
        <f t="shared" si="41"/>
        <v>0</v>
      </c>
      <c r="AB51" s="908">
        <f t="shared" si="42"/>
        <v>0</v>
      </c>
      <c r="AC51" s="908">
        <f t="shared" si="43"/>
        <v>0</v>
      </c>
      <c r="AD51" s="908">
        <f t="shared" si="44"/>
        <v>0</v>
      </c>
      <c r="AE51" s="908">
        <f t="shared" si="45"/>
        <v>0</v>
      </c>
      <c r="AF51" s="568" t="s">
        <v>543</v>
      </c>
      <c r="AG51" s="86"/>
      <c r="AH51" s="86"/>
      <c r="AI51" s="86"/>
      <c r="AJ51" s="86"/>
      <c r="AK51" s="86"/>
      <c r="AL51" s="86"/>
    </row>
    <row r="52" spans="1:38" ht="32" customHeight="1">
      <c r="A52" s="722" t="str">
        <f>A2</f>
        <v>jan-juli</v>
      </c>
      <c r="B52" s="4">
        <f t="shared" si="11"/>
        <v>49</v>
      </c>
      <c r="C52" s="640"/>
      <c r="D52" s="73"/>
      <c r="E52" s="73"/>
      <c r="F52" s="180" t="s">
        <v>214</v>
      </c>
      <c r="G52" s="206" t="str">
        <f t="shared" ref="G52:AE52" si="72">G2</f>
        <v>AUG 25</v>
      </c>
      <c r="H52" s="76" t="str">
        <f t="shared" si="72"/>
        <v>SEP 25</v>
      </c>
      <c r="I52" s="76" t="str">
        <f t="shared" si="72"/>
        <v>OKT 25</v>
      </c>
      <c r="J52" s="76" t="str">
        <f t="shared" si="72"/>
        <v>NOV 25</v>
      </c>
      <c r="K52" s="76" t="str">
        <f t="shared" si="72"/>
        <v>DEC 25</v>
      </c>
      <c r="L52" s="76" t="str">
        <f t="shared" si="72"/>
        <v>JAN 26</v>
      </c>
      <c r="M52" s="76" t="str">
        <f t="shared" si="72"/>
        <v>FEB 26</v>
      </c>
      <c r="N52" s="76" t="str">
        <f t="shared" si="72"/>
        <v>MAR 26</v>
      </c>
      <c r="O52" s="76" t="str">
        <f t="shared" si="72"/>
        <v>APR 26</v>
      </c>
      <c r="P52" s="76" t="str">
        <f t="shared" si="72"/>
        <v>MAJ 26</v>
      </c>
      <c r="Q52" s="76" t="str">
        <f t="shared" si="72"/>
        <v>JUN 26</v>
      </c>
      <c r="R52" s="76" t="str">
        <f t="shared" si="72"/>
        <v>JUL 26</v>
      </c>
      <c r="S52" s="206"/>
      <c r="T52" s="906" t="str">
        <f t="shared" si="72"/>
        <v>AUG 25</v>
      </c>
      <c r="U52" s="76" t="str">
        <f t="shared" si="72"/>
        <v>SEP 25</v>
      </c>
      <c r="V52" s="76" t="str">
        <f t="shared" si="72"/>
        <v>OKT 25</v>
      </c>
      <c r="W52" s="76" t="str">
        <f t="shared" si="72"/>
        <v>NOV 25</v>
      </c>
      <c r="X52" s="76" t="str">
        <f t="shared" si="72"/>
        <v>DEC 25</v>
      </c>
      <c r="Y52" s="76" t="str">
        <f t="shared" si="72"/>
        <v>JAN 26</v>
      </c>
      <c r="Z52" s="76" t="str">
        <f t="shared" si="72"/>
        <v>FEB 26</v>
      </c>
      <c r="AA52" s="76" t="str">
        <f t="shared" si="72"/>
        <v>MAR 26</v>
      </c>
      <c r="AB52" s="76" t="str">
        <f t="shared" si="72"/>
        <v>APR 26</v>
      </c>
      <c r="AC52" s="76" t="str">
        <f t="shared" si="72"/>
        <v>MAJ 26</v>
      </c>
      <c r="AD52" s="76" t="str">
        <f t="shared" si="72"/>
        <v>JUN 26</v>
      </c>
      <c r="AE52" s="76" t="str">
        <f t="shared" si="72"/>
        <v>JUL 26</v>
      </c>
      <c r="AF52" s="80" t="s">
        <v>111</v>
      </c>
      <c r="AG52" s="689"/>
      <c r="AH52" s="689"/>
      <c r="AI52" s="690" t="s">
        <v>554</v>
      </c>
      <c r="AJ52" s="690" t="s">
        <v>555</v>
      </c>
      <c r="AK52" s="690" t="s">
        <v>556</v>
      </c>
      <c r="AL52" s="86"/>
    </row>
    <row r="53" spans="1:38">
      <c r="A53" s="379"/>
      <c r="B53" s="22">
        <f t="shared" si="11"/>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110" si="73">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74">IF(G8="Ja",0,ROUND(IF(G10&gt;0,ROUND((VLOOKUP(G4,omraadetabel12,G7,0))/12,2),0)*G10*G3,2))</f>
        <v>0</v>
      </c>
      <c r="H54" s="105">
        <f t="shared" ref="H54" si="75">IF(H8="Ja",0,ROUND(IF(H10&gt;0,ROUND((VLOOKUP(H4,omraadetabel12,H7,0))/12,2),0)*H10*H3,2))</f>
        <v>0</v>
      </c>
      <c r="I54" s="105">
        <f t="shared" si="74"/>
        <v>0</v>
      </c>
      <c r="J54" s="105">
        <f t="shared" si="74"/>
        <v>0</v>
      </c>
      <c r="K54" s="105">
        <f t="shared" si="74"/>
        <v>0</v>
      </c>
      <c r="L54" s="105">
        <f t="shared" si="74"/>
        <v>0</v>
      </c>
      <c r="M54" s="105">
        <f t="shared" si="74"/>
        <v>0</v>
      </c>
      <c r="N54" s="105">
        <f t="shared" si="74"/>
        <v>0</v>
      </c>
      <c r="O54" s="105">
        <f t="shared" si="74"/>
        <v>0</v>
      </c>
      <c r="P54" s="105">
        <f t="shared" si="74"/>
        <v>0</v>
      </c>
      <c r="Q54" s="105">
        <f t="shared" si="74"/>
        <v>0</v>
      </c>
      <c r="R54" s="105">
        <f t="shared" si="74"/>
        <v>0</v>
      </c>
      <c r="S54" s="105"/>
      <c r="T54" s="910">
        <f t="shared" ref="T54:AE54" si="76">ROUND(IF(T10&gt;0,ROUND((VLOOKUP(T4,omraadetabel12,T7,0))/12,2),0)*T10*T3,2)</f>
        <v>0</v>
      </c>
      <c r="U54" s="105">
        <f t="shared" si="76"/>
        <v>0</v>
      </c>
      <c r="V54" s="105">
        <f t="shared" si="76"/>
        <v>0</v>
      </c>
      <c r="W54" s="105">
        <f t="shared" si="76"/>
        <v>0</v>
      </c>
      <c r="X54" s="105">
        <f t="shared" si="76"/>
        <v>0</v>
      </c>
      <c r="Y54" s="105">
        <f t="shared" si="76"/>
        <v>0</v>
      </c>
      <c r="Z54" s="105">
        <f t="shared" si="76"/>
        <v>0</v>
      </c>
      <c r="AA54" s="105">
        <f t="shared" si="76"/>
        <v>0</v>
      </c>
      <c r="AB54" s="105">
        <f t="shared" si="76"/>
        <v>0</v>
      </c>
      <c r="AC54" s="105">
        <f t="shared" si="76"/>
        <v>0</v>
      </c>
      <c r="AD54" s="105">
        <f t="shared" si="76"/>
        <v>0</v>
      </c>
      <c r="AE54" s="105">
        <f t="shared" si="76"/>
        <v>0</v>
      </c>
      <c r="AF54" s="106">
        <f t="shared" si="73"/>
        <v>0</v>
      </c>
      <c r="AG54" s="689" t="str">
        <f t="shared" ref="AG54:AG68" si="77">F54</f>
        <v>Områdetillæg</v>
      </c>
      <c r="AH54" s="87">
        <v>49</v>
      </c>
      <c r="AI54" s="690"/>
      <c r="AJ54" s="690"/>
      <c r="AK54" s="690"/>
      <c r="AL54" s="87">
        <v>2</v>
      </c>
    </row>
    <row r="55" spans="1:38">
      <c r="A55" s="379"/>
      <c r="B55" s="22">
        <f t="shared" ref="B55:B108" si="78">B54+1</f>
        <v>52</v>
      </c>
      <c r="C55" s="641">
        <v>1</v>
      </c>
      <c r="D55" s="1">
        <v>0</v>
      </c>
      <c r="E55" s="1">
        <v>1</v>
      </c>
      <c r="F55" s="155" t="s">
        <v>170</v>
      </c>
      <c r="G55" s="105">
        <f>IF(G8="Ja",0,ROUND(SUM(G131:G134)*G3,2))</f>
        <v>0</v>
      </c>
      <c r="H55" s="105">
        <f>IF(H8="Ja",0,ROUND(SUM(H131:H134)*H3,2))</f>
        <v>0</v>
      </c>
      <c r="I55" s="105">
        <f t="shared" ref="I55:R55" si="79">IF(I8="Ja",0,ROUND(SUM(I131:I134)*I3,2))</f>
        <v>0</v>
      </c>
      <c r="J55" s="105">
        <f t="shared" si="79"/>
        <v>0</v>
      </c>
      <c r="K55" s="105">
        <f t="shared" si="79"/>
        <v>0</v>
      </c>
      <c r="L55" s="105">
        <f t="shared" si="79"/>
        <v>0</v>
      </c>
      <c r="M55" s="105">
        <f t="shared" si="79"/>
        <v>0</v>
      </c>
      <c r="N55" s="105">
        <f t="shared" si="79"/>
        <v>0</v>
      </c>
      <c r="O55" s="105">
        <f t="shared" si="79"/>
        <v>0</v>
      </c>
      <c r="P55" s="105">
        <f t="shared" si="79"/>
        <v>0</v>
      </c>
      <c r="Q55" s="105">
        <f t="shared" si="79"/>
        <v>0</v>
      </c>
      <c r="R55" s="105">
        <f t="shared" si="79"/>
        <v>0</v>
      </c>
      <c r="S55" s="105"/>
      <c r="T55" s="910">
        <f t="shared" ref="T55:AE55" si="80">ROUND(SUM(T131:T134)*T3,2)</f>
        <v>0</v>
      </c>
      <c r="U55" s="105">
        <f t="shared" si="80"/>
        <v>0</v>
      </c>
      <c r="V55" s="105">
        <f t="shared" si="80"/>
        <v>0</v>
      </c>
      <c r="W55" s="105">
        <f t="shared" si="80"/>
        <v>0</v>
      </c>
      <c r="X55" s="105">
        <f t="shared" si="80"/>
        <v>0</v>
      </c>
      <c r="Y55" s="105">
        <f t="shared" si="80"/>
        <v>0</v>
      </c>
      <c r="Z55" s="105">
        <f t="shared" si="80"/>
        <v>0</v>
      </c>
      <c r="AA55" s="105">
        <f t="shared" si="80"/>
        <v>0</v>
      </c>
      <c r="AB55" s="105">
        <f t="shared" si="80"/>
        <v>0</v>
      </c>
      <c r="AC55" s="105">
        <f t="shared" si="80"/>
        <v>0</v>
      </c>
      <c r="AD55" s="105">
        <f t="shared" si="80"/>
        <v>0</v>
      </c>
      <c r="AE55" s="105">
        <f t="shared" si="80"/>
        <v>0</v>
      </c>
      <c r="AF55" s="106">
        <f t="shared" si="73"/>
        <v>0</v>
      </c>
      <c r="AG55" s="689" t="str">
        <f t="shared" si="77"/>
        <v>Undervisningstillæg</v>
      </c>
      <c r="AH55" s="87">
        <v>50</v>
      </c>
      <c r="AI55" s="690" t="s">
        <v>557</v>
      </c>
      <c r="AJ55" s="690"/>
      <c r="AK55" s="690" t="s">
        <v>557</v>
      </c>
      <c r="AL55" s="87">
        <v>3</v>
      </c>
    </row>
    <row r="56" spans="1:38">
      <c r="A56" s="379"/>
      <c r="B56" s="22">
        <f t="shared" si="78"/>
        <v>53</v>
      </c>
      <c r="C56" s="641">
        <v>1</v>
      </c>
      <c r="D56" s="1">
        <v>0</v>
      </c>
      <c r="E56" s="1">
        <v>1</v>
      </c>
      <c r="F56" s="155" t="s">
        <v>171</v>
      </c>
      <c r="G56" s="105">
        <f>IF(G8="Ja",0,ROUND(G13*G$6*G3/12,2))</f>
        <v>0</v>
      </c>
      <c r="H56" s="105">
        <f>IF(H8="Ja",0,ROUND(H13*H$6*H3/12,2))</f>
        <v>0</v>
      </c>
      <c r="I56" s="105">
        <f t="shared" ref="I56:R56" si="81">IF(I8="Ja",0,ROUND(I13*I$6*I3/12,2))</f>
        <v>0</v>
      </c>
      <c r="J56" s="105">
        <f t="shared" si="81"/>
        <v>0</v>
      </c>
      <c r="K56" s="105">
        <f t="shared" si="81"/>
        <v>0</v>
      </c>
      <c r="L56" s="105">
        <f t="shared" si="81"/>
        <v>0</v>
      </c>
      <c r="M56" s="105">
        <f t="shared" si="81"/>
        <v>0</v>
      </c>
      <c r="N56" s="105">
        <f t="shared" si="81"/>
        <v>0</v>
      </c>
      <c r="O56" s="105">
        <f t="shared" si="81"/>
        <v>0</v>
      </c>
      <c r="P56" s="105">
        <f t="shared" si="81"/>
        <v>0</v>
      </c>
      <c r="Q56" s="105">
        <f t="shared" si="81"/>
        <v>0</v>
      </c>
      <c r="R56" s="105">
        <f t="shared" si="81"/>
        <v>0</v>
      </c>
      <c r="S56" s="105"/>
      <c r="T56" s="910">
        <f t="shared" ref="T56:AE56" si="82">ROUND(T13*T$6*T3/12,2)</f>
        <v>0</v>
      </c>
      <c r="U56" s="105">
        <f t="shared" si="82"/>
        <v>0</v>
      </c>
      <c r="V56" s="105">
        <f t="shared" si="82"/>
        <v>0</v>
      </c>
      <c r="W56" s="105">
        <f t="shared" si="82"/>
        <v>0</v>
      </c>
      <c r="X56" s="105">
        <f t="shared" si="82"/>
        <v>0</v>
      </c>
      <c r="Y56" s="105">
        <f t="shared" si="82"/>
        <v>0</v>
      </c>
      <c r="Z56" s="105">
        <f t="shared" si="82"/>
        <v>0</v>
      </c>
      <c r="AA56" s="105">
        <f t="shared" si="82"/>
        <v>0</v>
      </c>
      <c r="AB56" s="105">
        <f t="shared" si="82"/>
        <v>0</v>
      </c>
      <c r="AC56" s="105">
        <f t="shared" si="82"/>
        <v>0</v>
      </c>
      <c r="AD56" s="105">
        <f t="shared" si="82"/>
        <v>0</v>
      </c>
      <c r="AE56" s="105">
        <f t="shared" si="82"/>
        <v>0</v>
      </c>
      <c r="AF56" s="106">
        <f t="shared" si="73"/>
        <v>0</v>
      </c>
      <c r="AG56" s="689" t="str">
        <f t="shared" si="77"/>
        <v>Souscheftillæg</v>
      </c>
      <c r="AH56" s="87">
        <v>51</v>
      </c>
      <c r="AI56" s="690" t="s">
        <v>557</v>
      </c>
      <c r="AJ56" s="691" t="s">
        <v>557</v>
      </c>
      <c r="AK56" s="690" t="s">
        <v>557</v>
      </c>
      <c r="AL56" s="87">
        <v>4</v>
      </c>
    </row>
    <row r="57" spans="1:38">
      <c r="A57" s="379"/>
      <c r="B57" s="22">
        <f t="shared" si="78"/>
        <v>54</v>
      </c>
      <c r="C57" s="642">
        <f t="shared" ref="C57:E59" si="83">(C14&lt;&gt;"")*1</f>
        <v>1</v>
      </c>
      <c r="D57" s="642">
        <f t="shared" si="83"/>
        <v>0</v>
      </c>
      <c r="E57" s="641">
        <f t="shared" si="83"/>
        <v>1</v>
      </c>
      <c r="F57" s="155" t="s">
        <v>172</v>
      </c>
      <c r="G57" s="105">
        <f>IF(G8="Ja",0,ROUND(G14*G$6*G$3*IF($D57&gt;0,G$10,1)/12,2))</f>
        <v>0</v>
      </c>
      <c r="H57" s="105">
        <f>IF(H8="Ja",0,ROUND(H14*H$6*H$3*IF($D57&gt;0,H$10,1)/12,2))</f>
        <v>0</v>
      </c>
      <c r="I57" s="105">
        <f t="shared" ref="I57:R57" si="84">IF(I8="Ja",0,ROUND(I14*I$6*I$3*IF($D57&gt;0,I$10,1)/12,2))</f>
        <v>0</v>
      </c>
      <c r="J57" s="105">
        <f t="shared" si="84"/>
        <v>0</v>
      </c>
      <c r="K57" s="105">
        <f t="shared" si="84"/>
        <v>0</v>
      </c>
      <c r="L57" s="105">
        <f t="shared" si="84"/>
        <v>0</v>
      </c>
      <c r="M57" s="105">
        <f t="shared" si="84"/>
        <v>0</v>
      </c>
      <c r="N57" s="105">
        <f t="shared" si="84"/>
        <v>0</v>
      </c>
      <c r="O57" s="105">
        <f t="shared" si="84"/>
        <v>0</v>
      </c>
      <c r="P57" s="105">
        <f t="shared" si="84"/>
        <v>0</v>
      </c>
      <c r="Q57" s="105">
        <f t="shared" si="84"/>
        <v>0</v>
      </c>
      <c r="R57" s="105">
        <f t="shared" si="84"/>
        <v>0</v>
      </c>
      <c r="S57" s="105"/>
      <c r="T57" s="910">
        <f t="shared" ref="T57:AE57" si="85">ROUND(T14*T$6*T$3*IF($D57&gt;0,T$10,1)/12,2)</f>
        <v>0</v>
      </c>
      <c r="U57" s="105">
        <f t="shared" si="85"/>
        <v>0</v>
      </c>
      <c r="V57" s="105">
        <f t="shared" si="85"/>
        <v>0</v>
      </c>
      <c r="W57" s="105">
        <f t="shared" si="85"/>
        <v>0</v>
      </c>
      <c r="X57" s="105">
        <f t="shared" si="85"/>
        <v>0</v>
      </c>
      <c r="Y57" s="105">
        <f t="shared" si="85"/>
        <v>0</v>
      </c>
      <c r="Z57" s="105">
        <f t="shared" si="85"/>
        <v>0</v>
      </c>
      <c r="AA57" s="105">
        <f t="shared" si="85"/>
        <v>0</v>
      </c>
      <c r="AB57" s="105">
        <f t="shared" si="85"/>
        <v>0</v>
      </c>
      <c r="AC57" s="105">
        <f t="shared" si="85"/>
        <v>0</v>
      </c>
      <c r="AD57" s="105">
        <f t="shared" si="85"/>
        <v>0</v>
      </c>
      <c r="AE57" s="105">
        <f t="shared" si="85"/>
        <v>0</v>
      </c>
      <c r="AF57" s="106">
        <f t="shared" si="73"/>
        <v>0</v>
      </c>
      <c r="AG57" s="689" t="str">
        <f t="shared" si="77"/>
        <v>Funktionstillæg 1</v>
      </c>
      <c r="AH57" s="697">
        <v>52</v>
      </c>
      <c r="AI57" s="690" t="s">
        <v>557</v>
      </c>
      <c r="AJ57" s="690"/>
      <c r="AK57" s="690" t="s">
        <v>557</v>
      </c>
      <c r="AL57" s="697">
        <v>5</v>
      </c>
    </row>
    <row r="58" spans="1:38">
      <c r="A58" s="379"/>
      <c r="B58" s="22">
        <f t="shared" si="78"/>
        <v>55</v>
      </c>
      <c r="C58" s="642">
        <f t="shared" si="83"/>
        <v>1</v>
      </c>
      <c r="D58" s="642">
        <f t="shared" si="83"/>
        <v>0</v>
      </c>
      <c r="E58" s="641">
        <f t="shared" si="83"/>
        <v>1</v>
      </c>
      <c r="F58" s="155" t="s">
        <v>173</v>
      </c>
      <c r="G58" s="105">
        <f>IF(G8="Ja",0,ROUND(G15*G$6*G$3*IF($D58&gt;0,G$10,1)/12,2))</f>
        <v>0</v>
      </c>
      <c r="H58" s="105">
        <f>IF(H8="Ja",0,ROUND(H15*H$6*H$3*IF($D58&gt;0,H$10,1)/12,2))</f>
        <v>0</v>
      </c>
      <c r="I58" s="105">
        <f t="shared" ref="I58:R58" si="86">IF(I8="Ja",0,ROUND(I15*I$6*I$3*IF($D58&gt;0,I$10,1)/12,2))</f>
        <v>0</v>
      </c>
      <c r="J58" s="105">
        <f t="shared" si="86"/>
        <v>0</v>
      </c>
      <c r="K58" s="105">
        <f t="shared" si="86"/>
        <v>0</v>
      </c>
      <c r="L58" s="105">
        <f t="shared" si="86"/>
        <v>0</v>
      </c>
      <c r="M58" s="105">
        <f t="shared" si="86"/>
        <v>0</v>
      </c>
      <c r="N58" s="105">
        <f t="shared" si="86"/>
        <v>0</v>
      </c>
      <c r="O58" s="105">
        <f t="shared" si="86"/>
        <v>0</v>
      </c>
      <c r="P58" s="105">
        <f t="shared" si="86"/>
        <v>0</v>
      </c>
      <c r="Q58" s="105">
        <f t="shared" si="86"/>
        <v>0</v>
      </c>
      <c r="R58" s="105">
        <f t="shared" si="86"/>
        <v>0</v>
      </c>
      <c r="S58" s="105"/>
      <c r="T58" s="910">
        <f t="shared" ref="T58:AE58" si="87">ROUND(T15*T$6*T$3*IF($D58&gt;0,T$10,1)/12,2)</f>
        <v>0</v>
      </c>
      <c r="U58" s="105">
        <f t="shared" si="87"/>
        <v>0</v>
      </c>
      <c r="V58" s="105">
        <f t="shared" si="87"/>
        <v>0</v>
      </c>
      <c r="W58" s="105">
        <f t="shared" si="87"/>
        <v>0</v>
      </c>
      <c r="X58" s="105">
        <f t="shared" si="87"/>
        <v>0</v>
      </c>
      <c r="Y58" s="105">
        <f t="shared" si="87"/>
        <v>0</v>
      </c>
      <c r="Z58" s="105">
        <f t="shared" si="87"/>
        <v>0</v>
      </c>
      <c r="AA58" s="105">
        <f t="shared" si="87"/>
        <v>0</v>
      </c>
      <c r="AB58" s="105">
        <f t="shared" si="87"/>
        <v>0</v>
      </c>
      <c r="AC58" s="105">
        <f t="shared" si="87"/>
        <v>0</v>
      </c>
      <c r="AD58" s="105">
        <f t="shared" si="87"/>
        <v>0</v>
      </c>
      <c r="AE58" s="105">
        <f t="shared" si="87"/>
        <v>0</v>
      </c>
      <c r="AF58" s="106">
        <f t="shared" si="73"/>
        <v>0</v>
      </c>
      <c r="AG58" s="689" t="str">
        <f t="shared" si="77"/>
        <v>Funktionstillæg 2</v>
      </c>
      <c r="AH58" s="697">
        <v>53</v>
      </c>
      <c r="AI58" s="690" t="s">
        <v>557</v>
      </c>
      <c r="AJ58" s="690"/>
      <c r="AK58" s="690" t="s">
        <v>557</v>
      </c>
      <c r="AL58" s="697">
        <v>6</v>
      </c>
    </row>
    <row r="59" spans="1:38">
      <c r="A59" s="379"/>
      <c r="B59" s="22">
        <f t="shared" si="78"/>
        <v>56</v>
      </c>
      <c r="C59" s="642">
        <f t="shared" si="83"/>
        <v>1</v>
      </c>
      <c r="D59" s="642">
        <f t="shared" si="83"/>
        <v>0</v>
      </c>
      <c r="E59" s="641">
        <f t="shared" si="83"/>
        <v>1</v>
      </c>
      <c r="F59" s="155" t="s">
        <v>174</v>
      </c>
      <c r="G59" s="105">
        <f>IF(G8="Ja",0,ROUND(G16*G$6*G$3*IF($D59&gt;0,G$10,1)/12,2))</f>
        <v>0</v>
      </c>
      <c r="H59" s="105">
        <f>IF(H8="Ja",0,ROUND(H16*H$6*H$3*IF($D59&gt;0,H$10,1)/12,2))</f>
        <v>0</v>
      </c>
      <c r="I59" s="105">
        <f t="shared" ref="I59:R59" si="88">IF(I8="Ja",0,ROUND(I16*I$6*I$3*IF($D59&gt;0,I$10,1)/12,2))</f>
        <v>0</v>
      </c>
      <c r="J59" s="105">
        <f t="shared" si="88"/>
        <v>0</v>
      </c>
      <c r="K59" s="105">
        <f t="shared" si="88"/>
        <v>0</v>
      </c>
      <c r="L59" s="105">
        <f t="shared" si="88"/>
        <v>0</v>
      </c>
      <c r="M59" s="105">
        <f t="shared" si="88"/>
        <v>0</v>
      </c>
      <c r="N59" s="105">
        <f t="shared" si="88"/>
        <v>0</v>
      </c>
      <c r="O59" s="105">
        <f t="shared" si="88"/>
        <v>0</v>
      </c>
      <c r="P59" s="105">
        <f t="shared" si="88"/>
        <v>0</v>
      </c>
      <c r="Q59" s="105">
        <f t="shared" si="88"/>
        <v>0</v>
      </c>
      <c r="R59" s="105">
        <f t="shared" si="88"/>
        <v>0</v>
      </c>
      <c r="S59" s="105"/>
      <c r="T59" s="910">
        <f t="shared" ref="T59:AE59" si="89">ROUND(T16*T$6*T$3*IF($D59&gt;0,T$10,1)/12,2)</f>
        <v>0</v>
      </c>
      <c r="U59" s="105">
        <f t="shared" si="89"/>
        <v>0</v>
      </c>
      <c r="V59" s="105">
        <f t="shared" si="89"/>
        <v>0</v>
      </c>
      <c r="W59" s="105">
        <f t="shared" si="89"/>
        <v>0</v>
      </c>
      <c r="X59" s="105">
        <f t="shared" si="89"/>
        <v>0</v>
      </c>
      <c r="Y59" s="105">
        <f t="shared" si="89"/>
        <v>0</v>
      </c>
      <c r="Z59" s="105">
        <f t="shared" si="89"/>
        <v>0</v>
      </c>
      <c r="AA59" s="105">
        <f t="shared" si="89"/>
        <v>0</v>
      </c>
      <c r="AB59" s="105">
        <f t="shared" si="89"/>
        <v>0</v>
      </c>
      <c r="AC59" s="105">
        <f t="shared" si="89"/>
        <v>0</v>
      </c>
      <c r="AD59" s="105">
        <f t="shared" si="89"/>
        <v>0</v>
      </c>
      <c r="AE59" s="105">
        <f t="shared" si="89"/>
        <v>0</v>
      </c>
      <c r="AF59" s="106">
        <f t="shared" si="73"/>
        <v>0</v>
      </c>
      <c r="AG59" s="689" t="str">
        <f t="shared" si="77"/>
        <v>Funktionstillæg 3</v>
      </c>
      <c r="AH59" s="697">
        <v>54</v>
      </c>
      <c r="AI59" s="690" t="s">
        <v>557</v>
      </c>
      <c r="AJ59" s="690"/>
      <c r="AK59" s="690" t="s">
        <v>557</v>
      </c>
      <c r="AL59" s="697">
        <v>7</v>
      </c>
    </row>
    <row r="60" spans="1:38">
      <c r="A60" s="379"/>
      <c r="B60" s="22">
        <f t="shared" si="78"/>
        <v>57</v>
      </c>
      <c r="C60" s="642">
        <f t="shared" ref="C60:D62" si="90">(C17&lt;&gt;"")*1</f>
        <v>1</v>
      </c>
      <c r="D60" s="642">
        <f t="shared" si="90"/>
        <v>1</v>
      </c>
      <c r="E60" s="641">
        <f>(E18&lt;&gt;"")*1</f>
        <v>1</v>
      </c>
      <c r="F60" s="155" t="s">
        <v>175</v>
      </c>
      <c r="G60" s="105">
        <f>IF(G8="Ja",0,ROUND(G17*G$6*G$3*IF($D60&gt;0,G$10,1)/12,2))</f>
        <v>0</v>
      </c>
      <c r="H60" s="105">
        <f>IF(H8="Ja",0,ROUND(H17*H$6*H$3*IF($D60&gt;0,H$10,1)/12,2))</f>
        <v>0</v>
      </c>
      <c r="I60" s="105">
        <f t="shared" ref="I60:R60" si="91">IF(I8="Ja",0,ROUND(I17*I$6*I$3*IF($D60&gt;0,I$10,1)/12,2))</f>
        <v>0</v>
      </c>
      <c r="J60" s="105">
        <f t="shared" si="91"/>
        <v>0</v>
      </c>
      <c r="K60" s="105">
        <f t="shared" si="91"/>
        <v>0</v>
      </c>
      <c r="L60" s="105">
        <f t="shared" si="91"/>
        <v>0</v>
      </c>
      <c r="M60" s="105">
        <f t="shared" si="91"/>
        <v>0</v>
      </c>
      <c r="N60" s="105">
        <f t="shared" si="91"/>
        <v>0</v>
      </c>
      <c r="O60" s="105">
        <f t="shared" si="91"/>
        <v>0</v>
      </c>
      <c r="P60" s="105">
        <f t="shared" si="91"/>
        <v>0</v>
      </c>
      <c r="Q60" s="105">
        <f t="shared" si="91"/>
        <v>0</v>
      </c>
      <c r="R60" s="105">
        <f t="shared" si="91"/>
        <v>0</v>
      </c>
      <c r="S60" s="105"/>
      <c r="T60" s="910">
        <f t="shared" ref="T60:AE60" si="92">ROUND(T17*T$6*T$3*IF($D60&gt;0,T$10,1)/12,2)</f>
        <v>0</v>
      </c>
      <c r="U60" s="105">
        <f t="shared" si="92"/>
        <v>0</v>
      </c>
      <c r="V60" s="105">
        <f t="shared" si="92"/>
        <v>0</v>
      </c>
      <c r="W60" s="105">
        <f t="shared" si="92"/>
        <v>0</v>
      </c>
      <c r="X60" s="105">
        <f t="shared" si="92"/>
        <v>0</v>
      </c>
      <c r="Y60" s="105">
        <f t="shared" si="92"/>
        <v>0</v>
      </c>
      <c r="Z60" s="105">
        <f t="shared" si="92"/>
        <v>0</v>
      </c>
      <c r="AA60" s="105">
        <f t="shared" si="92"/>
        <v>0</v>
      </c>
      <c r="AB60" s="105">
        <f t="shared" si="92"/>
        <v>0</v>
      </c>
      <c r="AC60" s="105">
        <f t="shared" si="92"/>
        <v>0</v>
      </c>
      <c r="AD60" s="105">
        <f t="shared" si="92"/>
        <v>0</v>
      </c>
      <c r="AE60" s="105">
        <f t="shared" si="92"/>
        <v>0</v>
      </c>
      <c r="AF60" s="106">
        <f t="shared" si="73"/>
        <v>0</v>
      </c>
      <c r="AG60" s="689" t="str">
        <f t="shared" si="77"/>
        <v>Kvalifikationstillæg 1</v>
      </c>
      <c r="AH60" s="697">
        <v>55</v>
      </c>
      <c r="AI60" s="690" t="s">
        <v>557</v>
      </c>
      <c r="AJ60" s="690"/>
      <c r="AK60" s="690" t="s">
        <v>557</v>
      </c>
      <c r="AL60" s="697">
        <v>8</v>
      </c>
    </row>
    <row r="61" spans="1:38">
      <c r="A61" s="379"/>
      <c r="B61" s="22">
        <f t="shared" si="78"/>
        <v>58</v>
      </c>
      <c r="C61" s="642">
        <f t="shared" si="90"/>
        <v>1</v>
      </c>
      <c r="D61" s="642">
        <f t="shared" si="90"/>
        <v>1</v>
      </c>
      <c r="E61" s="641">
        <f>(E18&lt;&gt;"")*1</f>
        <v>1</v>
      </c>
      <c r="F61" s="155" t="s">
        <v>176</v>
      </c>
      <c r="G61" s="105">
        <f>IF(G8="Ja",0,ROUND(G18*G$6*G$3*IF($D61&gt;0,G$10,1)/12,2))</f>
        <v>0</v>
      </c>
      <c r="H61" s="105">
        <f>IF(H8="Ja",0,ROUND(H18*H$6*H$3*IF($D61&gt;0,H$10,1)/12,2))</f>
        <v>0</v>
      </c>
      <c r="I61" s="105">
        <f t="shared" ref="I61:R61" si="93">IF(I8="Ja",0,ROUND(I18*I$6*I$3*IF($D61&gt;0,I$10,1)/12,2))</f>
        <v>0</v>
      </c>
      <c r="J61" s="105">
        <f t="shared" si="93"/>
        <v>0</v>
      </c>
      <c r="K61" s="105">
        <f t="shared" si="93"/>
        <v>0</v>
      </c>
      <c r="L61" s="105">
        <f t="shared" si="93"/>
        <v>0</v>
      </c>
      <c r="M61" s="105">
        <f t="shared" si="93"/>
        <v>0</v>
      </c>
      <c r="N61" s="105">
        <f t="shared" si="93"/>
        <v>0</v>
      </c>
      <c r="O61" s="105">
        <f t="shared" si="93"/>
        <v>0</v>
      </c>
      <c r="P61" s="105">
        <f t="shared" si="93"/>
        <v>0</v>
      </c>
      <c r="Q61" s="105">
        <f t="shared" si="93"/>
        <v>0</v>
      </c>
      <c r="R61" s="105">
        <f t="shared" si="93"/>
        <v>0</v>
      </c>
      <c r="S61" s="105"/>
      <c r="T61" s="910">
        <f t="shared" ref="T61:AE61" si="94">ROUND(T18*T$6*T$3*IF($D61&gt;0,T$10,1)/12,2)</f>
        <v>0</v>
      </c>
      <c r="U61" s="105">
        <f t="shared" si="94"/>
        <v>0</v>
      </c>
      <c r="V61" s="105">
        <f t="shared" si="94"/>
        <v>0</v>
      </c>
      <c r="W61" s="105">
        <f t="shared" si="94"/>
        <v>0</v>
      </c>
      <c r="X61" s="105">
        <f t="shared" si="94"/>
        <v>0</v>
      </c>
      <c r="Y61" s="105">
        <f t="shared" si="94"/>
        <v>0</v>
      </c>
      <c r="Z61" s="105">
        <f t="shared" si="94"/>
        <v>0</v>
      </c>
      <c r="AA61" s="105">
        <f t="shared" si="94"/>
        <v>0</v>
      </c>
      <c r="AB61" s="105">
        <f t="shared" si="94"/>
        <v>0</v>
      </c>
      <c r="AC61" s="105">
        <f t="shared" si="94"/>
        <v>0</v>
      </c>
      <c r="AD61" s="105">
        <f t="shared" si="94"/>
        <v>0</v>
      </c>
      <c r="AE61" s="105">
        <f t="shared" si="94"/>
        <v>0</v>
      </c>
      <c r="AF61" s="106">
        <f t="shared" si="73"/>
        <v>0</v>
      </c>
      <c r="AG61" s="689" t="str">
        <f t="shared" si="77"/>
        <v>Kvalifikationstillæg 2</v>
      </c>
      <c r="AH61" s="697">
        <v>56</v>
      </c>
      <c r="AI61" s="690" t="s">
        <v>557</v>
      </c>
      <c r="AJ61" s="690"/>
      <c r="AK61" s="690" t="s">
        <v>557</v>
      </c>
      <c r="AL61" s="697">
        <v>9</v>
      </c>
    </row>
    <row r="62" spans="1:38">
      <c r="A62" s="379"/>
      <c r="B62" s="22">
        <f t="shared" si="78"/>
        <v>59</v>
      </c>
      <c r="C62" s="642">
        <f t="shared" si="90"/>
        <v>1</v>
      </c>
      <c r="D62" s="642">
        <f t="shared" si="90"/>
        <v>1</v>
      </c>
      <c r="E62" s="641">
        <f>(E19&lt;&gt;"")*1</f>
        <v>1</v>
      </c>
      <c r="F62" s="155" t="s">
        <v>177</v>
      </c>
      <c r="G62" s="105">
        <f>IF(G8="Ja",0,ROUND(G19*G$6*G$3*IF($D62&gt;0,G$10,1)/12,2))</f>
        <v>0</v>
      </c>
      <c r="H62" s="105">
        <f>IF(H8="Ja",0,ROUND(H19*H$6*H$3*IF($D62&gt;0,H$10,1)/12,2))</f>
        <v>0</v>
      </c>
      <c r="I62" s="105">
        <f t="shared" ref="I62:R62" si="95">IF(I8="Ja",0,ROUND(I19*I$6*I$3*IF($D62&gt;0,I$10,1)/12,2))</f>
        <v>0</v>
      </c>
      <c r="J62" s="105">
        <f t="shared" si="95"/>
        <v>0</v>
      </c>
      <c r="K62" s="105">
        <f t="shared" si="95"/>
        <v>0</v>
      </c>
      <c r="L62" s="105">
        <f t="shared" si="95"/>
        <v>0</v>
      </c>
      <c r="M62" s="105">
        <f t="shared" si="95"/>
        <v>0</v>
      </c>
      <c r="N62" s="105">
        <f t="shared" si="95"/>
        <v>0</v>
      </c>
      <c r="O62" s="105">
        <f t="shared" si="95"/>
        <v>0</v>
      </c>
      <c r="P62" s="105">
        <f t="shared" si="95"/>
        <v>0</v>
      </c>
      <c r="Q62" s="105">
        <f t="shared" si="95"/>
        <v>0</v>
      </c>
      <c r="R62" s="105">
        <f t="shared" si="95"/>
        <v>0</v>
      </c>
      <c r="S62" s="105"/>
      <c r="T62" s="910">
        <f t="shared" ref="T62:AE62" si="96">ROUND(T19*T$6*T$3*IF($D62&gt;0,T$10,1)/12,2)</f>
        <v>0</v>
      </c>
      <c r="U62" s="105">
        <f t="shared" si="96"/>
        <v>0</v>
      </c>
      <c r="V62" s="105">
        <f t="shared" si="96"/>
        <v>0</v>
      </c>
      <c r="W62" s="105">
        <f t="shared" si="96"/>
        <v>0</v>
      </c>
      <c r="X62" s="105">
        <f t="shared" si="96"/>
        <v>0</v>
      </c>
      <c r="Y62" s="105">
        <f t="shared" si="96"/>
        <v>0</v>
      </c>
      <c r="Z62" s="105">
        <f t="shared" si="96"/>
        <v>0</v>
      </c>
      <c r="AA62" s="105">
        <f t="shared" si="96"/>
        <v>0</v>
      </c>
      <c r="AB62" s="105">
        <f t="shared" si="96"/>
        <v>0</v>
      </c>
      <c r="AC62" s="105">
        <f t="shared" si="96"/>
        <v>0</v>
      </c>
      <c r="AD62" s="105">
        <f t="shared" si="96"/>
        <v>0</v>
      </c>
      <c r="AE62" s="105">
        <f t="shared" si="96"/>
        <v>0</v>
      </c>
      <c r="AF62" s="106">
        <f t="shared" si="73"/>
        <v>0</v>
      </c>
      <c r="AG62" s="689" t="str">
        <f t="shared" si="77"/>
        <v>Kvalifikationstillæg 3</v>
      </c>
      <c r="AH62" s="697">
        <v>57</v>
      </c>
      <c r="AI62" s="690" t="s">
        <v>557</v>
      </c>
      <c r="AJ62" s="690"/>
      <c r="AK62" s="690" t="s">
        <v>557</v>
      </c>
      <c r="AL62" s="697">
        <v>10</v>
      </c>
    </row>
    <row r="63" spans="1:38">
      <c r="A63" s="379"/>
      <c r="B63" s="22">
        <f t="shared" si="78"/>
        <v>60</v>
      </c>
      <c r="C63" s="641">
        <v>1</v>
      </c>
      <c r="D63" s="1">
        <v>1</v>
      </c>
      <c r="E63" s="1">
        <v>1</v>
      </c>
      <c r="F63" s="155" t="s">
        <v>535</v>
      </c>
      <c r="G63" s="105">
        <f>IF(G8="Ja",0,ROUND(G20*G$6*G$10/12*G3,2))</f>
        <v>0</v>
      </c>
      <c r="H63" s="105">
        <f>IF(H8="Ja",0,ROUND(H20*H$6*H$10/12*H3,2))</f>
        <v>0</v>
      </c>
      <c r="I63" s="105">
        <f t="shared" ref="I63:R63" si="97">IF(I8="Ja",0,ROUND(I20*I$6*I$10/12*I3,2))</f>
        <v>0</v>
      </c>
      <c r="J63" s="105">
        <f t="shared" si="97"/>
        <v>0</v>
      </c>
      <c r="K63" s="105">
        <f t="shared" si="97"/>
        <v>0</v>
      </c>
      <c r="L63" s="105">
        <f t="shared" si="97"/>
        <v>0</v>
      </c>
      <c r="M63" s="105">
        <f t="shared" si="97"/>
        <v>0</v>
      </c>
      <c r="N63" s="105">
        <f t="shared" si="97"/>
        <v>0</v>
      </c>
      <c r="O63" s="105">
        <f t="shared" si="97"/>
        <v>0</v>
      </c>
      <c r="P63" s="105">
        <f t="shared" si="97"/>
        <v>0</v>
      </c>
      <c r="Q63" s="105">
        <f t="shared" si="97"/>
        <v>0</v>
      </c>
      <c r="R63" s="105">
        <f t="shared" si="97"/>
        <v>0</v>
      </c>
      <c r="S63" s="105"/>
      <c r="T63" s="910">
        <f t="shared" ref="T63:AE63" si="98">ROUND(T20*T$6*T$10/12*T3,2)</f>
        <v>0</v>
      </c>
      <c r="U63" s="105">
        <f t="shared" si="98"/>
        <v>0</v>
      </c>
      <c r="V63" s="105">
        <f t="shared" si="98"/>
        <v>0</v>
      </c>
      <c r="W63" s="105">
        <f t="shared" si="98"/>
        <v>0</v>
      </c>
      <c r="X63" s="105">
        <f t="shared" si="98"/>
        <v>0</v>
      </c>
      <c r="Y63" s="105">
        <f t="shared" si="98"/>
        <v>0</v>
      </c>
      <c r="Z63" s="105">
        <f t="shared" si="98"/>
        <v>0</v>
      </c>
      <c r="AA63" s="105">
        <f t="shared" si="98"/>
        <v>0</v>
      </c>
      <c r="AB63" s="105">
        <f t="shared" si="98"/>
        <v>0</v>
      </c>
      <c r="AC63" s="105">
        <f t="shared" si="98"/>
        <v>0</v>
      </c>
      <c r="AD63" s="105">
        <f t="shared" si="98"/>
        <v>0</v>
      </c>
      <c r="AE63" s="105">
        <f t="shared" si="98"/>
        <v>0</v>
      </c>
      <c r="AF63" s="106">
        <f t="shared" si="73"/>
        <v>0</v>
      </c>
      <c r="AG63" s="689" t="str">
        <f t="shared" si="77"/>
        <v>Trin 4-tillæg beregnet 1. aug 2013</v>
      </c>
      <c r="AH63" s="697">
        <v>58</v>
      </c>
      <c r="AI63" s="690" t="s">
        <v>557</v>
      </c>
      <c r="AJ63" s="690"/>
      <c r="AK63" s="690" t="s">
        <v>557</v>
      </c>
      <c r="AL63" s="697">
        <v>11</v>
      </c>
    </row>
    <row r="64" spans="1:38">
      <c r="A64" s="379"/>
      <c r="B64" s="22">
        <f t="shared" si="78"/>
        <v>61</v>
      </c>
      <c r="C64" s="641">
        <v>1</v>
      </c>
      <c r="D64" s="1">
        <v>1</v>
      </c>
      <c r="E64" s="1">
        <v>1</v>
      </c>
      <c r="F64" s="155" t="s">
        <v>114</v>
      </c>
      <c r="G64" s="105">
        <f>IF(G8="Ja",0,ROUND(G21*G$6*G$10/12*G3,2))</f>
        <v>0</v>
      </c>
      <c r="H64" s="105">
        <f>IF(H8="Ja",0,ROUND(H21*H$6*H$10/12*H3,2))</f>
        <v>0</v>
      </c>
      <c r="I64" s="105">
        <f t="shared" ref="I64:R64" si="99">IF(I8="Ja",0,ROUND(I21*I$6*I$10/12*I3,2))</f>
        <v>0</v>
      </c>
      <c r="J64" s="105">
        <f t="shared" si="99"/>
        <v>0</v>
      </c>
      <c r="K64" s="105">
        <f t="shared" si="99"/>
        <v>0</v>
      </c>
      <c r="L64" s="105">
        <f t="shared" si="99"/>
        <v>0</v>
      </c>
      <c r="M64" s="105">
        <f t="shared" si="99"/>
        <v>0</v>
      </c>
      <c r="N64" s="105">
        <f t="shared" si="99"/>
        <v>0</v>
      </c>
      <c r="O64" s="105">
        <f t="shared" si="99"/>
        <v>0</v>
      </c>
      <c r="P64" s="105">
        <f t="shared" si="99"/>
        <v>0</v>
      </c>
      <c r="Q64" s="105">
        <f t="shared" si="99"/>
        <v>0</v>
      </c>
      <c r="R64" s="105">
        <f t="shared" si="99"/>
        <v>0</v>
      </c>
      <c r="S64" s="105"/>
      <c r="T64" s="910">
        <f t="shared" ref="T64:AE64" si="100">ROUND(T21*T$6*T$10/12*T3,2)</f>
        <v>0</v>
      </c>
      <c r="U64" s="105">
        <f t="shared" si="100"/>
        <v>0</v>
      </c>
      <c r="V64" s="105">
        <f t="shared" si="100"/>
        <v>0</v>
      </c>
      <c r="W64" s="105">
        <f t="shared" si="100"/>
        <v>0</v>
      </c>
      <c r="X64" s="105">
        <f t="shared" si="100"/>
        <v>0</v>
      </c>
      <c r="Y64" s="105">
        <f t="shared" si="100"/>
        <v>0</v>
      </c>
      <c r="Z64" s="105">
        <f t="shared" si="100"/>
        <v>0</v>
      </c>
      <c r="AA64" s="105">
        <f t="shared" si="100"/>
        <v>0</v>
      </c>
      <c r="AB64" s="105">
        <f t="shared" si="100"/>
        <v>0</v>
      </c>
      <c r="AC64" s="105">
        <f t="shared" si="100"/>
        <v>0</v>
      </c>
      <c r="AD64" s="105">
        <f t="shared" si="100"/>
        <v>0</v>
      </c>
      <c r="AE64" s="105">
        <f t="shared" si="100"/>
        <v>0</v>
      </c>
      <c r="AF64" s="106">
        <f t="shared" si="73"/>
        <v>0</v>
      </c>
      <c r="AG64" s="689" t="str">
        <f t="shared" si="77"/>
        <v>Udligningstillæg beregnet 1. aug 2004</v>
      </c>
      <c r="AH64" s="697">
        <v>59</v>
      </c>
      <c r="AI64" s="690" t="s">
        <v>557</v>
      </c>
      <c r="AJ64" s="690"/>
      <c r="AK64" s="690" t="s">
        <v>557</v>
      </c>
      <c r="AL64" s="697">
        <v>12</v>
      </c>
    </row>
    <row r="65" spans="1:38">
      <c r="A65" s="379"/>
      <c r="B65" s="22">
        <f t="shared" si="78"/>
        <v>62</v>
      </c>
      <c r="C65" s="641"/>
      <c r="D65" s="1">
        <v>1</v>
      </c>
      <c r="E65" s="1">
        <v>1</v>
      </c>
      <c r="F65" s="155" t="s">
        <v>367</v>
      </c>
      <c r="G65" s="105">
        <f>IF(G8="Ja",0,ROUND((IF(RIGHT(G4)="1",5200)+IF(OR(RIGHT(G4)="2",RIGHT(G4)="3"),7900))*G6/12*G10*G3,2))</f>
        <v>0</v>
      </c>
      <c r="H65" s="105">
        <f>IF(H8="Ja",0,ROUND((IF(RIGHT(H4)="1",5200)+IF(OR(RIGHT(H4)="2",RIGHT(H4)="3"),7900))*H6/12*H10*H3,2))</f>
        <v>0</v>
      </c>
      <c r="I65" s="105">
        <f t="shared" ref="I65:R65" si="101">IF(I8="Ja",0,ROUND((IF(RIGHT(I4)="1",5200)+IF(OR(RIGHT(I4)="2",RIGHT(I4)="3"),7900))*I6/12*I10*I3,2))</f>
        <v>0</v>
      </c>
      <c r="J65" s="105">
        <f t="shared" si="101"/>
        <v>0</v>
      </c>
      <c r="K65" s="105">
        <f t="shared" si="101"/>
        <v>0</v>
      </c>
      <c r="L65" s="105">
        <f t="shared" si="101"/>
        <v>0</v>
      </c>
      <c r="M65" s="105">
        <f t="shared" si="101"/>
        <v>0</v>
      </c>
      <c r="N65" s="105">
        <f t="shared" si="101"/>
        <v>0</v>
      </c>
      <c r="O65" s="105">
        <f t="shared" si="101"/>
        <v>0</v>
      </c>
      <c r="P65" s="105">
        <f t="shared" si="101"/>
        <v>0</v>
      </c>
      <c r="Q65" s="105">
        <f t="shared" si="101"/>
        <v>0</v>
      </c>
      <c r="R65" s="105">
        <f t="shared" si="101"/>
        <v>0</v>
      </c>
      <c r="S65" s="105"/>
      <c r="T65" s="910">
        <f t="shared" ref="T65:AE65" si="102">ROUND((IF(RIGHT(T4)="1",5200)+IF(OR(RIGHT(T4)="2",RIGHT(T4)="3"),7900))*T6/12*T10*T3,2)</f>
        <v>0</v>
      </c>
      <c r="U65" s="105">
        <f t="shared" si="102"/>
        <v>0</v>
      </c>
      <c r="V65" s="105">
        <f t="shared" si="102"/>
        <v>0</v>
      </c>
      <c r="W65" s="105">
        <f t="shared" si="102"/>
        <v>0</v>
      </c>
      <c r="X65" s="105">
        <f t="shared" si="102"/>
        <v>0</v>
      </c>
      <c r="Y65" s="105">
        <f t="shared" si="102"/>
        <v>0</v>
      </c>
      <c r="Z65" s="105">
        <f t="shared" si="102"/>
        <v>0</v>
      </c>
      <c r="AA65" s="105">
        <f t="shared" si="102"/>
        <v>0</v>
      </c>
      <c r="AB65" s="105">
        <f t="shared" si="102"/>
        <v>0</v>
      </c>
      <c r="AC65" s="105">
        <f t="shared" si="102"/>
        <v>0</v>
      </c>
      <c r="AD65" s="105">
        <f t="shared" si="102"/>
        <v>0</v>
      </c>
      <c r="AE65" s="105">
        <f t="shared" si="102"/>
        <v>0</v>
      </c>
      <c r="AF65" s="106">
        <f t="shared" si="73"/>
        <v>0</v>
      </c>
      <c r="AG65" s="689" t="str">
        <f t="shared" si="77"/>
        <v>OK08-tillæg</v>
      </c>
      <c r="AH65" s="697">
        <v>60</v>
      </c>
      <c r="AI65" s="690"/>
      <c r="AJ65" s="690"/>
      <c r="AK65" s="690"/>
      <c r="AL65" s="697">
        <v>13</v>
      </c>
    </row>
    <row r="66" spans="1:38">
      <c r="A66" s="379"/>
      <c r="B66" s="22">
        <f t="shared" si="78"/>
        <v>63</v>
      </c>
      <c r="C66" s="641">
        <v>1</v>
      </c>
      <c r="D66" s="1">
        <v>1</v>
      </c>
      <c r="E66" s="1">
        <v>1</v>
      </c>
      <c r="F66" s="155" t="s">
        <v>348</v>
      </c>
      <c r="G66" s="105">
        <f>IF(G8="Ja",0,ROUND(2800*G$6*G$10*G3/12,2))</f>
        <v>0</v>
      </c>
      <c r="H66" s="105">
        <f>IF(H8="Ja",0,ROUND(2800*H$6*H$10*H3/12,2))</f>
        <v>0</v>
      </c>
      <c r="I66" s="105">
        <f t="shared" ref="I66:R66" si="103">IF(I8="Ja",0,ROUND(2800*I$6*I$10*I3/12,2))</f>
        <v>0</v>
      </c>
      <c r="J66" s="105">
        <f t="shared" si="103"/>
        <v>0</v>
      </c>
      <c r="K66" s="105">
        <f t="shared" si="103"/>
        <v>0</v>
      </c>
      <c r="L66" s="105">
        <f t="shared" si="103"/>
        <v>0</v>
      </c>
      <c r="M66" s="105">
        <f t="shared" si="103"/>
        <v>0</v>
      </c>
      <c r="N66" s="105">
        <f t="shared" si="103"/>
        <v>0</v>
      </c>
      <c r="O66" s="105">
        <f t="shared" si="103"/>
        <v>0</v>
      </c>
      <c r="P66" s="105">
        <f t="shared" si="103"/>
        <v>0</v>
      </c>
      <c r="Q66" s="105">
        <f t="shared" si="103"/>
        <v>0</v>
      </c>
      <c r="R66" s="105">
        <f t="shared" si="103"/>
        <v>0</v>
      </c>
      <c r="S66" s="105"/>
      <c r="T66" s="910">
        <f t="shared" ref="T66:AE66" si="104">ROUND(2800*T$6*T$10*T3/12,2)</f>
        <v>0</v>
      </c>
      <c r="U66" s="105">
        <f t="shared" si="104"/>
        <v>0</v>
      </c>
      <c r="V66" s="105">
        <f t="shared" si="104"/>
        <v>0</v>
      </c>
      <c r="W66" s="105">
        <f t="shared" si="104"/>
        <v>0</v>
      </c>
      <c r="X66" s="105">
        <f t="shared" si="104"/>
        <v>0</v>
      </c>
      <c r="Y66" s="105">
        <f t="shared" si="104"/>
        <v>0</v>
      </c>
      <c r="Z66" s="105">
        <f t="shared" si="104"/>
        <v>0</v>
      </c>
      <c r="AA66" s="105">
        <f t="shared" si="104"/>
        <v>0</v>
      </c>
      <c r="AB66" s="105">
        <f t="shared" si="104"/>
        <v>0</v>
      </c>
      <c r="AC66" s="105">
        <f t="shared" si="104"/>
        <v>0</v>
      </c>
      <c r="AD66" s="105">
        <f t="shared" si="104"/>
        <v>0</v>
      </c>
      <c r="AE66" s="105">
        <f t="shared" si="104"/>
        <v>0</v>
      </c>
      <c r="AF66" s="106">
        <f t="shared" si="73"/>
        <v>0</v>
      </c>
      <c r="AG66" s="689" t="str">
        <f t="shared" si="77"/>
        <v>OK13-tillæg</v>
      </c>
      <c r="AH66" s="697">
        <v>61</v>
      </c>
      <c r="AI66" s="690" t="s">
        <v>557</v>
      </c>
      <c r="AJ66" s="690" t="s">
        <v>557</v>
      </c>
      <c r="AK66" s="690" t="s">
        <v>557</v>
      </c>
      <c r="AL66" s="697">
        <v>14</v>
      </c>
    </row>
    <row r="67" spans="1:38">
      <c r="A67" s="379"/>
      <c r="B67" s="22">
        <f t="shared" si="78"/>
        <v>64</v>
      </c>
      <c r="C67" s="641">
        <v>1</v>
      </c>
      <c r="D67" s="641">
        <v>1</v>
      </c>
      <c r="E67" s="641">
        <v>1</v>
      </c>
      <c r="F67" s="155" t="s">
        <v>711</v>
      </c>
      <c r="G67" s="1163">
        <f t="shared" ref="G67:N67" si="105">IF(G8="Ja",0,ROUND(4100*G$6*G$10*G3/12,2))</f>
        <v>0</v>
      </c>
      <c r="H67" s="1163">
        <f t="shared" si="105"/>
        <v>0</v>
      </c>
      <c r="I67" s="1163">
        <f t="shared" si="105"/>
        <v>0</v>
      </c>
      <c r="J67" s="1163">
        <f t="shared" si="105"/>
        <v>0</v>
      </c>
      <c r="K67" s="1163">
        <f t="shared" si="105"/>
        <v>0</v>
      </c>
      <c r="L67" s="1163">
        <f t="shared" si="105"/>
        <v>0</v>
      </c>
      <c r="M67" s="1163">
        <f t="shared" si="105"/>
        <v>0</v>
      </c>
      <c r="N67" s="1163">
        <f t="shared" si="105"/>
        <v>0</v>
      </c>
      <c r="O67" s="1163">
        <f>IF(O8="Ja",0,ROUND(4100*O$6*O$10*O3/12,2))</f>
        <v>0</v>
      </c>
      <c r="P67" s="105">
        <f t="shared" ref="P67:Q67" si="106">IF(P8="Ja",0,ROUND(4100*P$6*P$10*P3/12,2))</f>
        <v>0</v>
      </c>
      <c r="Q67" s="105">
        <f t="shared" si="106"/>
        <v>0</v>
      </c>
      <c r="R67" s="105">
        <f>IF(R8="Ja",0,ROUND(4100*R$6*R$10*R3/12,2))</f>
        <v>0</v>
      </c>
      <c r="S67" s="105"/>
      <c r="T67" s="910">
        <f>ROUND(4100*T$6*T$10*T3/12,2)</f>
        <v>0</v>
      </c>
      <c r="U67" s="910">
        <f t="shared" ref="U67:AE67" si="107">ROUND(4100*U$6*U$10*U3/12,2)</f>
        <v>0</v>
      </c>
      <c r="V67" s="910">
        <f t="shared" si="107"/>
        <v>0</v>
      </c>
      <c r="W67" s="910">
        <f t="shared" si="107"/>
        <v>0</v>
      </c>
      <c r="X67" s="910">
        <f t="shared" si="107"/>
        <v>0</v>
      </c>
      <c r="Y67" s="910">
        <f t="shared" si="107"/>
        <v>0</v>
      </c>
      <c r="Z67" s="910">
        <f t="shared" si="107"/>
        <v>0</v>
      </c>
      <c r="AA67" s="910">
        <f t="shared" si="107"/>
        <v>0</v>
      </c>
      <c r="AB67" s="910">
        <f t="shared" si="107"/>
        <v>0</v>
      </c>
      <c r="AC67" s="910">
        <f t="shared" si="107"/>
        <v>0</v>
      </c>
      <c r="AD67" s="910">
        <f t="shared" si="107"/>
        <v>0</v>
      </c>
      <c r="AE67" s="910">
        <f t="shared" si="107"/>
        <v>0</v>
      </c>
      <c r="AF67" s="106">
        <f t="shared" si="73"/>
        <v>0</v>
      </c>
      <c r="AG67" s="689" t="str">
        <f t="shared" si="77"/>
        <v>OK24-tillæg</v>
      </c>
      <c r="AH67" s="697">
        <v>62</v>
      </c>
      <c r="AI67" s="690" t="s">
        <v>557</v>
      </c>
      <c r="AJ67" s="690" t="s">
        <v>557</v>
      </c>
      <c r="AK67" s="690" t="s">
        <v>557</v>
      </c>
      <c r="AL67" s="697">
        <v>15</v>
      </c>
    </row>
    <row r="68" spans="1:38">
      <c r="A68" s="379"/>
      <c r="B68" s="22">
        <f t="shared" si="78"/>
        <v>65</v>
      </c>
      <c r="C68" s="642">
        <f>(C23&lt;&gt;"")*1</f>
        <v>1</v>
      </c>
      <c r="D68" s="642">
        <f>(D23&lt;&gt;"")*1</f>
        <v>0</v>
      </c>
      <c r="E68" s="642">
        <f>(E23&lt;&gt;"")*1</f>
        <v>0</v>
      </c>
      <c r="F68" s="155" t="s">
        <v>159</v>
      </c>
      <c r="G68" s="105">
        <f>IF(G8="Ja",0,G$23*IF($D68&gt;0,G$10,1)*IF($E68&gt;0,G$6,1)*$G3)</f>
        <v>0</v>
      </c>
      <c r="H68" s="105">
        <f>IF(H8="Ja",0,H$23*IF($D68&gt;0,H$10,1)*IF($E68&gt;0,H$6,1)*$G3)</f>
        <v>0</v>
      </c>
      <c r="I68" s="105">
        <f t="shared" ref="I68:R68" si="108">IF(I8="Ja",0,I$23*IF($D68&gt;0,I$10,1)*IF($E68&gt;0,I$6,1)*$G3)</f>
        <v>0</v>
      </c>
      <c r="J68" s="105">
        <f t="shared" si="108"/>
        <v>0</v>
      </c>
      <c r="K68" s="105">
        <f t="shared" si="108"/>
        <v>0</v>
      </c>
      <c r="L68" s="105">
        <f t="shared" si="108"/>
        <v>0</v>
      </c>
      <c r="M68" s="105">
        <f t="shared" si="108"/>
        <v>0</v>
      </c>
      <c r="N68" s="105">
        <f t="shared" si="108"/>
        <v>0</v>
      </c>
      <c r="O68" s="105">
        <f t="shared" si="108"/>
        <v>0</v>
      </c>
      <c r="P68" s="105">
        <f t="shared" si="108"/>
        <v>0</v>
      </c>
      <c r="Q68" s="105">
        <f t="shared" si="108"/>
        <v>0</v>
      </c>
      <c r="R68" s="105">
        <f t="shared" si="108"/>
        <v>0</v>
      </c>
      <c r="S68" s="105"/>
      <c r="T68" s="910">
        <f>T$23*IF($D68&gt;0,T$10,1)*IF($E68&gt;0,T$6,1)*$G3</f>
        <v>0</v>
      </c>
      <c r="U68" s="105">
        <f t="shared" ref="U68:AE68" si="109">U23*IF($D68&gt;0,U$10,1)*IF($E68&gt;0,U$6,1)*U3</f>
        <v>0</v>
      </c>
      <c r="V68" s="105">
        <f t="shared" si="109"/>
        <v>0</v>
      </c>
      <c r="W68" s="105">
        <f t="shared" si="109"/>
        <v>0</v>
      </c>
      <c r="X68" s="105">
        <f t="shared" si="109"/>
        <v>0</v>
      </c>
      <c r="Y68" s="105">
        <f t="shared" si="109"/>
        <v>0</v>
      </c>
      <c r="Z68" s="105">
        <f t="shared" si="109"/>
        <v>0</v>
      </c>
      <c r="AA68" s="105">
        <f t="shared" si="109"/>
        <v>0</v>
      </c>
      <c r="AB68" s="105">
        <f t="shared" si="109"/>
        <v>0</v>
      </c>
      <c r="AC68" s="105">
        <f t="shared" si="109"/>
        <v>0</v>
      </c>
      <c r="AD68" s="105">
        <f t="shared" si="109"/>
        <v>0</v>
      </c>
      <c r="AE68" s="105">
        <f t="shared" si="109"/>
        <v>0</v>
      </c>
      <c r="AF68" s="106">
        <f t="shared" si="73"/>
        <v>0</v>
      </c>
      <c r="AG68" s="689" t="str">
        <f t="shared" si="77"/>
        <v>Fast lokalaftalt godtgørelse</v>
      </c>
      <c r="AH68" s="697">
        <v>63</v>
      </c>
      <c r="AI68" s="690" t="s">
        <v>558</v>
      </c>
      <c r="AJ68" s="690"/>
      <c r="AK68" s="690" t="s">
        <v>558</v>
      </c>
      <c r="AL68" s="697">
        <v>16</v>
      </c>
    </row>
    <row r="69" spans="1:38">
      <c r="A69" s="379"/>
      <c r="B69" s="22">
        <f t="shared" si="78"/>
        <v>66</v>
      </c>
      <c r="C69" s="643"/>
      <c r="D69" s="644"/>
      <c r="E69" s="644"/>
      <c r="F69" s="155" t="s">
        <v>160</v>
      </c>
      <c r="G69" s="208">
        <f>IF(G8="Ja",0,IF(G10&gt;0,108.35*G3,0))</f>
        <v>0</v>
      </c>
      <c r="H69" s="208">
        <f>IF(H8="Ja",0,IF(H10&gt;0,108.35*H3,0))</f>
        <v>0</v>
      </c>
      <c r="I69" s="208">
        <f t="shared" ref="I69:R69" si="110">IF(I8="Ja",0,IF(I10&gt;0,108.35*I3,0))</f>
        <v>0</v>
      </c>
      <c r="J69" s="208">
        <f t="shared" si="110"/>
        <v>0</v>
      </c>
      <c r="K69" s="208">
        <f t="shared" si="110"/>
        <v>0</v>
      </c>
      <c r="L69" s="208">
        <f t="shared" si="110"/>
        <v>0</v>
      </c>
      <c r="M69" s="208">
        <f t="shared" si="110"/>
        <v>0</v>
      </c>
      <c r="N69" s="208">
        <f t="shared" si="110"/>
        <v>0</v>
      </c>
      <c r="O69" s="208">
        <f t="shared" si="110"/>
        <v>0</v>
      </c>
      <c r="P69" s="208">
        <f t="shared" si="110"/>
        <v>0</v>
      </c>
      <c r="Q69" s="208">
        <f t="shared" si="110"/>
        <v>0</v>
      </c>
      <c r="R69" s="208">
        <f t="shared" si="110"/>
        <v>0</v>
      </c>
      <c r="S69" s="208"/>
      <c r="T69" s="911">
        <f t="shared" ref="T69:AE69" si="111">IF(T10&gt;0,108.35*T3,0)</f>
        <v>0</v>
      </c>
      <c r="U69" s="208">
        <f t="shared" si="111"/>
        <v>0</v>
      </c>
      <c r="V69" s="208">
        <f t="shared" si="111"/>
        <v>0</v>
      </c>
      <c r="W69" s="208">
        <f t="shared" si="111"/>
        <v>0</v>
      </c>
      <c r="X69" s="208">
        <f t="shared" si="111"/>
        <v>0</v>
      </c>
      <c r="Y69" s="208">
        <f t="shared" si="111"/>
        <v>0</v>
      </c>
      <c r="Z69" s="208">
        <f t="shared" si="111"/>
        <v>0</v>
      </c>
      <c r="AA69" s="208">
        <f t="shared" si="111"/>
        <v>0</v>
      </c>
      <c r="AB69" s="208">
        <f t="shared" si="111"/>
        <v>0</v>
      </c>
      <c r="AC69" s="208">
        <f t="shared" si="111"/>
        <v>0</v>
      </c>
      <c r="AD69" s="208">
        <f t="shared" si="111"/>
        <v>0</v>
      </c>
      <c r="AE69" s="208">
        <f t="shared" si="111"/>
        <v>0</v>
      </c>
      <c r="AF69" s="106">
        <f t="shared" si="73"/>
        <v>0</v>
      </c>
      <c r="AG69" s="86"/>
      <c r="AH69" s="86"/>
      <c r="AI69" s="86"/>
      <c r="AJ69" s="86"/>
      <c r="AK69" s="86"/>
      <c r="AL69" s="86"/>
    </row>
    <row r="70" spans="1:38">
      <c r="A70" s="379"/>
      <c r="B70" s="22">
        <f t="shared" si="78"/>
        <v>67</v>
      </c>
      <c r="C70" s="643"/>
      <c r="D70" s="644"/>
      <c r="E70" s="644"/>
      <c r="F70" s="155" t="s">
        <v>549</v>
      </c>
      <c r="G70" s="208">
        <f>-(MAX(0,MIN(G$24,G$25*1))+G$28)*4.62%*(SUM(G$53:G$69)+G88-G$54-G$65-G$69-G68*($C$68=0))</f>
        <v>0</v>
      </c>
      <c r="H70" s="208">
        <f t="shared" ref="H70:R70" si="112">-(MAX(0,MIN(H$24,H$25*1))+H$28)*4.62%*(SUM(H$53:H$69)+H88-H$54-H$65-H$69-H68*($C$68=0))</f>
        <v>0</v>
      </c>
      <c r="I70" s="208">
        <f t="shared" si="112"/>
        <v>0</v>
      </c>
      <c r="J70" s="208">
        <f t="shared" si="112"/>
        <v>0</v>
      </c>
      <c r="K70" s="208">
        <f t="shared" si="112"/>
        <v>0</v>
      </c>
      <c r="L70" s="208">
        <f t="shared" si="112"/>
        <v>0</v>
      </c>
      <c r="M70" s="208">
        <f t="shared" si="112"/>
        <v>0</v>
      </c>
      <c r="N70" s="208">
        <f t="shared" si="112"/>
        <v>0</v>
      </c>
      <c r="O70" s="208">
        <f t="shared" si="112"/>
        <v>0</v>
      </c>
      <c r="P70" s="208">
        <f t="shared" si="112"/>
        <v>0</v>
      </c>
      <c r="Q70" s="208">
        <f t="shared" si="112"/>
        <v>0</v>
      </c>
      <c r="R70" s="208">
        <f t="shared" si="112"/>
        <v>0</v>
      </c>
      <c r="S70" s="208"/>
      <c r="T70" s="911">
        <f t="shared" ref="T70:AE70" si="113">-(MAX(0,MIN(T$24,T$25*1))+T$28)*4.62%*(SUM(T$53:T$69)-T$54-T$65-T$69-T68*($C$68=0))</f>
        <v>0</v>
      </c>
      <c r="U70" s="208">
        <f t="shared" si="113"/>
        <v>0</v>
      </c>
      <c r="V70" s="208">
        <f t="shared" si="113"/>
        <v>0</v>
      </c>
      <c r="W70" s="208">
        <f t="shared" si="113"/>
        <v>0</v>
      </c>
      <c r="X70" s="208">
        <f t="shared" si="113"/>
        <v>0</v>
      </c>
      <c r="Y70" s="208">
        <f t="shared" si="113"/>
        <v>0</v>
      </c>
      <c r="Z70" s="208">
        <f t="shared" si="113"/>
        <v>0</v>
      </c>
      <c r="AA70" s="208">
        <f t="shared" si="113"/>
        <v>0</v>
      </c>
      <c r="AB70" s="208">
        <f t="shared" si="113"/>
        <v>0</v>
      </c>
      <c r="AC70" s="208">
        <f t="shared" si="113"/>
        <v>0</v>
      </c>
      <c r="AD70" s="208">
        <f t="shared" si="113"/>
        <v>0</v>
      </c>
      <c r="AE70" s="208">
        <f t="shared" si="113"/>
        <v>0</v>
      </c>
      <c r="AF70" s="106">
        <f t="shared" si="73"/>
        <v>0</v>
      </c>
      <c r="AG70" s="86">
        <f>-10*4.62%*(R53+R55+R66+R68)</f>
        <v>0</v>
      </c>
      <c r="AH70" s="86"/>
      <c r="AI70" s="86"/>
      <c r="AJ70" s="86"/>
      <c r="AK70" s="86"/>
      <c r="AL70" s="86"/>
    </row>
    <row r="71" spans="1:38">
      <c r="A71" s="379"/>
      <c r="B71" s="22">
        <f t="shared" si="78"/>
        <v>68</v>
      </c>
      <c r="C71" s="643"/>
      <c r="D71" s="644"/>
      <c r="E71" s="644"/>
      <c r="F71" s="155" t="s">
        <v>550</v>
      </c>
      <c r="G71" s="208">
        <f>-(MAX(0,MIN(G$24,G$25*1))+G$28)*4.62%*SUM(G54+G65+G68*($C68&lt;&gt;1))</f>
        <v>0</v>
      </c>
      <c r="H71" s="208">
        <f>-(MAX(0,MIN(H$24,H$25*1))+H$28)*4.62%*SUM(H54+H65+H68*($C68&lt;&gt;1))</f>
        <v>0</v>
      </c>
      <c r="I71" s="208">
        <f t="shared" ref="I71:R71" si="114">-(MAX(0,MIN(I$24,I$25*1))+I$28)*4.62%*SUM(I54+I65+I68*($C68&lt;&gt;1))</f>
        <v>0</v>
      </c>
      <c r="J71" s="208">
        <f t="shared" si="114"/>
        <v>0</v>
      </c>
      <c r="K71" s="208">
        <f t="shared" si="114"/>
        <v>0</v>
      </c>
      <c r="L71" s="208">
        <f t="shared" si="114"/>
        <v>0</v>
      </c>
      <c r="M71" s="208">
        <f t="shared" si="114"/>
        <v>0</v>
      </c>
      <c r="N71" s="208">
        <f t="shared" si="114"/>
        <v>0</v>
      </c>
      <c r="O71" s="208">
        <f t="shared" si="114"/>
        <v>0</v>
      </c>
      <c r="P71" s="208">
        <f t="shared" si="114"/>
        <v>0</v>
      </c>
      <c r="Q71" s="208">
        <f t="shared" si="114"/>
        <v>0</v>
      </c>
      <c r="R71" s="208">
        <f t="shared" si="114"/>
        <v>0</v>
      </c>
      <c r="S71" s="208"/>
      <c r="T71" s="911">
        <f t="shared" ref="T71:AE71" si="115">-(MAX(0,MIN(T$24,T$25*1))+T$28)*4.62%*SUM(T54+T65+T68*($C68&lt;&gt;1)+T69)</f>
        <v>0</v>
      </c>
      <c r="U71" s="208">
        <f t="shared" si="115"/>
        <v>0</v>
      </c>
      <c r="V71" s="208">
        <f t="shared" si="115"/>
        <v>0</v>
      </c>
      <c r="W71" s="208">
        <f t="shared" si="115"/>
        <v>0</v>
      </c>
      <c r="X71" s="208">
        <f t="shared" si="115"/>
        <v>0</v>
      </c>
      <c r="Y71" s="208">
        <f t="shared" si="115"/>
        <v>0</v>
      </c>
      <c r="Z71" s="208">
        <f t="shared" si="115"/>
        <v>0</v>
      </c>
      <c r="AA71" s="208">
        <f t="shared" si="115"/>
        <v>0</v>
      </c>
      <c r="AB71" s="208">
        <f t="shared" si="115"/>
        <v>0</v>
      </c>
      <c r="AC71" s="208">
        <f t="shared" si="115"/>
        <v>0</v>
      </c>
      <c r="AD71" s="208">
        <f t="shared" si="115"/>
        <v>0</v>
      </c>
      <c r="AE71" s="208">
        <f t="shared" si="115"/>
        <v>0</v>
      </c>
      <c r="AF71" s="106">
        <f t="shared" si="73"/>
        <v>0</v>
      </c>
      <c r="AG71" s="86"/>
      <c r="AH71" s="86"/>
      <c r="AI71" s="86"/>
      <c r="AJ71" s="86"/>
      <c r="AK71" s="86"/>
      <c r="AL71" s="86"/>
    </row>
    <row r="72" spans="1:38">
      <c r="A72" s="379"/>
      <c r="B72" s="22">
        <f t="shared" si="78"/>
        <v>69</v>
      </c>
      <c r="C72" s="643"/>
      <c r="D72" s="644"/>
      <c r="E72" s="644"/>
      <c r="F72" s="693" t="s">
        <v>559</v>
      </c>
      <c r="G72" s="694">
        <f t="shared" ref="G72:AE72" si="116">G26</f>
        <v>0</v>
      </c>
      <c r="H72" s="694">
        <f t="shared" ref="H72" si="117">H26</f>
        <v>0</v>
      </c>
      <c r="I72" s="694">
        <f t="shared" si="116"/>
        <v>0</v>
      </c>
      <c r="J72" s="694">
        <f t="shared" si="116"/>
        <v>0</v>
      </c>
      <c r="K72" s="694">
        <f t="shared" si="116"/>
        <v>0</v>
      </c>
      <c r="L72" s="694">
        <f t="shared" si="116"/>
        <v>0</v>
      </c>
      <c r="M72" s="694">
        <f t="shared" si="116"/>
        <v>0</v>
      </c>
      <c r="N72" s="694">
        <f t="shared" si="116"/>
        <v>0</v>
      </c>
      <c r="O72" s="694">
        <f t="shared" si="116"/>
        <v>0</v>
      </c>
      <c r="P72" s="694">
        <f t="shared" si="116"/>
        <v>0</v>
      </c>
      <c r="Q72" s="694">
        <f t="shared" si="116"/>
        <v>0</v>
      </c>
      <c r="R72" s="694">
        <f t="shared" si="116"/>
        <v>0</v>
      </c>
      <c r="S72" s="694"/>
      <c r="T72" s="911">
        <f t="shared" si="116"/>
        <v>0</v>
      </c>
      <c r="U72" s="694">
        <f t="shared" si="116"/>
        <v>0</v>
      </c>
      <c r="V72" s="694">
        <f t="shared" si="116"/>
        <v>0</v>
      </c>
      <c r="W72" s="694">
        <f t="shared" si="116"/>
        <v>0</v>
      </c>
      <c r="X72" s="694">
        <f t="shared" si="116"/>
        <v>0</v>
      </c>
      <c r="Y72" s="694">
        <f t="shared" si="116"/>
        <v>0</v>
      </c>
      <c r="Z72" s="694">
        <f t="shared" si="116"/>
        <v>0</v>
      </c>
      <c r="AA72" s="694">
        <f t="shared" si="116"/>
        <v>0</v>
      </c>
      <c r="AB72" s="694">
        <f t="shared" si="116"/>
        <v>0</v>
      </c>
      <c r="AC72" s="694">
        <f t="shared" si="116"/>
        <v>0</v>
      </c>
      <c r="AD72" s="694">
        <f t="shared" si="116"/>
        <v>0</v>
      </c>
      <c r="AE72" s="694">
        <f t="shared" si="116"/>
        <v>0</v>
      </c>
      <c r="AF72" s="106">
        <f t="shared" si="73"/>
        <v>0</v>
      </c>
      <c r="AG72" s="86"/>
      <c r="AH72" s="86"/>
      <c r="AI72" s="86"/>
      <c r="AJ72" s="86"/>
      <c r="AK72" s="86"/>
      <c r="AL72" s="86"/>
    </row>
    <row r="73" spans="1:38">
      <c r="A73" s="379"/>
      <c r="B73" s="22">
        <f t="shared" si="78"/>
        <v>70</v>
      </c>
      <c r="C73" s="643"/>
      <c r="D73" s="644"/>
      <c r="E73" s="644"/>
      <c r="F73" s="693" t="s">
        <v>560</v>
      </c>
      <c r="G73" s="694">
        <f t="shared" ref="G73:AE73" si="118">G27</f>
        <v>0</v>
      </c>
      <c r="H73" s="694">
        <f t="shared" ref="H73" si="119">H27</f>
        <v>0</v>
      </c>
      <c r="I73" s="694">
        <f t="shared" si="118"/>
        <v>0</v>
      </c>
      <c r="J73" s="694">
        <f t="shared" si="118"/>
        <v>0</v>
      </c>
      <c r="K73" s="694">
        <f t="shared" si="118"/>
        <v>0</v>
      </c>
      <c r="L73" s="694">
        <f t="shared" si="118"/>
        <v>0</v>
      </c>
      <c r="M73" s="694">
        <f t="shared" si="118"/>
        <v>0</v>
      </c>
      <c r="N73" s="694">
        <f t="shared" si="118"/>
        <v>0</v>
      </c>
      <c r="O73" s="694">
        <f t="shared" si="118"/>
        <v>0</v>
      </c>
      <c r="P73" s="694">
        <f t="shared" si="118"/>
        <v>0</v>
      </c>
      <c r="Q73" s="694">
        <f t="shared" si="118"/>
        <v>0</v>
      </c>
      <c r="R73" s="694">
        <f t="shared" si="118"/>
        <v>0</v>
      </c>
      <c r="S73" s="694"/>
      <c r="T73" s="911">
        <f t="shared" si="118"/>
        <v>0</v>
      </c>
      <c r="U73" s="694">
        <f t="shared" si="118"/>
        <v>0</v>
      </c>
      <c r="V73" s="694">
        <f t="shared" si="118"/>
        <v>0</v>
      </c>
      <c r="W73" s="694">
        <f t="shared" si="118"/>
        <v>0</v>
      </c>
      <c r="X73" s="694">
        <f t="shared" si="118"/>
        <v>0</v>
      </c>
      <c r="Y73" s="694">
        <f t="shared" si="118"/>
        <v>0</v>
      </c>
      <c r="Z73" s="694">
        <f t="shared" si="118"/>
        <v>0</v>
      </c>
      <c r="AA73" s="694">
        <f t="shared" si="118"/>
        <v>0</v>
      </c>
      <c r="AB73" s="694">
        <f t="shared" si="118"/>
        <v>0</v>
      </c>
      <c r="AC73" s="694">
        <f t="shared" si="118"/>
        <v>0</v>
      </c>
      <c r="AD73" s="694">
        <f t="shared" si="118"/>
        <v>0</v>
      </c>
      <c r="AE73" s="694">
        <f t="shared" si="118"/>
        <v>0</v>
      </c>
      <c r="AF73" s="106">
        <f t="shared" si="73"/>
        <v>0</v>
      </c>
      <c r="AG73" s="86"/>
      <c r="AH73" s="86"/>
      <c r="AI73" s="86"/>
      <c r="AJ73" s="86"/>
      <c r="AK73" s="86"/>
      <c r="AL73" s="86"/>
    </row>
    <row r="74" spans="1:38">
      <c r="A74" s="379"/>
      <c r="B74" s="22">
        <f t="shared" si="78"/>
        <v>71</v>
      </c>
      <c r="C74" s="643"/>
      <c r="D74" s="644"/>
      <c r="E74" s="644"/>
      <c r="F74" s="155" t="s">
        <v>419</v>
      </c>
      <c r="G74" s="211">
        <f t="shared" ref="G74:K75" si="120">$D31*G31</f>
        <v>0</v>
      </c>
      <c r="H74" s="211">
        <f t="shared" ref="H74" si="121">$D31*H31</f>
        <v>0</v>
      </c>
      <c r="I74" s="211">
        <f t="shared" si="120"/>
        <v>0</v>
      </c>
      <c r="J74" s="211">
        <f t="shared" si="120"/>
        <v>0</v>
      </c>
      <c r="K74" s="211">
        <f t="shared" si="120"/>
        <v>0</v>
      </c>
      <c r="L74" s="645">
        <f t="shared" ref="L74:R75" si="122">$E31*L31</f>
        <v>0</v>
      </c>
      <c r="M74" s="645">
        <f t="shared" si="122"/>
        <v>0</v>
      </c>
      <c r="N74" s="645">
        <f t="shared" si="122"/>
        <v>0</v>
      </c>
      <c r="O74" s="645">
        <f t="shared" si="122"/>
        <v>0</v>
      </c>
      <c r="P74" s="645">
        <f t="shared" si="122"/>
        <v>0</v>
      </c>
      <c r="Q74" s="645">
        <f t="shared" si="122"/>
        <v>0</v>
      </c>
      <c r="R74" s="645">
        <f t="shared" si="122"/>
        <v>0</v>
      </c>
      <c r="S74" s="645"/>
      <c r="T74" s="912">
        <f t="shared" ref="T74:X75" si="123">$D31*T31</f>
        <v>0</v>
      </c>
      <c r="U74" s="211">
        <f t="shared" si="123"/>
        <v>0</v>
      </c>
      <c r="V74" s="211">
        <f t="shared" si="123"/>
        <v>0</v>
      </c>
      <c r="W74" s="211">
        <f t="shared" si="123"/>
        <v>0</v>
      </c>
      <c r="X74" s="211">
        <f t="shared" si="123"/>
        <v>0</v>
      </c>
      <c r="Y74" s="645">
        <f t="shared" ref="Y74:AE75" si="124">$E31*Y31</f>
        <v>0</v>
      </c>
      <c r="Z74" s="645">
        <f t="shared" si="124"/>
        <v>0</v>
      </c>
      <c r="AA74" s="645">
        <f t="shared" si="124"/>
        <v>0</v>
      </c>
      <c r="AB74" s="645">
        <f t="shared" si="124"/>
        <v>0</v>
      </c>
      <c r="AC74" s="645">
        <f t="shared" si="124"/>
        <v>0</v>
      </c>
      <c r="AD74" s="645">
        <f t="shared" si="124"/>
        <v>0</v>
      </c>
      <c r="AE74" s="645">
        <f t="shared" si="124"/>
        <v>0</v>
      </c>
      <c r="AF74" s="106">
        <f t="shared" si="73"/>
        <v>0</v>
      </c>
      <c r="AG74" s="86"/>
      <c r="AH74" s="86"/>
      <c r="AI74" s="86"/>
      <c r="AJ74" s="86"/>
      <c r="AK74" s="86"/>
      <c r="AL74" s="86"/>
    </row>
    <row r="75" spans="1:38">
      <c r="A75" s="379"/>
      <c r="B75" s="22">
        <f t="shared" si="78"/>
        <v>72</v>
      </c>
      <c r="C75" s="643"/>
      <c r="D75" s="644"/>
      <c r="E75" s="644"/>
      <c r="F75" s="155" t="s">
        <v>420</v>
      </c>
      <c r="G75" s="211">
        <f t="shared" si="120"/>
        <v>0</v>
      </c>
      <c r="H75" s="211">
        <f t="shared" ref="H75" si="125">$D32*H32</f>
        <v>0</v>
      </c>
      <c r="I75" s="211">
        <f t="shared" si="120"/>
        <v>0</v>
      </c>
      <c r="J75" s="211">
        <f t="shared" si="120"/>
        <v>0</v>
      </c>
      <c r="K75" s="211">
        <f t="shared" si="120"/>
        <v>0</v>
      </c>
      <c r="L75" s="645">
        <f t="shared" si="122"/>
        <v>0</v>
      </c>
      <c r="M75" s="645">
        <f t="shared" si="122"/>
        <v>0</v>
      </c>
      <c r="N75" s="645">
        <f t="shared" si="122"/>
        <v>0</v>
      </c>
      <c r="O75" s="645">
        <f t="shared" si="122"/>
        <v>0</v>
      </c>
      <c r="P75" s="645">
        <f t="shared" si="122"/>
        <v>0</v>
      </c>
      <c r="Q75" s="645">
        <f t="shared" si="122"/>
        <v>0</v>
      </c>
      <c r="R75" s="645">
        <f t="shared" si="122"/>
        <v>0</v>
      </c>
      <c r="S75" s="645"/>
      <c r="T75" s="912">
        <f t="shared" si="123"/>
        <v>0</v>
      </c>
      <c r="U75" s="211">
        <f t="shared" si="123"/>
        <v>0</v>
      </c>
      <c r="V75" s="211">
        <f t="shared" si="123"/>
        <v>0</v>
      </c>
      <c r="W75" s="211">
        <f t="shared" si="123"/>
        <v>0</v>
      </c>
      <c r="X75" s="211">
        <f t="shared" si="123"/>
        <v>0</v>
      </c>
      <c r="Y75" s="645">
        <f t="shared" si="124"/>
        <v>0</v>
      </c>
      <c r="Z75" s="645">
        <f t="shared" si="124"/>
        <v>0</v>
      </c>
      <c r="AA75" s="645">
        <f t="shared" si="124"/>
        <v>0</v>
      </c>
      <c r="AB75" s="645">
        <f t="shared" si="124"/>
        <v>0</v>
      </c>
      <c r="AC75" s="645">
        <f t="shared" si="124"/>
        <v>0</v>
      </c>
      <c r="AD75" s="645">
        <f t="shared" si="124"/>
        <v>0</v>
      </c>
      <c r="AE75" s="645">
        <f t="shared" si="124"/>
        <v>0</v>
      </c>
      <c r="AF75" s="106">
        <f t="shared" si="73"/>
        <v>0</v>
      </c>
      <c r="AG75" s="86"/>
      <c r="AH75" s="86"/>
      <c r="AI75" s="86"/>
      <c r="AJ75" s="86"/>
      <c r="AK75" s="86"/>
      <c r="AL75" s="86"/>
    </row>
    <row r="76" spans="1:38">
      <c r="A76" s="379"/>
      <c r="B76" s="22">
        <f t="shared" si="78"/>
        <v>73</v>
      </c>
      <c r="C76" s="643"/>
      <c r="D76" s="644"/>
      <c r="E76" s="644"/>
      <c r="F76" s="156" t="s">
        <v>421</v>
      </c>
      <c r="G76" s="211">
        <f t="shared" ref="G76:AE76" si="126">G33</f>
        <v>0</v>
      </c>
      <c r="H76" s="211">
        <f t="shared" ref="H76" si="127">H33</f>
        <v>0</v>
      </c>
      <c r="I76" s="211">
        <f t="shared" si="126"/>
        <v>0</v>
      </c>
      <c r="J76" s="211">
        <f t="shared" si="126"/>
        <v>0</v>
      </c>
      <c r="K76" s="211">
        <f t="shared" si="126"/>
        <v>0</v>
      </c>
      <c r="L76" s="211">
        <f t="shared" si="126"/>
        <v>0</v>
      </c>
      <c r="M76" s="211">
        <f t="shared" si="126"/>
        <v>0</v>
      </c>
      <c r="N76" s="211">
        <f t="shared" si="126"/>
        <v>0</v>
      </c>
      <c r="O76" s="211">
        <f t="shared" si="126"/>
        <v>0</v>
      </c>
      <c r="P76" s="211">
        <f t="shared" si="126"/>
        <v>0</v>
      </c>
      <c r="Q76" s="211">
        <f t="shared" si="126"/>
        <v>0</v>
      </c>
      <c r="R76" s="211">
        <f t="shared" si="126"/>
        <v>0</v>
      </c>
      <c r="S76" s="211"/>
      <c r="T76" s="912">
        <f t="shared" si="126"/>
        <v>0</v>
      </c>
      <c r="U76" s="211">
        <f t="shared" si="126"/>
        <v>0</v>
      </c>
      <c r="V76" s="211">
        <f t="shared" si="126"/>
        <v>0</v>
      </c>
      <c r="W76" s="211">
        <f t="shared" si="126"/>
        <v>0</v>
      </c>
      <c r="X76" s="211">
        <f t="shared" si="126"/>
        <v>0</v>
      </c>
      <c r="Y76" s="211">
        <f t="shared" si="126"/>
        <v>0</v>
      </c>
      <c r="Z76" s="211">
        <f t="shared" si="126"/>
        <v>0</v>
      </c>
      <c r="AA76" s="211">
        <f t="shared" si="126"/>
        <v>0</v>
      </c>
      <c r="AB76" s="211">
        <f t="shared" si="126"/>
        <v>0</v>
      </c>
      <c r="AC76" s="211">
        <f t="shared" si="126"/>
        <v>0</v>
      </c>
      <c r="AD76" s="211">
        <f t="shared" si="126"/>
        <v>0</v>
      </c>
      <c r="AE76" s="211">
        <f t="shared" si="126"/>
        <v>0</v>
      </c>
      <c r="AF76" s="106">
        <f t="shared" si="73"/>
        <v>0</v>
      </c>
      <c r="AG76" s="86"/>
      <c r="AH76" s="86"/>
      <c r="AI76" s="86"/>
      <c r="AJ76" s="86"/>
      <c r="AK76" s="86"/>
      <c r="AL76" s="86"/>
    </row>
    <row r="77" spans="1:38">
      <c r="A77" s="379"/>
      <c r="B77" s="22">
        <f t="shared" si="78"/>
        <v>74</v>
      </c>
      <c r="C77" s="643"/>
      <c r="D77" s="644"/>
      <c r="E77" s="644"/>
      <c r="F77" s="156" t="s">
        <v>422</v>
      </c>
      <c r="G77" s="211">
        <f t="shared" ref="G77:AE77" si="128">MIN(8000,G34*G6)</f>
        <v>0</v>
      </c>
      <c r="H77" s="211">
        <f t="shared" ref="H77" si="129">MIN(8000,H34*H6)</f>
        <v>0</v>
      </c>
      <c r="I77" s="211">
        <f t="shared" si="128"/>
        <v>0</v>
      </c>
      <c r="J77" s="211">
        <f t="shared" si="128"/>
        <v>0</v>
      </c>
      <c r="K77" s="211">
        <f t="shared" si="128"/>
        <v>0</v>
      </c>
      <c r="L77" s="211">
        <f t="shared" si="128"/>
        <v>0</v>
      </c>
      <c r="M77" s="211">
        <f t="shared" si="128"/>
        <v>0</v>
      </c>
      <c r="N77" s="211">
        <f t="shared" si="128"/>
        <v>0</v>
      </c>
      <c r="O77" s="211">
        <f t="shared" si="128"/>
        <v>0</v>
      </c>
      <c r="P77" s="211">
        <f t="shared" si="128"/>
        <v>0</v>
      </c>
      <c r="Q77" s="211">
        <f t="shared" si="128"/>
        <v>0</v>
      </c>
      <c r="R77" s="211">
        <f t="shared" si="128"/>
        <v>0</v>
      </c>
      <c r="S77" s="211"/>
      <c r="T77" s="912">
        <f t="shared" si="128"/>
        <v>0</v>
      </c>
      <c r="U77" s="211">
        <f t="shared" si="128"/>
        <v>0</v>
      </c>
      <c r="V77" s="211">
        <f t="shared" si="128"/>
        <v>0</v>
      </c>
      <c r="W77" s="211">
        <f t="shared" si="128"/>
        <v>0</v>
      </c>
      <c r="X77" s="211">
        <f t="shared" si="128"/>
        <v>0</v>
      </c>
      <c r="Y77" s="211">
        <f t="shared" si="128"/>
        <v>0</v>
      </c>
      <c r="Z77" s="211">
        <f t="shared" si="128"/>
        <v>0</v>
      </c>
      <c r="AA77" s="211">
        <f t="shared" si="128"/>
        <v>0</v>
      </c>
      <c r="AB77" s="211">
        <f t="shared" si="128"/>
        <v>0</v>
      </c>
      <c r="AC77" s="211">
        <f t="shared" si="128"/>
        <v>0</v>
      </c>
      <c r="AD77" s="211">
        <f t="shared" si="128"/>
        <v>0</v>
      </c>
      <c r="AE77" s="211">
        <f t="shared" si="128"/>
        <v>0</v>
      </c>
      <c r="AF77" s="106">
        <f t="shared" si="73"/>
        <v>0</v>
      </c>
      <c r="AG77" s="86"/>
      <c r="AH77" s="86"/>
      <c r="AI77" s="86"/>
      <c r="AJ77" s="86"/>
      <c r="AK77" s="86"/>
      <c r="AL77" s="86"/>
    </row>
    <row r="78" spans="1:38">
      <c r="A78" s="379"/>
      <c r="B78" s="22">
        <f t="shared" si="78"/>
        <v>75</v>
      </c>
      <c r="C78" s="643"/>
      <c r="D78" s="644"/>
      <c r="E78" s="644"/>
      <c r="F78" s="156" t="s">
        <v>637</v>
      </c>
      <c r="G78" s="211">
        <f t="shared" ref="G78:AE78" si="130">IF(G36&gt;0,163.64*G6*G36,0)</f>
        <v>0</v>
      </c>
      <c r="H78" s="211">
        <f t="shared" ref="H78" si="131">IF(H36&gt;0,163.64*H6*H36,0)</f>
        <v>0</v>
      </c>
      <c r="I78" s="211">
        <f t="shared" si="130"/>
        <v>0</v>
      </c>
      <c r="J78" s="211">
        <f t="shared" si="130"/>
        <v>0</v>
      </c>
      <c r="K78" s="211">
        <f t="shared" si="130"/>
        <v>0</v>
      </c>
      <c r="L78" s="211">
        <f t="shared" si="130"/>
        <v>0</v>
      </c>
      <c r="M78" s="211">
        <f t="shared" si="130"/>
        <v>0</v>
      </c>
      <c r="N78" s="211">
        <f t="shared" si="130"/>
        <v>0</v>
      </c>
      <c r="O78" s="211">
        <f t="shared" si="130"/>
        <v>0</v>
      </c>
      <c r="P78" s="211">
        <f t="shared" si="130"/>
        <v>0</v>
      </c>
      <c r="Q78" s="211">
        <f t="shared" si="130"/>
        <v>0</v>
      </c>
      <c r="R78" s="211">
        <f t="shared" si="130"/>
        <v>0</v>
      </c>
      <c r="S78" s="211"/>
      <c r="T78" s="912">
        <f t="shared" si="130"/>
        <v>0</v>
      </c>
      <c r="U78" s="211">
        <f t="shared" si="130"/>
        <v>0</v>
      </c>
      <c r="V78" s="211">
        <f t="shared" si="130"/>
        <v>0</v>
      </c>
      <c r="W78" s="211">
        <f t="shared" si="130"/>
        <v>0</v>
      </c>
      <c r="X78" s="211">
        <f t="shared" si="130"/>
        <v>0</v>
      </c>
      <c r="Y78" s="211">
        <f t="shared" si="130"/>
        <v>0</v>
      </c>
      <c r="Z78" s="211">
        <f t="shared" si="130"/>
        <v>0</v>
      </c>
      <c r="AA78" s="211">
        <f t="shared" si="130"/>
        <v>0</v>
      </c>
      <c r="AB78" s="211">
        <f t="shared" si="130"/>
        <v>0</v>
      </c>
      <c r="AC78" s="211">
        <f t="shared" si="130"/>
        <v>0</v>
      </c>
      <c r="AD78" s="211">
        <f t="shared" si="130"/>
        <v>0</v>
      </c>
      <c r="AE78" s="211">
        <f t="shared" si="130"/>
        <v>0</v>
      </c>
      <c r="AF78" s="106"/>
      <c r="AG78" s="86"/>
      <c r="AH78" s="86"/>
      <c r="AI78" s="86"/>
      <c r="AJ78" s="86"/>
      <c r="AK78" s="86"/>
      <c r="AL78" s="86"/>
    </row>
    <row r="79" spans="1:38">
      <c r="A79" s="379"/>
      <c r="B79" s="22">
        <f t="shared" si="78"/>
        <v>76</v>
      </c>
      <c r="C79" s="643"/>
      <c r="D79" s="644"/>
      <c r="E79" s="644"/>
      <c r="F79" s="156" t="s">
        <v>639</v>
      </c>
      <c r="G79" s="211">
        <f t="shared" ref="G79:AE79" si="132">IF(G37&gt;0,372.2*G6*G37,0)</f>
        <v>0</v>
      </c>
      <c r="H79" s="211">
        <f t="shared" ref="H79" si="133">IF(H37&gt;0,372.2*H6*H37,0)</f>
        <v>0</v>
      </c>
      <c r="I79" s="211">
        <f t="shared" si="132"/>
        <v>0</v>
      </c>
      <c r="J79" s="211">
        <f t="shared" si="132"/>
        <v>0</v>
      </c>
      <c r="K79" s="211">
        <f t="shared" si="132"/>
        <v>0</v>
      </c>
      <c r="L79" s="211">
        <f t="shared" si="132"/>
        <v>0</v>
      </c>
      <c r="M79" s="211">
        <f t="shared" si="132"/>
        <v>0</v>
      </c>
      <c r="N79" s="211">
        <f t="shared" si="132"/>
        <v>0</v>
      </c>
      <c r="O79" s="211">
        <f t="shared" si="132"/>
        <v>0</v>
      </c>
      <c r="P79" s="211">
        <f t="shared" si="132"/>
        <v>0</v>
      </c>
      <c r="Q79" s="211">
        <f t="shared" si="132"/>
        <v>0</v>
      </c>
      <c r="R79" s="211">
        <f t="shared" si="132"/>
        <v>0</v>
      </c>
      <c r="S79" s="211"/>
      <c r="T79" s="912">
        <f t="shared" si="132"/>
        <v>0</v>
      </c>
      <c r="U79" s="211">
        <f t="shared" si="132"/>
        <v>0</v>
      </c>
      <c r="V79" s="211">
        <f t="shared" si="132"/>
        <v>0</v>
      </c>
      <c r="W79" s="211">
        <f t="shared" si="132"/>
        <v>0</v>
      </c>
      <c r="X79" s="211">
        <f t="shared" si="132"/>
        <v>0</v>
      </c>
      <c r="Y79" s="211">
        <f t="shared" si="132"/>
        <v>0</v>
      </c>
      <c r="Z79" s="211">
        <f t="shared" si="132"/>
        <v>0</v>
      </c>
      <c r="AA79" s="211">
        <f t="shared" si="132"/>
        <v>0</v>
      </c>
      <c r="AB79" s="211">
        <f t="shared" si="132"/>
        <v>0</v>
      </c>
      <c r="AC79" s="211">
        <f t="shared" si="132"/>
        <v>0</v>
      </c>
      <c r="AD79" s="211">
        <f t="shared" si="132"/>
        <v>0</v>
      </c>
      <c r="AE79" s="211">
        <f t="shared" si="132"/>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134">IF(I35&gt;0,I35*(19*I$6),0)</f>
        <v>0</v>
      </c>
      <c r="J80" s="211">
        <f t="shared" si="134"/>
        <v>0</v>
      </c>
      <c r="K80" s="211">
        <f t="shared" si="134"/>
        <v>0</v>
      </c>
      <c r="L80" s="211">
        <f t="shared" si="134"/>
        <v>0</v>
      </c>
      <c r="M80" s="211">
        <f t="shared" si="134"/>
        <v>0</v>
      </c>
      <c r="N80" s="211">
        <f t="shared" si="134"/>
        <v>0</v>
      </c>
      <c r="O80" s="211">
        <f t="shared" si="134"/>
        <v>0</v>
      </c>
      <c r="P80" s="211">
        <f t="shared" si="134"/>
        <v>0</v>
      </c>
      <c r="Q80" s="211">
        <f t="shared" si="134"/>
        <v>0</v>
      </c>
      <c r="R80" s="211">
        <f t="shared" si="134"/>
        <v>0</v>
      </c>
      <c r="S80" s="211"/>
      <c r="T80" s="912">
        <f t="shared" ref="T80:AE80" si="135">ROUND(T35*ROUND(19*T$6,2),0)</f>
        <v>0</v>
      </c>
      <c r="U80" s="211">
        <f t="shared" si="135"/>
        <v>0</v>
      </c>
      <c r="V80" s="211">
        <f t="shared" si="135"/>
        <v>0</v>
      </c>
      <c r="W80" s="211">
        <f t="shared" si="135"/>
        <v>0</v>
      </c>
      <c r="X80" s="211">
        <f t="shared" si="135"/>
        <v>0</v>
      </c>
      <c r="Y80" s="211">
        <f t="shared" si="135"/>
        <v>0</v>
      </c>
      <c r="Z80" s="211">
        <f t="shared" si="135"/>
        <v>0</v>
      </c>
      <c r="AA80" s="211">
        <f t="shared" si="135"/>
        <v>0</v>
      </c>
      <c r="AB80" s="211">
        <f t="shared" si="135"/>
        <v>0</v>
      </c>
      <c r="AC80" s="211">
        <f t="shared" si="135"/>
        <v>0</v>
      </c>
      <c r="AD80" s="211">
        <f t="shared" si="135"/>
        <v>0</v>
      </c>
      <c r="AE80" s="211">
        <f t="shared" si="135"/>
        <v>0</v>
      </c>
      <c r="AF80" s="106">
        <f>SUM(G80:R80)</f>
        <v>0</v>
      </c>
      <c r="AG80" s="86"/>
      <c r="AH80" s="86"/>
      <c r="AI80" s="86"/>
      <c r="AJ80" s="86"/>
      <c r="AK80" s="86"/>
      <c r="AL80" s="86"/>
    </row>
    <row r="81" spans="1:38">
      <c r="A81" s="379"/>
      <c r="B81" s="22">
        <f t="shared" si="78"/>
        <v>76</v>
      </c>
      <c r="C81" s="643"/>
      <c r="D81" s="644"/>
      <c r="E81" s="644"/>
      <c r="F81" s="156" t="s">
        <v>425</v>
      </c>
      <c r="G81" s="211">
        <f>IF(G38&gt;0,G38*G$163*25%,0)</f>
        <v>0</v>
      </c>
      <c r="H81" s="211">
        <f>IF(H38&gt;0,H38*H$163*25%,0)</f>
        <v>0</v>
      </c>
      <c r="I81" s="211">
        <f t="shared" ref="I81:AE81" si="136">IF(I38&gt;0,I38*I$163*25%,0)</f>
        <v>0</v>
      </c>
      <c r="J81" s="211">
        <f t="shared" si="136"/>
        <v>0</v>
      </c>
      <c r="K81" s="211">
        <f t="shared" si="136"/>
        <v>0</v>
      </c>
      <c r="L81" s="211">
        <f t="shared" si="136"/>
        <v>0</v>
      </c>
      <c r="M81" s="211">
        <f t="shared" si="136"/>
        <v>0</v>
      </c>
      <c r="N81" s="211">
        <f t="shared" si="136"/>
        <v>0</v>
      </c>
      <c r="O81" s="211">
        <f t="shared" si="136"/>
        <v>0</v>
      </c>
      <c r="P81" s="211">
        <f t="shared" si="136"/>
        <v>0</v>
      </c>
      <c r="Q81" s="211">
        <f t="shared" si="136"/>
        <v>0</v>
      </c>
      <c r="R81" s="211">
        <f t="shared" si="136"/>
        <v>0</v>
      </c>
      <c r="S81" s="211"/>
      <c r="T81" s="912">
        <f t="shared" si="136"/>
        <v>0</v>
      </c>
      <c r="U81" s="211">
        <f t="shared" si="136"/>
        <v>0</v>
      </c>
      <c r="V81" s="211">
        <f t="shared" si="136"/>
        <v>0</v>
      </c>
      <c r="W81" s="211">
        <f t="shared" si="136"/>
        <v>0</v>
      </c>
      <c r="X81" s="211">
        <f t="shared" si="136"/>
        <v>0</v>
      </c>
      <c r="Y81" s="211">
        <f t="shared" si="136"/>
        <v>0</v>
      </c>
      <c r="Z81" s="211">
        <f t="shared" si="136"/>
        <v>0</v>
      </c>
      <c r="AA81" s="211">
        <f t="shared" si="136"/>
        <v>0</v>
      </c>
      <c r="AB81" s="211">
        <f t="shared" si="136"/>
        <v>0</v>
      </c>
      <c r="AC81" s="211">
        <f t="shared" si="136"/>
        <v>0</v>
      </c>
      <c r="AD81" s="211">
        <f t="shared" si="136"/>
        <v>0</v>
      </c>
      <c r="AE81" s="211">
        <f t="shared" si="136"/>
        <v>0</v>
      </c>
      <c r="AF81" s="106">
        <f t="shared" si="73"/>
        <v>0</v>
      </c>
      <c r="AG81" s="86"/>
      <c r="AH81" s="86"/>
      <c r="AI81" s="86"/>
      <c r="AJ81" s="86"/>
      <c r="AK81" s="86"/>
      <c r="AL81" s="86"/>
    </row>
    <row r="82" spans="1:38">
      <c r="A82" s="379"/>
      <c r="B82" s="22">
        <f t="shared" si="78"/>
        <v>77</v>
      </c>
      <c r="C82" s="643"/>
      <c r="D82" s="644"/>
      <c r="E82" s="644"/>
      <c r="F82" s="156" t="s">
        <v>426</v>
      </c>
      <c r="G82" s="211">
        <f t="shared" ref="G82:AE82" si="137">IF(G39&gt;0,G39*G$163*50%,0)</f>
        <v>0</v>
      </c>
      <c r="H82" s="211">
        <f t="shared" ref="H82" si="138">IF(H39&gt;0,H39*H$163*50%,0)</f>
        <v>0</v>
      </c>
      <c r="I82" s="211">
        <f t="shared" si="137"/>
        <v>0</v>
      </c>
      <c r="J82" s="211">
        <f t="shared" si="137"/>
        <v>0</v>
      </c>
      <c r="K82" s="211">
        <f t="shared" si="137"/>
        <v>0</v>
      </c>
      <c r="L82" s="211">
        <f t="shared" si="137"/>
        <v>0</v>
      </c>
      <c r="M82" s="211">
        <f t="shared" si="137"/>
        <v>0</v>
      </c>
      <c r="N82" s="211">
        <f t="shared" si="137"/>
        <v>0</v>
      </c>
      <c r="O82" s="211">
        <f t="shared" si="137"/>
        <v>0</v>
      </c>
      <c r="P82" s="211">
        <f t="shared" si="137"/>
        <v>0</v>
      </c>
      <c r="Q82" s="211">
        <f t="shared" si="137"/>
        <v>0</v>
      </c>
      <c r="R82" s="211">
        <f t="shared" si="137"/>
        <v>0</v>
      </c>
      <c r="S82" s="211"/>
      <c r="T82" s="912">
        <f t="shared" si="137"/>
        <v>0</v>
      </c>
      <c r="U82" s="211">
        <f t="shared" si="137"/>
        <v>0</v>
      </c>
      <c r="V82" s="211">
        <f t="shared" si="137"/>
        <v>0</v>
      </c>
      <c r="W82" s="211">
        <f t="shared" si="137"/>
        <v>0</v>
      </c>
      <c r="X82" s="211">
        <f t="shared" si="137"/>
        <v>0</v>
      </c>
      <c r="Y82" s="211">
        <f t="shared" si="137"/>
        <v>0</v>
      </c>
      <c r="Z82" s="211">
        <f t="shared" si="137"/>
        <v>0</v>
      </c>
      <c r="AA82" s="211">
        <f t="shared" si="137"/>
        <v>0</v>
      </c>
      <c r="AB82" s="211">
        <f t="shared" si="137"/>
        <v>0</v>
      </c>
      <c r="AC82" s="211">
        <f t="shared" si="137"/>
        <v>0</v>
      </c>
      <c r="AD82" s="211">
        <f t="shared" si="137"/>
        <v>0</v>
      </c>
      <c r="AE82" s="211">
        <f t="shared" si="137"/>
        <v>0</v>
      </c>
      <c r="AF82" s="106">
        <f t="shared" si="73"/>
        <v>0</v>
      </c>
      <c r="AG82" s="86"/>
      <c r="AH82" s="86"/>
      <c r="AI82" s="86"/>
      <c r="AJ82" s="86"/>
      <c r="AK82" s="86"/>
      <c r="AL82" s="86"/>
    </row>
    <row r="83" spans="1:38">
      <c r="A83" s="379"/>
      <c r="B83" s="22">
        <f t="shared" si="78"/>
        <v>78</v>
      </c>
      <c r="C83" s="643"/>
      <c r="D83" s="644"/>
      <c r="E83" s="644"/>
      <c r="F83" s="156" t="s">
        <v>490</v>
      </c>
      <c r="G83" s="211">
        <f t="shared" ref="G83:AE83" si="139">IF(G40&gt;0,G40*G$163,0)</f>
        <v>0</v>
      </c>
      <c r="H83" s="211">
        <f t="shared" ref="H83" si="140">IF(H40&gt;0,H40*H$163,0)</f>
        <v>0</v>
      </c>
      <c r="I83" s="211">
        <f t="shared" si="139"/>
        <v>0</v>
      </c>
      <c r="J83" s="211">
        <f t="shared" si="139"/>
        <v>0</v>
      </c>
      <c r="K83" s="211">
        <f t="shared" si="139"/>
        <v>0</v>
      </c>
      <c r="L83" s="211">
        <f t="shared" si="139"/>
        <v>0</v>
      </c>
      <c r="M83" s="211">
        <f t="shared" si="139"/>
        <v>0</v>
      </c>
      <c r="N83" s="211">
        <f t="shared" si="139"/>
        <v>0</v>
      </c>
      <c r="O83" s="211">
        <f t="shared" si="139"/>
        <v>0</v>
      </c>
      <c r="P83" s="211">
        <f t="shared" si="139"/>
        <v>0</v>
      </c>
      <c r="Q83" s="211">
        <f t="shared" si="139"/>
        <v>0</v>
      </c>
      <c r="R83" s="211">
        <f t="shared" si="139"/>
        <v>0</v>
      </c>
      <c r="S83" s="211"/>
      <c r="T83" s="912">
        <f t="shared" si="139"/>
        <v>0</v>
      </c>
      <c r="U83" s="211">
        <f t="shared" si="139"/>
        <v>0</v>
      </c>
      <c r="V83" s="211">
        <f t="shared" si="139"/>
        <v>0</v>
      </c>
      <c r="W83" s="211">
        <f t="shared" si="139"/>
        <v>0</v>
      </c>
      <c r="X83" s="211">
        <f t="shared" si="139"/>
        <v>0</v>
      </c>
      <c r="Y83" s="211">
        <f t="shared" si="139"/>
        <v>0</v>
      </c>
      <c r="Z83" s="211">
        <f t="shared" si="139"/>
        <v>0</v>
      </c>
      <c r="AA83" s="211">
        <f t="shared" si="139"/>
        <v>0</v>
      </c>
      <c r="AB83" s="211">
        <f t="shared" si="139"/>
        <v>0</v>
      </c>
      <c r="AC83" s="211">
        <f t="shared" si="139"/>
        <v>0</v>
      </c>
      <c r="AD83" s="211">
        <f t="shared" si="139"/>
        <v>0</v>
      </c>
      <c r="AE83" s="211">
        <f t="shared" si="139"/>
        <v>0</v>
      </c>
      <c r="AF83" s="106">
        <f t="shared" si="73"/>
        <v>0</v>
      </c>
      <c r="AG83" s="86"/>
      <c r="AH83" s="86"/>
      <c r="AI83" s="86"/>
      <c r="AJ83" s="86"/>
      <c r="AK83" s="86"/>
      <c r="AL83" s="86"/>
    </row>
    <row r="84" spans="1:38">
      <c r="A84" s="379"/>
      <c r="B84" s="22">
        <f t="shared" si="78"/>
        <v>79</v>
      </c>
      <c r="C84" s="643"/>
      <c r="D84" s="644"/>
      <c r="E84" s="644"/>
      <c r="F84" s="156" t="s">
        <v>640</v>
      </c>
      <c r="G84" s="211">
        <f t="shared" ref="G84:AE84" si="141">IF(G41&gt;0,267.31*G6*G41,0)</f>
        <v>0</v>
      </c>
      <c r="H84" s="211">
        <f t="shared" ref="H84" si="142">IF(H41&gt;0,267.31*H6*H41,0)</f>
        <v>0</v>
      </c>
      <c r="I84" s="211">
        <f t="shared" si="141"/>
        <v>0</v>
      </c>
      <c r="J84" s="211">
        <f t="shared" si="141"/>
        <v>0</v>
      </c>
      <c r="K84" s="211">
        <f t="shared" si="141"/>
        <v>0</v>
      </c>
      <c r="L84" s="211">
        <f t="shared" si="141"/>
        <v>0</v>
      </c>
      <c r="M84" s="211">
        <f t="shared" si="141"/>
        <v>0</v>
      </c>
      <c r="N84" s="211">
        <f t="shared" si="141"/>
        <v>0</v>
      </c>
      <c r="O84" s="211">
        <f t="shared" si="141"/>
        <v>0</v>
      </c>
      <c r="P84" s="211">
        <f t="shared" si="141"/>
        <v>0</v>
      </c>
      <c r="Q84" s="211">
        <f t="shared" si="141"/>
        <v>0</v>
      </c>
      <c r="R84" s="211">
        <f t="shared" si="141"/>
        <v>0</v>
      </c>
      <c r="S84" s="211"/>
      <c r="T84" s="912">
        <f t="shared" si="141"/>
        <v>0</v>
      </c>
      <c r="U84" s="211">
        <f t="shared" si="141"/>
        <v>0</v>
      </c>
      <c r="V84" s="211">
        <f t="shared" si="141"/>
        <v>0</v>
      </c>
      <c r="W84" s="211">
        <f t="shared" si="141"/>
        <v>0</v>
      </c>
      <c r="X84" s="211">
        <f t="shared" si="141"/>
        <v>0</v>
      </c>
      <c r="Y84" s="211">
        <f t="shared" si="141"/>
        <v>0</v>
      </c>
      <c r="Z84" s="211">
        <f t="shared" si="141"/>
        <v>0</v>
      </c>
      <c r="AA84" s="211">
        <f t="shared" si="141"/>
        <v>0</v>
      </c>
      <c r="AB84" s="211">
        <f t="shared" si="141"/>
        <v>0</v>
      </c>
      <c r="AC84" s="211">
        <f t="shared" si="141"/>
        <v>0</v>
      </c>
      <c r="AD84" s="211">
        <f t="shared" si="141"/>
        <v>0</v>
      </c>
      <c r="AE84" s="211">
        <f t="shared" si="141"/>
        <v>0</v>
      </c>
      <c r="AF84" s="123"/>
      <c r="AG84" s="86"/>
      <c r="AH84" s="86"/>
      <c r="AI84" s="86"/>
      <c r="AJ84" s="86"/>
      <c r="AK84" s="86"/>
      <c r="AL84" s="86"/>
    </row>
    <row r="85" spans="1:38">
      <c r="A85" s="379"/>
      <c r="B85" s="22">
        <f t="shared" si="78"/>
        <v>80</v>
      </c>
      <c r="C85" s="643"/>
      <c r="D85" s="644"/>
      <c r="E85" s="644"/>
      <c r="F85" s="156" t="s">
        <v>579</v>
      </c>
      <c r="G85" s="211">
        <f t="shared" ref="G85:AE85" si="143">IF(G34&gt;0,MAX(G34*G6-8000,0),0)</f>
        <v>0</v>
      </c>
      <c r="H85" s="211">
        <f t="shared" ref="H85" si="144">IF(H34&gt;0,MAX(H34*H6-8000,0),0)</f>
        <v>0</v>
      </c>
      <c r="I85" s="211">
        <f t="shared" si="143"/>
        <v>0</v>
      </c>
      <c r="J85" s="211">
        <f t="shared" si="143"/>
        <v>0</v>
      </c>
      <c r="K85" s="211">
        <f t="shared" si="143"/>
        <v>0</v>
      </c>
      <c r="L85" s="211">
        <f t="shared" si="143"/>
        <v>0</v>
      </c>
      <c r="M85" s="211">
        <f t="shared" si="143"/>
        <v>0</v>
      </c>
      <c r="N85" s="211">
        <f t="shared" si="143"/>
        <v>0</v>
      </c>
      <c r="O85" s="211">
        <f t="shared" si="143"/>
        <v>0</v>
      </c>
      <c r="P85" s="211">
        <f t="shared" si="143"/>
        <v>0</v>
      </c>
      <c r="Q85" s="211">
        <f t="shared" si="143"/>
        <v>0</v>
      </c>
      <c r="R85" s="211">
        <f t="shared" si="143"/>
        <v>0</v>
      </c>
      <c r="S85" s="211"/>
      <c r="T85" s="912">
        <f t="shared" si="143"/>
        <v>0</v>
      </c>
      <c r="U85" s="211">
        <f t="shared" si="143"/>
        <v>0</v>
      </c>
      <c r="V85" s="211">
        <f t="shared" si="143"/>
        <v>0</v>
      </c>
      <c r="W85" s="211">
        <f t="shared" si="143"/>
        <v>0</v>
      </c>
      <c r="X85" s="211">
        <f t="shared" si="143"/>
        <v>0</v>
      </c>
      <c r="Y85" s="211">
        <f t="shared" si="143"/>
        <v>0</v>
      </c>
      <c r="Z85" s="211">
        <f t="shared" si="143"/>
        <v>0</v>
      </c>
      <c r="AA85" s="211">
        <f t="shared" si="143"/>
        <v>0</v>
      </c>
      <c r="AB85" s="211">
        <f t="shared" si="143"/>
        <v>0</v>
      </c>
      <c r="AC85" s="211">
        <f t="shared" si="143"/>
        <v>0</v>
      </c>
      <c r="AD85" s="211">
        <f t="shared" si="143"/>
        <v>0</v>
      </c>
      <c r="AE85" s="211">
        <f t="shared" si="143"/>
        <v>0</v>
      </c>
      <c r="AF85" s="123"/>
      <c r="AG85" s="86"/>
      <c r="AH85" s="86"/>
      <c r="AI85" s="86"/>
      <c r="AJ85" s="86"/>
      <c r="AK85" s="86"/>
      <c r="AL85" s="86"/>
    </row>
    <row r="86" spans="1:38">
      <c r="A86" s="379"/>
      <c r="B86" s="22">
        <f t="shared" si="78"/>
        <v>81</v>
      </c>
      <c r="C86" s="643"/>
      <c r="D86" s="644"/>
      <c r="E86" s="644"/>
      <c r="F86" s="156" t="s">
        <v>632</v>
      </c>
      <c r="G86" s="211">
        <f t="shared" ref="G86:AE86" si="145">G44</f>
        <v>0</v>
      </c>
      <c r="H86" s="211">
        <f t="shared" ref="H86" si="146">H44</f>
        <v>0</v>
      </c>
      <c r="I86" s="211">
        <f t="shared" si="145"/>
        <v>0</v>
      </c>
      <c r="J86" s="211">
        <f t="shared" si="145"/>
        <v>0</v>
      </c>
      <c r="K86" s="211">
        <f t="shared" si="145"/>
        <v>0</v>
      </c>
      <c r="L86" s="211">
        <f t="shared" si="145"/>
        <v>0</v>
      </c>
      <c r="M86" s="211">
        <f t="shared" si="145"/>
        <v>0</v>
      </c>
      <c r="N86" s="211">
        <f t="shared" si="145"/>
        <v>0</v>
      </c>
      <c r="O86" s="211">
        <f t="shared" si="145"/>
        <v>0</v>
      </c>
      <c r="P86" s="211">
        <f t="shared" si="145"/>
        <v>0</v>
      </c>
      <c r="Q86" s="211">
        <f t="shared" si="145"/>
        <v>0</v>
      </c>
      <c r="R86" s="211">
        <f t="shared" si="145"/>
        <v>0</v>
      </c>
      <c r="S86" s="211"/>
      <c r="T86" s="912">
        <f t="shared" si="145"/>
        <v>0</v>
      </c>
      <c r="U86" s="211">
        <f t="shared" si="145"/>
        <v>0</v>
      </c>
      <c r="V86" s="211">
        <f t="shared" si="145"/>
        <v>0</v>
      </c>
      <c r="W86" s="211">
        <f t="shared" si="145"/>
        <v>0</v>
      </c>
      <c r="X86" s="211">
        <f t="shared" si="145"/>
        <v>0</v>
      </c>
      <c r="Y86" s="211">
        <f t="shared" si="145"/>
        <v>0</v>
      </c>
      <c r="Z86" s="211">
        <f t="shared" si="145"/>
        <v>0</v>
      </c>
      <c r="AA86" s="211">
        <f t="shared" si="145"/>
        <v>0</v>
      </c>
      <c r="AB86" s="211">
        <f t="shared" si="145"/>
        <v>0</v>
      </c>
      <c r="AC86" s="211">
        <f t="shared" si="145"/>
        <v>0</v>
      </c>
      <c r="AD86" s="211">
        <f t="shared" si="145"/>
        <v>0</v>
      </c>
      <c r="AE86" s="211">
        <f t="shared" si="145"/>
        <v>0</v>
      </c>
      <c r="AF86" s="123"/>
      <c r="AG86" s="86"/>
      <c r="AH86" s="86"/>
      <c r="AI86" s="86"/>
      <c r="AJ86" s="86"/>
      <c r="AK86" s="86"/>
      <c r="AL86" s="86"/>
    </row>
    <row r="87" spans="1:38">
      <c r="A87" s="379"/>
      <c r="B87" s="22">
        <f t="shared" si="78"/>
        <v>82</v>
      </c>
      <c r="C87" s="646"/>
      <c r="D87" s="647"/>
      <c r="E87" s="647"/>
      <c r="F87" s="181" t="s">
        <v>418</v>
      </c>
      <c r="G87" s="105">
        <f>SUM(G42:G43)+SUM(G45:G48)</f>
        <v>0</v>
      </c>
      <c r="H87" s="105">
        <f>SUM(H42:H43)+SUM(H45:H48)</f>
        <v>0</v>
      </c>
      <c r="I87" s="105">
        <f t="shared" ref="I87:AE87" si="147">SUM(I42:I43)+SUM(I45:I48)</f>
        <v>0</v>
      </c>
      <c r="J87" s="105">
        <f t="shared" si="147"/>
        <v>0</v>
      </c>
      <c r="K87" s="105">
        <f t="shared" si="147"/>
        <v>0</v>
      </c>
      <c r="L87" s="105">
        <f t="shared" si="147"/>
        <v>0</v>
      </c>
      <c r="M87" s="105">
        <f t="shared" si="147"/>
        <v>0</v>
      </c>
      <c r="N87" s="105">
        <f t="shared" si="147"/>
        <v>0</v>
      </c>
      <c r="O87" s="105">
        <f t="shared" si="147"/>
        <v>0</v>
      </c>
      <c r="P87" s="105">
        <f t="shared" si="147"/>
        <v>0</v>
      </c>
      <c r="Q87" s="105">
        <f t="shared" si="147"/>
        <v>0</v>
      </c>
      <c r="R87" s="105">
        <f t="shared" si="147"/>
        <v>0</v>
      </c>
      <c r="S87" s="105"/>
      <c r="T87" s="910">
        <f t="shared" si="147"/>
        <v>0</v>
      </c>
      <c r="U87" s="105">
        <f t="shared" si="147"/>
        <v>0</v>
      </c>
      <c r="V87" s="105">
        <f t="shared" si="147"/>
        <v>0</v>
      </c>
      <c r="W87" s="105">
        <f t="shared" si="147"/>
        <v>0</v>
      </c>
      <c r="X87" s="105">
        <f t="shared" si="147"/>
        <v>0</v>
      </c>
      <c r="Y87" s="105">
        <f t="shared" si="147"/>
        <v>0</v>
      </c>
      <c r="Z87" s="105">
        <f t="shared" si="147"/>
        <v>0</v>
      </c>
      <c r="AA87" s="105">
        <f t="shared" si="147"/>
        <v>0</v>
      </c>
      <c r="AB87" s="105">
        <f t="shared" si="147"/>
        <v>0</v>
      </c>
      <c r="AC87" s="105">
        <f t="shared" si="147"/>
        <v>0</v>
      </c>
      <c r="AD87" s="105">
        <f t="shared" si="147"/>
        <v>0</v>
      </c>
      <c r="AE87" s="105">
        <f t="shared" si="147"/>
        <v>0</v>
      </c>
      <c r="AF87" s="107">
        <f t="shared" si="73"/>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148">IF(V9="Ja",SUM(V53:V68)*0.8%,0)</f>
        <v>0</v>
      </c>
      <c r="W88" s="914">
        <f t="shared" si="148"/>
        <v>0</v>
      </c>
      <c r="X88" s="914">
        <f t="shared" si="148"/>
        <v>0</v>
      </c>
      <c r="Y88" s="914">
        <f t="shared" si="148"/>
        <v>0</v>
      </c>
      <c r="Z88" s="914">
        <f t="shared" si="148"/>
        <v>0</v>
      </c>
      <c r="AA88" s="914">
        <f t="shared" si="148"/>
        <v>0</v>
      </c>
      <c r="AB88" s="914">
        <f t="shared" si="148"/>
        <v>0</v>
      </c>
      <c r="AC88" s="914">
        <f t="shared" si="148"/>
        <v>0</v>
      </c>
      <c r="AD88" s="914">
        <f t="shared" si="148"/>
        <v>0</v>
      </c>
      <c r="AE88" s="914">
        <f t="shared" si="148"/>
        <v>0</v>
      </c>
      <c r="AF88" s="1061"/>
      <c r="AG88" s="86"/>
      <c r="AH88" s="86"/>
      <c r="AI88" s="86"/>
      <c r="AJ88" s="86"/>
      <c r="AK88" s="86"/>
      <c r="AL88" s="86"/>
    </row>
    <row r="89" spans="1:38" ht="14">
      <c r="A89" s="380"/>
      <c r="B89" s="648">
        <f>B87+1</f>
        <v>83</v>
      </c>
      <c r="C89" s="649"/>
      <c r="D89" s="649"/>
      <c r="E89" s="649"/>
      <c r="F89" s="75" t="s">
        <v>104</v>
      </c>
      <c r="G89" s="210">
        <f>SUM(G53:G88)</f>
        <v>0</v>
      </c>
      <c r="H89" s="210">
        <f t="shared" ref="H89:R89" si="149">SUM(H53:H88)</f>
        <v>0</v>
      </c>
      <c r="I89" s="210">
        <f>SUM(I53:I88)</f>
        <v>0</v>
      </c>
      <c r="J89" s="210">
        <f>SUM(J53:J88)</f>
        <v>0</v>
      </c>
      <c r="K89" s="210">
        <f>SUM(K53:K88)</f>
        <v>0</v>
      </c>
      <c r="L89" s="210">
        <f t="shared" si="149"/>
        <v>0</v>
      </c>
      <c r="M89" s="210">
        <f t="shared" si="149"/>
        <v>0</v>
      </c>
      <c r="N89" s="210">
        <f t="shared" si="149"/>
        <v>0</v>
      </c>
      <c r="O89" s="210">
        <f t="shared" si="149"/>
        <v>0</v>
      </c>
      <c r="P89" s="210">
        <f t="shared" si="149"/>
        <v>0</v>
      </c>
      <c r="Q89" s="210">
        <f t="shared" si="149"/>
        <v>0</v>
      </c>
      <c r="R89" s="210">
        <f t="shared" si="149"/>
        <v>0</v>
      </c>
      <c r="S89" s="210"/>
      <c r="T89" s="913">
        <f>SUM(T53:T87)</f>
        <v>0</v>
      </c>
      <c r="U89" s="210">
        <f t="shared" ref="U89:AB89" si="150">SUM(U53:U87)</f>
        <v>0</v>
      </c>
      <c r="V89" s="210">
        <f t="shared" si="150"/>
        <v>0</v>
      </c>
      <c r="W89" s="210">
        <f t="shared" si="150"/>
        <v>0</v>
      </c>
      <c r="X89" s="210">
        <f t="shared" si="150"/>
        <v>0</v>
      </c>
      <c r="Y89" s="210">
        <f t="shared" si="150"/>
        <v>0</v>
      </c>
      <c r="Z89" s="210">
        <f t="shared" si="150"/>
        <v>0</v>
      </c>
      <c r="AA89" s="210">
        <f t="shared" si="150"/>
        <v>0</v>
      </c>
      <c r="AB89" s="210">
        <f t="shared" si="150"/>
        <v>0</v>
      </c>
      <c r="AC89" s="210">
        <f>SUM(AC53:AC87)</f>
        <v>0</v>
      </c>
      <c r="AD89" s="210">
        <f t="shared" ref="AD89:AE89" si="151">SUM(AD53:AD87)</f>
        <v>0</v>
      </c>
      <c r="AE89" s="210">
        <f t="shared" si="151"/>
        <v>0</v>
      </c>
      <c r="AF89" s="81">
        <f t="shared" si="73"/>
        <v>0</v>
      </c>
      <c r="AG89" s="86"/>
      <c r="AH89" s="86"/>
      <c r="AI89" s="86"/>
      <c r="AJ89" s="86"/>
      <c r="AK89" s="86"/>
      <c r="AL89" s="86"/>
    </row>
    <row r="90" spans="1:38" ht="14">
      <c r="A90" s="379"/>
      <c r="B90" s="22">
        <f t="shared" si="78"/>
        <v>84</v>
      </c>
      <c r="C90"/>
      <c r="D90"/>
      <c r="E90"/>
      <c r="F90" s="154" t="s">
        <v>102</v>
      </c>
      <c r="G90" s="103">
        <f t="shared" ref="G90:R90" si="152">ROUND(G53*17.3%/3,2)*(G5="L")</f>
        <v>0</v>
      </c>
      <c r="H90" s="103">
        <f t="shared" si="152"/>
        <v>0</v>
      </c>
      <c r="I90" s="103">
        <f t="shared" si="152"/>
        <v>0</v>
      </c>
      <c r="J90" s="103">
        <f t="shared" si="152"/>
        <v>0</v>
      </c>
      <c r="K90" s="103">
        <f t="shared" si="152"/>
        <v>0</v>
      </c>
      <c r="L90" s="103">
        <f t="shared" si="152"/>
        <v>0</v>
      </c>
      <c r="M90" s="103">
        <f t="shared" si="152"/>
        <v>0</v>
      </c>
      <c r="N90" s="103">
        <f t="shared" si="152"/>
        <v>0</v>
      </c>
      <c r="O90" s="103">
        <f t="shared" si="152"/>
        <v>0</v>
      </c>
      <c r="P90" s="103">
        <f t="shared" si="152"/>
        <v>0</v>
      </c>
      <c r="Q90" s="103">
        <f t="shared" si="152"/>
        <v>0</v>
      </c>
      <c r="R90" s="103">
        <f t="shared" si="152"/>
        <v>0</v>
      </c>
      <c r="S90" s="103"/>
      <c r="T90" s="909" t="e">
        <f>ROUND(T53/T10*T11*17.3%/3,2)*(T5="L")</f>
        <v>#DIV/0!</v>
      </c>
      <c r="U90" s="103">
        <f t="shared" ref="U90:AE90" si="153">ROUND(U53*17.3%/3,2)*(U5="L")</f>
        <v>0</v>
      </c>
      <c r="V90" s="103">
        <f t="shared" si="153"/>
        <v>0</v>
      </c>
      <c r="W90" s="103">
        <f t="shared" si="153"/>
        <v>0</v>
      </c>
      <c r="X90" s="103">
        <f t="shared" si="153"/>
        <v>0</v>
      </c>
      <c r="Y90" s="103">
        <f t="shared" si="153"/>
        <v>0</v>
      </c>
      <c r="Z90" s="103">
        <f t="shared" si="153"/>
        <v>0</v>
      </c>
      <c r="AA90" s="103">
        <f t="shared" si="153"/>
        <v>0</v>
      </c>
      <c r="AB90" s="103">
        <f t="shared" si="153"/>
        <v>0</v>
      </c>
      <c r="AC90" s="103">
        <f t="shared" si="153"/>
        <v>0</v>
      </c>
      <c r="AD90" s="103">
        <f t="shared" si="153"/>
        <v>0</v>
      </c>
      <c r="AE90" s="103">
        <f t="shared" si="153"/>
        <v>0</v>
      </c>
      <c r="AF90" s="104">
        <f t="shared" si="73"/>
        <v>0</v>
      </c>
      <c r="AG90" s="86"/>
      <c r="AH90" s="86"/>
      <c r="AI90" s="86"/>
      <c r="AJ90" s="86"/>
      <c r="AK90" s="86"/>
      <c r="AL90" s="86"/>
    </row>
    <row r="91" spans="1:38" ht="14">
      <c r="A91" s="379"/>
      <c r="B91" s="22">
        <f t="shared" si="78"/>
        <v>85</v>
      </c>
      <c r="C91"/>
      <c r="D91"/>
      <c r="E91"/>
      <c r="F91" s="155" t="s">
        <v>183</v>
      </c>
      <c r="G91" s="105">
        <f t="shared" ref="G91:AE91" si="154">ROUND(G55*17.3%/3,2)*(G5="L")</f>
        <v>0</v>
      </c>
      <c r="H91" s="105">
        <f t="shared" si="154"/>
        <v>0</v>
      </c>
      <c r="I91" s="105">
        <f t="shared" si="154"/>
        <v>0</v>
      </c>
      <c r="J91" s="105">
        <f t="shared" si="154"/>
        <v>0</v>
      </c>
      <c r="K91" s="105">
        <f t="shared" si="154"/>
        <v>0</v>
      </c>
      <c r="L91" s="105">
        <f t="shared" si="154"/>
        <v>0</v>
      </c>
      <c r="M91" s="105">
        <f t="shared" si="154"/>
        <v>0</v>
      </c>
      <c r="N91" s="105">
        <f t="shared" si="154"/>
        <v>0</v>
      </c>
      <c r="O91" s="105">
        <f t="shared" si="154"/>
        <v>0</v>
      </c>
      <c r="P91" s="105">
        <f t="shared" si="154"/>
        <v>0</v>
      </c>
      <c r="Q91" s="105">
        <f t="shared" si="154"/>
        <v>0</v>
      </c>
      <c r="R91" s="105">
        <f t="shared" si="154"/>
        <v>0</v>
      </c>
      <c r="S91" s="105"/>
      <c r="T91" s="910">
        <f t="shared" si="154"/>
        <v>0</v>
      </c>
      <c r="U91" s="105">
        <f t="shared" si="154"/>
        <v>0</v>
      </c>
      <c r="V91" s="105">
        <f t="shared" si="154"/>
        <v>0</v>
      </c>
      <c r="W91" s="105">
        <f t="shared" si="154"/>
        <v>0</v>
      </c>
      <c r="X91" s="105">
        <f t="shared" si="154"/>
        <v>0</v>
      </c>
      <c r="Y91" s="105">
        <f t="shared" si="154"/>
        <v>0</v>
      </c>
      <c r="Z91" s="105">
        <f t="shared" si="154"/>
        <v>0</v>
      </c>
      <c r="AA91" s="105">
        <f t="shared" si="154"/>
        <v>0</v>
      </c>
      <c r="AB91" s="105">
        <f t="shared" si="154"/>
        <v>0</v>
      </c>
      <c r="AC91" s="105">
        <f t="shared" si="154"/>
        <v>0</v>
      </c>
      <c r="AD91" s="105">
        <f t="shared" si="154"/>
        <v>0</v>
      </c>
      <c r="AE91" s="105">
        <f t="shared" si="154"/>
        <v>0</v>
      </c>
      <c r="AF91" s="106">
        <f t="shared" si="73"/>
        <v>0</v>
      </c>
      <c r="AG91" s="86"/>
      <c r="AH91" s="86"/>
      <c r="AI91" s="86"/>
      <c r="AJ91" s="86"/>
      <c r="AK91" s="86"/>
      <c r="AL91" s="86"/>
    </row>
    <row r="92" spans="1:38" ht="14">
      <c r="A92" s="379"/>
      <c r="B92" s="22">
        <f t="shared" si="78"/>
        <v>86</v>
      </c>
      <c r="C92"/>
      <c r="D92"/>
      <c r="E92"/>
      <c r="F92" s="155" t="s">
        <v>103</v>
      </c>
      <c r="G92" s="105">
        <f t="shared" ref="G92:AE92" si="155">ROUND(G56*17.3%/3,2)*(G5="L")</f>
        <v>0</v>
      </c>
      <c r="H92" s="105">
        <f t="shared" si="155"/>
        <v>0</v>
      </c>
      <c r="I92" s="105">
        <f t="shared" si="155"/>
        <v>0</v>
      </c>
      <c r="J92" s="105">
        <f t="shared" si="155"/>
        <v>0</v>
      </c>
      <c r="K92" s="105">
        <f t="shared" si="155"/>
        <v>0</v>
      </c>
      <c r="L92" s="105">
        <f t="shared" si="155"/>
        <v>0</v>
      </c>
      <c r="M92" s="105">
        <f t="shared" si="155"/>
        <v>0</v>
      </c>
      <c r="N92" s="105">
        <f t="shared" si="155"/>
        <v>0</v>
      </c>
      <c r="O92" s="105">
        <f t="shared" si="155"/>
        <v>0</v>
      </c>
      <c r="P92" s="105">
        <f t="shared" si="155"/>
        <v>0</v>
      </c>
      <c r="Q92" s="105">
        <f t="shared" si="155"/>
        <v>0</v>
      </c>
      <c r="R92" s="105">
        <f t="shared" si="155"/>
        <v>0</v>
      </c>
      <c r="S92" s="105"/>
      <c r="T92" s="910">
        <f t="shared" si="155"/>
        <v>0</v>
      </c>
      <c r="U92" s="105">
        <f t="shared" si="155"/>
        <v>0</v>
      </c>
      <c r="V92" s="105">
        <f t="shared" si="155"/>
        <v>0</v>
      </c>
      <c r="W92" s="105">
        <f t="shared" si="155"/>
        <v>0</v>
      </c>
      <c r="X92" s="105">
        <f t="shared" si="155"/>
        <v>0</v>
      </c>
      <c r="Y92" s="105">
        <f t="shared" si="155"/>
        <v>0</v>
      </c>
      <c r="Z92" s="105">
        <f t="shared" si="155"/>
        <v>0</v>
      </c>
      <c r="AA92" s="105">
        <f t="shared" si="155"/>
        <v>0</v>
      </c>
      <c r="AB92" s="105">
        <f t="shared" si="155"/>
        <v>0</v>
      </c>
      <c r="AC92" s="105">
        <f t="shared" si="155"/>
        <v>0</v>
      </c>
      <c r="AD92" s="105">
        <f t="shared" si="155"/>
        <v>0</v>
      </c>
      <c r="AE92" s="105">
        <f t="shared" si="155"/>
        <v>0</v>
      </c>
      <c r="AF92" s="106">
        <f t="shared" si="73"/>
        <v>0</v>
      </c>
      <c r="AG92" s="86"/>
      <c r="AH92" s="86"/>
      <c r="AI92" s="86"/>
      <c r="AJ92" s="86"/>
      <c r="AK92" s="86"/>
      <c r="AL92" s="86"/>
    </row>
    <row r="93" spans="1:38" ht="14">
      <c r="A93" s="379"/>
      <c r="B93" s="22">
        <f t="shared" si="78"/>
        <v>87</v>
      </c>
      <c r="C93"/>
      <c r="D93" s="650">
        <f>(D14&lt;&gt;"")*1</f>
        <v>0</v>
      </c>
      <c r="E93"/>
      <c r="F93" s="155" t="s">
        <v>190</v>
      </c>
      <c r="G93" s="105">
        <f t="shared" ref="G93:AE93" si="156">ROUND(G57*17.3%/3,2)*(G5="L")</f>
        <v>0</v>
      </c>
      <c r="H93" s="105">
        <f t="shared" si="156"/>
        <v>0</v>
      </c>
      <c r="I93" s="105">
        <f t="shared" si="156"/>
        <v>0</v>
      </c>
      <c r="J93" s="105">
        <f t="shared" si="156"/>
        <v>0</v>
      </c>
      <c r="K93" s="105">
        <f t="shared" si="156"/>
        <v>0</v>
      </c>
      <c r="L93" s="105">
        <f t="shared" si="156"/>
        <v>0</v>
      </c>
      <c r="M93" s="105">
        <f t="shared" si="156"/>
        <v>0</v>
      </c>
      <c r="N93" s="105">
        <f t="shared" si="156"/>
        <v>0</v>
      </c>
      <c r="O93" s="105">
        <f t="shared" si="156"/>
        <v>0</v>
      </c>
      <c r="P93" s="105">
        <f t="shared" si="156"/>
        <v>0</v>
      </c>
      <c r="Q93" s="105">
        <f t="shared" si="156"/>
        <v>0</v>
      </c>
      <c r="R93" s="105">
        <f t="shared" si="156"/>
        <v>0</v>
      </c>
      <c r="S93" s="105"/>
      <c r="T93" s="910">
        <f t="shared" si="156"/>
        <v>0</v>
      </c>
      <c r="U93" s="105">
        <f t="shared" si="156"/>
        <v>0</v>
      </c>
      <c r="V93" s="105">
        <f t="shared" si="156"/>
        <v>0</v>
      </c>
      <c r="W93" s="105">
        <f t="shared" si="156"/>
        <v>0</v>
      </c>
      <c r="X93" s="105">
        <f t="shared" si="156"/>
        <v>0</v>
      </c>
      <c r="Y93" s="105">
        <f t="shared" si="156"/>
        <v>0</v>
      </c>
      <c r="Z93" s="105">
        <f t="shared" si="156"/>
        <v>0</v>
      </c>
      <c r="AA93" s="105">
        <f t="shared" si="156"/>
        <v>0</v>
      </c>
      <c r="AB93" s="105">
        <f t="shared" si="156"/>
        <v>0</v>
      </c>
      <c r="AC93" s="105">
        <f t="shared" si="156"/>
        <v>0</v>
      </c>
      <c r="AD93" s="105">
        <f t="shared" si="156"/>
        <v>0</v>
      </c>
      <c r="AE93" s="105">
        <f t="shared" si="156"/>
        <v>0</v>
      </c>
      <c r="AF93" s="106">
        <f t="shared" si="73"/>
        <v>0</v>
      </c>
      <c r="AG93" s="86"/>
      <c r="AH93" s="86"/>
      <c r="AI93" s="86"/>
      <c r="AJ93" s="86"/>
      <c r="AK93" s="86"/>
      <c r="AL93" s="86"/>
    </row>
    <row r="94" spans="1:38" ht="14">
      <c r="A94" s="379"/>
      <c r="B94" s="22">
        <f t="shared" si="78"/>
        <v>88</v>
      </c>
      <c r="C94"/>
      <c r="D94" s="650">
        <f>(D15&lt;&gt;"")*1</f>
        <v>0</v>
      </c>
      <c r="E94"/>
      <c r="F94" s="155" t="s">
        <v>191</v>
      </c>
      <c r="G94" s="105">
        <f t="shared" ref="G94:AE94" si="157">ROUND(G58*17.3%/3,2)*(G5="L")</f>
        <v>0</v>
      </c>
      <c r="H94" s="105">
        <f t="shared" si="157"/>
        <v>0</v>
      </c>
      <c r="I94" s="105">
        <f t="shared" si="157"/>
        <v>0</v>
      </c>
      <c r="J94" s="105">
        <f t="shared" si="157"/>
        <v>0</v>
      </c>
      <c r="K94" s="105">
        <f t="shared" si="157"/>
        <v>0</v>
      </c>
      <c r="L94" s="105">
        <f t="shared" si="157"/>
        <v>0</v>
      </c>
      <c r="M94" s="105">
        <f t="shared" si="157"/>
        <v>0</v>
      </c>
      <c r="N94" s="105">
        <f t="shared" si="157"/>
        <v>0</v>
      </c>
      <c r="O94" s="105">
        <f t="shared" si="157"/>
        <v>0</v>
      </c>
      <c r="P94" s="105">
        <f t="shared" si="157"/>
        <v>0</v>
      </c>
      <c r="Q94" s="105">
        <f t="shared" si="157"/>
        <v>0</v>
      </c>
      <c r="R94" s="105">
        <f t="shared" si="157"/>
        <v>0</v>
      </c>
      <c r="S94" s="105"/>
      <c r="T94" s="910">
        <f t="shared" si="157"/>
        <v>0</v>
      </c>
      <c r="U94" s="105">
        <f t="shared" si="157"/>
        <v>0</v>
      </c>
      <c r="V94" s="105">
        <f t="shared" si="157"/>
        <v>0</v>
      </c>
      <c r="W94" s="105">
        <f t="shared" si="157"/>
        <v>0</v>
      </c>
      <c r="X94" s="105">
        <f t="shared" si="157"/>
        <v>0</v>
      </c>
      <c r="Y94" s="105">
        <f t="shared" si="157"/>
        <v>0</v>
      </c>
      <c r="Z94" s="105">
        <f t="shared" si="157"/>
        <v>0</v>
      </c>
      <c r="AA94" s="105">
        <f t="shared" si="157"/>
        <v>0</v>
      </c>
      <c r="AB94" s="105">
        <f t="shared" si="157"/>
        <v>0</v>
      </c>
      <c r="AC94" s="105">
        <f t="shared" si="157"/>
        <v>0</v>
      </c>
      <c r="AD94" s="105">
        <f t="shared" si="157"/>
        <v>0</v>
      </c>
      <c r="AE94" s="105">
        <f t="shared" si="157"/>
        <v>0</v>
      </c>
      <c r="AF94" s="106">
        <f t="shared" si="73"/>
        <v>0</v>
      </c>
      <c r="AG94" s="86"/>
      <c r="AH94" s="86"/>
      <c r="AI94" s="86"/>
      <c r="AJ94" s="86"/>
      <c r="AK94" s="86"/>
      <c r="AL94" s="86"/>
    </row>
    <row r="95" spans="1:38" ht="14">
      <c r="A95" s="379"/>
      <c r="B95" s="22">
        <f t="shared" si="78"/>
        <v>89</v>
      </c>
      <c r="C95"/>
      <c r="D95" s="650">
        <f>(D16&lt;&gt;"")*1</f>
        <v>0</v>
      </c>
      <c r="E95"/>
      <c r="F95" s="155" t="s">
        <v>56</v>
      </c>
      <c r="G95" s="105">
        <f t="shared" ref="G95:AE95" si="158">ROUND(G59*17.3%/3,2)*(G5="L")</f>
        <v>0</v>
      </c>
      <c r="H95" s="105">
        <f t="shared" si="158"/>
        <v>0</v>
      </c>
      <c r="I95" s="105">
        <f t="shared" si="158"/>
        <v>0</v>
      </c>
      <c r="J95" s="105">
        <f t="shared" si="158"/>
        <v>0</v>
      </c>
      <c r="K95" s="105">
        <f t="shared" si="158"/>
        <v>0</v>
      </c>
      <c r="L95" s="105">
        <f t="shared" si="158"/>
        <v>0</v>
      </c>
      <c r="M95" s="105">
        <f t="shared" si="158"/>
        <v>0</v>
      </c>
      <c r="N95" s="105">
        <f t="shared" si="158"/>
        <v>0</v>
      </c>
      <c r="O95" s="105">
        <f t="shared" si="158"/>
        <v>0</v>
      </c>
      <c r="P95" s="105">
        <f t="shared" si="158"/>
        <v>0</v>
      </c>
      <c r="Q95" s="105">
        <f t="shared" si="158"/>
        <v>0</v>
      </c>
      <c r="R95" s="105">
        <f t="shared" si="158"/>
        <v>0</v>
      </c>
      <c r="S95" s="105"/>
      <c r="T95" s="910">
        <f t="shared" si="158"/>
        <v>0</v>
      </c>
      <c r="U95" s="105">
        <f t="shared" si="158"/>
        <v>0</v>
      </c>
      <c r="V95" s="105">
        <f t="shared" si="158"/>
        <v>0</v>
      </c>
      <c r="W95" s="105">
        <f t="shared" si="158"/>
        <v>0</v>
      </c>
      <c r="X95" s="105">
        <f t="shared" si="158"/>
        <v>0</v>
      </c>
      <c r="Y95" s="105">
        <f t="shared" si="158"/>
        <v>0</v>
      </c>
      <c r="Z95" s="105">
        <f t="shared" si="158"/>
        <v>0</v>
      </c>
      <c r="AA95" s="105">
        <f t="shared" si="158"/>
        <v>0</v>
      </c>
      <c r="AB95" s="105">
        <f t="shared" si="158"/>
        <v>0</v>
      </c>
      <c r="AC95" s="105">
        <f t="shared" si="158"/>
        <v>0</v>
      </c>
      <c r="AD95" s="105">
        <f t="shared" si="158"/>
        <v>0</v>
      </c>
      <c r="AE95" s="105">
        <f t="shared" si="158"/>
        <v>0</v>
      </c>
      <c r="AF95" s="106">
        <f t="shared" si="73"/>
        <v>0</v>
      </c>
      <c r="AG95" s="86"/>
      <c r="AH95" s="86"/>
      <c r="AI95" s="86"/>
      <c r="AJ95" s="86"/>
      <c r="AK95" s="86"/>
      <c r="AL95" s="86"/>
    </row>
    <row r="96" spans="1:38" ht="14">
      <c r="A96" s="379"/>
      <c r="B96" s="22">
        <f t="shared" si="78"/>
        <v>90</v>
      </c>
      <c r="C96"/>
      <c r="D96" s="650">
        <f>(D18&lt;&gt;"")*1</f>
        <v>1</v>
      </c>
      <c r="E96"/>
      <c r="F96" s="155" t="s">
        <v>57</v>
      </c>
      <c r="G96" s="105">
        <f t="shared" ref="G96:AE96" si="159">ROUND(G60*17.3%/3,2)*(G5="L")</f>
        <v>0</v>
      </c>
      <c r="H96" s="105">
        <f t="shared" si="159"/>
        <v>0</v>
      </c>
      <c r="I96" s="105">
        <f t="shared" si="159"/>
        <v>0</v>
      </c>
      <c r="J96" s="105">
        <f t="shared" si="159"/>
        <v>0</v>
      </c>
      <c r="K96" s="105">
        <f t="shared" si="159"/>
        <v>0</v>
      </c>
      <c r="L96" s="105">
        <f t="shared" si="159"/>
        <v>0</v>
      </c>
      <c r="M96" s="105">
        <f t="shared" si="159"/>
        <v>0</v>
      </c>
      <c r="N96" s="105">
        <f t="shared" si="159"/>
        <v>0</v>
      </c>
      <c r="O96" s="105">
        <f t="shared" si="159"/>
        <v>0</v>
      </c>
      <c r="P96" s="105">
        <f t="shared" si="159"/>
        <v>0</v>
      </c>
      <c r="Q96" s="105">
        <f t="shared" si="159"/>
        <v>0</v>
      </c>
      <c r="R96" s="105">
        <f t="shared" si="159"/>
        <v>0</v>
      </c>
      <c r="S96" s="105"/>
      <c r="T96" s="910">
        <f t="shared" si="159"/>
        <v>0</v>
      </c>
      <c r="U96" s="105">
        <f t="shared" si="159"/>
        <v>0</v>
      </c>
      <c r="V96" s="105">
        <f t="shared" si="159"/>
        <v>0</v>
      </c>
      <c r="W96" s="105">
        <f t="shared" si="159"/>
        <v>0</v>
      </c>
      <c r="X96" s="105">
        <f t="shared" si="159"/>
        <v>0</v>
      </c>
      <c r="Y96" s="105">
        <f t="shared" si="159"/>
        <v>0</v>
      </c>
      <c r="Z96" s="105">
        <f t="shared" si="159"/>
        <v>0</v>
      </c>
      <c r="AA96" s="105">
        <f t="shared" si="159"/>
        <v>0</v>
      </c>
      <c r="AB96" s="105">
        <f t="shared" si="159"/>
        <v>0</v>
      </c>
      <c r="AC96" s="105">
        <f t="shared" si="159"/>
        <v>0</v>
      </c>
      <c r="AD96" s="105">
        <f t="shared" si="159"/>
        <v>0</v>
      </c>
      <c r="AE96" s="105">
        <f t="shared" si="159"/>
        <v>0</v>
      </c>
      <c r="AF96" s="106">
        <f t="shared" si="73"/>
        <v>0</v>
      </c>
      <c r="AG96" s="86"/>
      <c r="AH96" s="86"/>
      <c r="AI96" s="86"/>
      <c r="AJ96" s="86"/>
      <c r="AK96" s="86"/>
      <c r="AL96" s="86"/>
    </row>
    <row r="97" spans="1:38" ht="14">
      <c r="A97" s="379"/>
      <c r="B97" s="22">
        <f t="shared" si="78"/>
        <v>91</v>
      </c>
      <c r="C97"/>
      <c r="D97" s="650">
        <f>(D18&lt;&gt;"")*1</f>
        <v>1</v>
      </c>
      <c r="E97"/>
      <c r="F97" s="155" t="s">
        <v>58</v>
      </c>
      <c r="G97" s="105">
        <f t="shared" ref="G97:AE97" si="160">ROUND(G61*17.3%/3,2)*(G5="L")</f>
        <v>0</v>
      </c>
      <c r="H97" s="105">
        <f t="shared" si="160"/>
        <v>0</v>
      </c>
      <c r="I97" s="105">
        <f t="shared" si="160"/>
        <v>0</v>
      </c>
      <c r="J97" s="105">
        <f t="shared" si="160"/>
        <v>0</v>
      </c>
      <c r="K97" s="105">
        <f t="shared" si="160"/>
        <v>0</v>
      </c>
      <c r="L97" s="105">
        <f t="shared" si="160"/>
        <v>0</v>
      </c>
      <c r="M97" s="105">
        <f t="shared" si="160"/>
        <v>0</v>
      </c>
      <c r="N97" s="105">
        <f t="shared" si="160"/>
        <v>0</v>
      </c>
      <c r="O97" s="105">
        <f t="shared" si="160"/>
        <v>0</v>
      </c>
      <c r="P97" s="105">
        <f t="shared" si="160"/>
        <v>0</v>
      </c>
      <c r="Q97" s="105">
        <f t="shared" si="160"/>
        <v>0</v>
      </c>
      <c r="R97" s="105">
        <f t="shared" si="160"/>
        <v>0</v>
      </c>
      <c r="S97" s="105"/>
      <c r="T97" s="910">
        <f t="shared" si="160"/>
        <v>0</v>
      </c>
      <c r="U97" s="105">
        <f t="shared" si="160"/>
        <v>0</v>
      </c>
      <c r="V97" s="105">
        <f t="shared" si="160"/>
        <v>0</v>
      </c>
      <c r="W97" s="105">
        <f t="shared" si="160"/>
        <v>0</v>
      </c>
      <c r="X97" s="105">
        <f t="shared" si="160"/>
        <v>0</v>
      </c>
      <c r="Y97" s="105">
        <f t="shared" si="160"/>
        <v>0</v>
      </c>
      <c r="Z97" s="105">
        <f t="shared" si="160"/>
        <v>0</v>
      </c>
      <c r="AA97" s="105">
        <f t="shared" si="160"/>
        <v>0</v>
      </c>
      <c r="AB97" s="105">
        <f t="shared" si="160"/>
        <v>0</v>
      </c>
      <c r="AC97" s="105">
        <f t="shared" si="160"/>
        <v>0</v>
      </c>
      <c r="AD97" s="105">
        <f t="shared" si="160"/>
        <v>0</v>
      </c>
      <c r="AE97" s="105">
        <f t="shared" si="160"/>
        <v>0</v>
      </c>
      <c r="AF97" s="106">
        <f t="shared" si="73"/>
        <v>0</v>
      </c>
      <c r="AG97" s="86"/>
      <c r="AH97" s="86"/>
      <c r="AI97" s="86"/>
      <c r="AJ97" s="86"/>
      <c r="AK97" s="86"/>
      <c r="AL97" s="86"/>
    </row>
    <row r="98" spans="1:38" ht="14">
      <c r="A98" s="379"/>
      <c r="B98" s="22">
        <f t="shared" si="78"/>
        <v>92</v>
      </c>
      <c r="C98"/>
      <c r="D98" s="650">
        <f>(D19&lt;&gt;"")*1</f>
        <v>1</v>
      </c>
      <c r="E98"/>
      <c r="F98" s="155" t="s">
        <v>59</v>
      </c>
      <c r="G98" s="105">
        <f t="shared" ref="G98:AE98" si="161">ROUND(G62*17.3%/3,2)*(G5="L")</f>
        <v>0</v>
      </c>
      <c r="H98" s="105">
        <f t="shared" si="161"/>
        <v>0</v>
      </c>
      <c r="I98" s="105">
        <f t="shared" si="161"/>
        <v>0</v>
      </c>
      <c r="J98" s="105">
        <f t="shared" si="161"/>
        <v>0</v>
      </c>
      <c r="K98" s="105">
        <f t="shared" si="161"/>
        <v>0</v>
      </c>
      <c r="L98" s="105">
        <f t="shared" si="161"/>
        <v>0</v>
      </c>
      <c r="M98" s="105">
        <f t="shared" si="161"/>
        <v>0</v>
      </c>
      <c r="N98" s="105">
        <f t="shared" si="161"/>
        <v>0</v>
      </c>
      <c r="O98" s="105">
        <f t="shared" si="161"/>
        <v>0</v>
      </c>
      <c r="P98" s="105">
        <f t="shared" si="161"/>
        <v>0</v>
      </c>
      <c r="Q98" s="105">
        <f t="shared" si="161"/>
        <v>0</v>
      </c>
      <c r="R98" s="105">
        <f t="shared" si="161"/>
        <v>0</v>
      </c>
      <c r="S98" s="105"/>
      <c r="T98" s="910">
        <f t="shared" si="161"/>
        <v>0</v>
      </c>
      <c r="U98" s="105">
        <f t="shared" si="161"/>
        <v>0</v>
      </c>
      <c r="V98" s="105">
        <f t="shared" si="161"/>
        <v>0</v>
      </c>
      <c r="W98" s="105">
        <f t="shared" si="161"/>
        <v>0</v>
      </c>
      <c r="X98" s="105">
        <f t="shared" si="161"/>
        <v>0</v>
      </c>
      <c r="Y98" s="105">
        <f t="shared" si="161"/>
        <v>0</v>
      </c>
      <c r="Z98" s="105">
        <f t="shared" si="161"/>
        <v>0</v>
      </c>
      <c r="AA98" s="105">
        <f t="shared" si="161"/>
        <v>0</v>
      </c>
      <c r="AB98" s="105">
        <f t="shared" si="161"/>
        <v>0</v>
      </c>
      <c r="AC98" s="105">
        <f t="shared" si="161"/>
        <v>0</v>
      </c>
      <c r="AD98" s="105">
        <f t="shared" si="161"/>
        <v>0</v>
      </c>
      <c r="AE98" s="105">
        <f t="shared" si="161"/>
        <v>0</v>
      </c>
      <c r="AF98" s="106">
        <f t="shared" si="73"/>
        <v>0</v>
      </c>
      <c r="AG98" s="86"/>
      <c r="AH98" s="86"/>
      <c r="AI98" s="86"/>
      <c r="AJ98" s="86"/>
      <c r="AK98" s="86"/>
      <c r="AL98" s="86"/>
    </row>
    <row r="99" spans="1:38" ht="14">
      <c r="A99" s="379"/>
      <c r="B99" s="22">
        <f t="shared" si="78"/>
        <v>93</v>
      </c>
      <c r="C99"/>
      <c r="D99"/>
      <c r="E99"/>
      <c r="F99" s="155" t="s">
        <v>340</v>
      </c>
      <c r="G99" s="105">
        <f t="shared" ref="G99:AE99" si="162">ROUND(G63*17.3%/3,2)*(G5="L")</f>
        <v>0</v>
      </c>
      <c r="H99" s="105">
        <f t="shared" si="162"/>
        <v>0</v>
      </c>
      <c r="I99" s="105">
        <f t="shared" si="162"/>
        <v>0</v>
      </c>
      <c r="J99" s="105">
        <f t="shared" si="162"/>
        <v>0</v>
      </c>
      <c r="K99" s="105">
        <f t="shared" si="162"/>
        <v>0</v>
      </c>
      <c r="L99" s="105">
        <f t="shared" si="162"/>
        <v>0</v>
      </c>
      <c r="M99" s="105">
        <f t="shared" si="162"/>
        <v>0</v>
      </c>
      <c r="N99" s="105">
        <f t="shared" si="162"/>
        <v>0</v>
      </c>
      <c r="O99" s="105">
        <f t="shared" si="162"/>
        <v>0</v>
      </c>
      <c r="P99" s="105">
        <f t="shared" si="162"/>
        <v>0</v>
      </c>
      <c r="Q99" s="105">
        <f t="shared" si="162"/>
        <v>0</v>
      </c>
      <c r="R99" s="105">
        <f t="shared" si="162"/>
        <v>0</v>
      </c>
      <c r="S99" s="105"/>
      <c r="T99" s="910">
        <f t="shared" si="162"/>
        <v>0</v>
      </c>
      <c r="U99" s="105">
        <f t="shared" si="162"/>
        <v>0</v>
      </c>
      <c r="V99" s="105">
        <f t="shared" si="162"/>
        <v>0</v>
      </c>
      <c r="W99" s="105">
        <f t="shared" si="162"/>
        <v>0</v>
      </c>
      <c r="X99" s="105">
        <f t="shared" si="162"/>
        <v>0</v>
      </c>
      <c r="Y99" s="105">
        <f t="shared" si="162"/>
        <v>0</v>
      </c>
      <c r="Z99" s="105">
        <f t="shared" si="162"/>
        <v>0</v>
      </c>
      <c r="AA99" s="105">
        <f t="shared" si="162"/>
        <v>0</v>
      </c>
      <c r="AB99" s="105">
        <f t="shared" si="162"/>
        <v>0</v>
      </c>
      <c r="AC99" s="105">
        <f t="shared" si="162"/>
        <v>0</v>
      </c>
      <c r="AD99" s="105">
        <f t="shared" si="162"/>
        <v>0</v>
      </c>
      <c r="AE99" s="105">
        <f t="shared" si="162"/>
        <v>0</v>
      </c>
      <c r="AF99" s="106">
        <f>SUM(G99:R99)</f>
        <v>0</v>
      </c>
      <c r="AG99" s="86"/>
      <c r="AH99" s="86"/>
      <c r="AI99" s="86"/>
      <c r="AJ99" s="86"/>
      <c r="AK99" s="86"/>
      <c r="AL99" s="86"/>
    </row>
    <row r="100" spans="1:38" ht="14">
      <c r="A100" s="379"/>
      <c r="B100" s="22">
        <f t="shared" si="78"/>
        <v>94</v>
      </c>
      <c r="C100"/>
      <c r="D100"/>
      <c r="E100"/>
      <c r="F100" s="155" t="s">
        <v>14</v>
      </c>
      <c r="G100" s="105">
        <f t="shared" ref="G100:AE100" si="163">ROUND(G64*17.3%/3,2)*(G5="L")</f>
        <v>0</v>
      </c>
      <c r="H100" s="105">
        <f t="shared" si="163"/>
        <v>0</v>
      </c>
      <c r="I100" s="105">
        <f t="shared" si="163"/>
        <v>0</v>
      </c>
      <c r="J100" s="105">
        <f t="shared" si="163"/>
        <v>0</v>
      </c>
      <c r="K100" s="105">
        <f t="shared" si="163"/>
        <v>0</v>
      </c>
      <c r="L100" s="105">
        <f t="shared" si="163"/>
        <v>0</v>
      </c>
      <c r="M100" s="105">
        <f t="shared" si="163"/>
        <v>0</v>
      </c>
      <c r="N100" s="105">
        <f t="shared" si="163"/>
        <v>0</v>
      </c>
      <c r="O100" s="105">
        <f t="shared" si="163"/>
        <v>0</v>
      </c>
      <c r="P100" s="105">
        <f t="shared" si="163"/>
        <v>0</v>
      </c>
      <c r="Q100" s="105">
        <f t="shared" si="163"/>
        <v>0</v>
      </c>
      <c r="R100" s="105">
        <f t="shared" si="163"/>
        <v>0</v>
      </c>
      <c r="S100" s="105"/>
      <c r="T100" s="910">
        <f t="shared" si="163"/>
        <v>0</v>
      </c>
      <c r="U100" s="105">
        <f t="shared" si="163"/>
        <v>0</v>
      </c>
      <c r="V100" s="105">
        <f t="shared" si="163"/>
        <v>0</v>
      </c>
      <c r="W100" s="105">
        <f t="shared" si="163"/>
        <v>0</v>
      </c>
      <c r="X100" s="105">
        <f t="shared" si="163"/>
        <v>0</v>
      </c>
      <c r="Y100" s="105">
        <f t="shared" si="163"/>
        <v>0</v>
      </c>
      <c r="Z100" s="105">
        <f t="shared" si="163"/>
        <v>0</v>
      </c>
      <c r="AA100" s="105">
        <f t="shared" si="163"/>
        <v>0</v>
      </c>
      <c r="AB100" s="105">
        <f t="shared" si="163"/>
        <v>0</v>
      </c>
      <c r="AC100" s="105">
        <f t="shared" si="163"/>
        <v>0</v>
      </c>
      <c r="AD100" s="105">
        <f t="shared" si="163"/>
        <v>0</v>
      </c>
      <c r="AE100" s="105">
        <f t="shared" si="163"/>
        <v>0</v>
      </c>
      <c r="AF100" s="106">
        <f t="shared" si="73"/>
        <v>0</v>
      </c>
      <c r="AG100" s="86"/>
      <c r="AH100" s="86"/>
      <c r="AI100" s="86"/>
      <c r="AJ100" s="86"/>
      <c r="AK100" s="86"/>
      <c r="AL100" s="86"/>
    </row>
    <row r="101" spans="1:38" ht="14">
      <c r="A101" s="379"/>
      <c r="B101" s="22">
        <f t="shared" si="78"/>
        <v>95</v>
      </c>
      <c r="C101"/>
      <c r="D101"/>
      <c r="E101"/>
      <c r="F101" s="155" t="s">
        <v>349</v>
      </c>
      <c r="G101" s="105">
        <f t="shared" ref="G101:AE101" si="164">ROUND(G66*17.3%/3,2)*(G5="L")</f>
        <v>0</v>
      </c>
      <c r="H101" s="105">
        <f t="shared" si="164"/>
        <v>0</v>
      </c>
      <c r="I101" s="105">
        <f t="shared" si="164"/>
        <v>0</v>
      </c>
      <c r="J101" s="105">
        <f t="shared" si="164"/>
        <v>0</v>
      </c>
      <c r="K101" s="105">
        <f t="shared" si="164"/>
        <v>0</v>
      </c>
      <c r="L101" s="105">
        <f t="shared" si="164"/>
        <v>0</v>
      </c>
      <c r="M101" s="105">
        <f t="shared" si="164"/>
        <v>0</v>
      </c>
      <c r="N101" s="105">
        <f t="shared" si="164"/>
        <v>0</v>
      </c>
      <c r="O101" s="105">
        <f t="shared" si="164"/>
        <v>0</v>
      </c>
      <c r="P101" s="105">
        <f t="shared" si="164"/>
        <v>0</v>
      </c>
      <c r="Q101" s="105">
        <f t="shared" si="164"/>
        <v>0</v>
      </c>
      <c r="R101" s="105">
        <f t="shared" si="164"/>
        <v>0</v>
      </c>
      <c r="S101" s="105"/>
      <c r="T101" s="910">
        <f t="shared" si="164"/>
        <v>0</v>
      </c>
      <c r="U101" s="105">
        <f t="shared" si="164"/>
        <v>0</v>
      </c>
      <c r="V101" s="105">
        <f t="shared" si="164"/>
        <v>0</v>
      </c>
      <c r="W101" s="105">
        <f t="shared" si="164"/>
        <v>0</v>
      </c>
      <c r="X101" s="105">
        <f t="shared" si="164"/>
        <v>0</v>
      </c>
      <c r="Y101" s="105">
        <f t="shared" si="164"/>
        <v>0</v>
      </c>
      <c r="Z101" s="105">
        <f t="shared" si="164"/>
        <v>0</v>
      </c>
      <c r="AA101" s="105">
        <f t="shared" si="164"/>
        <v>0</v>
      </c>
      <c r="AB101" s="105">
        <f t="shared" si="164"/>
        <v>0</v>
      </c>
      <c r="AC101" s="105">
        <f t="shared" si="164"/>
        <v>0</v>
      </c>
      <c r="AD101" s="105">
        <f t="shared" si="164"/>
        <v>0</v>
      </c>
      <c r="AE101" s="105">
        <f t="shared" si="164"/>
        <v>0</v>
      </c>
      <c r="AF101" s="106">
        <f t="shared" si="73"/>
        <v>0</v>
      </c>
      <c r="AG101" s="86"/>
      <c r="AH101" s="86"/>
      <c r="AI101" s="86"/>
      <c r="AJ101" s="86"/>
      <c r="AK101" s="86"/>
      <c r="AL101" s="86"/>
    </row>
    <row r="102" spans="1:38" ht="14">
      <c r="A102" s="379"/>
      <c r="B102" s="22">
        <f t="shared" si="78"/>
        <v>96</v>
      </c>
      <c r="C102"/>
      <c r="D102"/>
      <c r="E102"/>
      <c r="F102" s="155" t="s">
        <v>576</v>
      </c>
      <c r="G102" s="105">
        <f t="shared" ref="G102:AE102" si="165">ROUND(G67*17.3%/3,2)*(G5="L")</f>
        <v>0</v>
      </c>
      <c r="H102" s="105">
        <f t="shared" si="165"/>
        <v>0</v>
      </c>
      <c r="I102" s="105">
        <f t="shared" si="165"/>
        <v>0</v>
      </c>
      <c r="J102" s="105">
        <f t="shared" si="165"/>
        <v>0</v>
      </c>
      <c r="K102" s="105">
        <f t="shared" si="165"/>
        <v>0</v>
      </c>
      <c r="L102" s="105">
        <f t="shared" si="165"/>
        <v>0</v>
      </c>
      <c r="M102" s="105">
        <f t="shared" si="165"/>
        <v>0</v>
      </c>
      <c r="N102" s="105">
        <f t="shared" si="165"/>
        <v>0</v>
      </c>
      <c r="O102" s="105">
        <f t="shared" si="165"/>
        <v>0</v>
      </c>
      <c r="P102" s="105">
        <f t="shared" si="165"/>
        <v>0</v>
      </c>
      <c r="Q102" s="105">
        <f t="shared" si="165"/>
        <v>0</v>
      </c>
      <c r="R102" s="105">
        <f t="shared" si="165"/>
        <v>0</v>
      </c>
      <c r="S102" s="105"/>
      <c r="T102" s="910">
        <f>ROUND(T67*17.3%/3,2)*($T$5="L")</f>
        <v>0</v>
      </c>
      <c r="U102" s="105">
        <f t="shared" si="165"/>
        <v>0</v>
      </c>
      <c r="V102" s="105">
        <f t="shared" si="165"/>
        <v>0</v>
      </c>
      <c r="W102" s="105">
        <f t="shared" si="165"/>
        <v>0</v>
      </c>
      <c r="X102" s="105">
        <f t="shared" si="165"/>
        <v>0</v>
      </c>
      <c r="Y102" s="105">
        <f t="shared" si="165"/>
        <v>0</v>
      </c>
      <c r="Z102" s="105">
        <f t="shared" si="165"/>
        <v>0</v>
      </c>
      <c r="AA102" s="105">
        <f t="shared" si="165"/>
        <v>0</v>
      </c>
      <c r="AB102" s="105">
        <f t="shared" si="165"/>
        <v>0</v>
      </c>
      <c r="AC102" s="105">
        <f t="shared" si="165"/>
        <v>0</v>
      </c>
      <c r="AD102" s="105">
        <f t="shared" si="165"/>
        <v>0</v>
      </c>
      <c r="AE102" s="105">
        <f t="shared" si="165"/>
        <v>0</v>
      </c>
      <c r="AF102" s="106">
        <f t="shared" si="73"/>
        <v>0</v>
      </c>
      <c r="AG102" s="86"/>
      <c r="AH102" s="86"/>
      <c r="AI102" s="86"/>
      <c r="AJ102" s="86"/>
      <c r="AK102" s="86"/>
      <c r="AL102" s="86"/>
    </row>
    <row r="103" spans="1:38" ht="14">
      <c r="A103" s="379"/>
      <c r="B103" s="22">
        <f t="shared" si="78"/>
        <v>97</v>
      </c>
      <c r="C103"/>
      <c r="D103"/>
      <c r="E103"/>
      <c r="F103" s="155" t="s">
        <v>547</v>
      </c>
      <c r="G103" s="105">
        <f t="shared" ref="G103:AE103" si="166">G68*0.173*($C23="x")/3*(G5="L")</f>
        <v>0</v>
      </c>
      <c r="H103" s="105">
        <f t="shared" si="166"/>
        <v>0</v>
      </c>
      <c r="I103" s="105">
        <f t="shared" si="166"/>
        <v>0</v>
      </c>
      <c r="J103" s="105">
        <f t="shared" si="166"/>
        <v>0</v>
      </c>
      <c r="K103" s="105">
        <f t="shared" si="166"/>
        <v>0</v>
      </c>
      <c r="L103" s="105">
        <f t="shared" si="166"/>
        <v>0</v>
      </c>
      <c r="M103" s="105">
        <f t="shared" si="166"/>
        <v>0</v>
      </c>
      <c r="N103" s="105">
        <f t="shared" si="166"/>
        <v>0</v>
      </c>
      <c r="O103" s="105">
        <f t="shared" si="166"/>
        <v>0</v>
      </c>
      <c r="P103" s="105">
        <f t="shared" si="166"/>
        <v>0</v>
      </c>
      <c r="Q103" s="105">
        <f t="shared" si="166"/>
        <v>0</v>
      </c>
      <c r="R103" s="105">
        <f t="shared" si="166"/>
        <v>0</v>
      </c>
      <c r="S103" s="105"/>
      <c r="T103" s="910">
        <f t="shared" si="166"/>
        <v>0</v>
      </c>
      <c r="U103" s="105">
        <f t="shared" si="166"/>
        <v>0</v>
      </c>
      <c r="V103" s="105">
        <f t="shared" si="166"/>
        <v>0</v>
      </c>
      <c r="W103" s="105">
        <f t="shared" si="166"/>
        <v>0</v>
      </c>
      <c r="X103" s="105">
        <f t="shared" si="166"/>
        <v>0</v>
      </c>
      <c r="Y103" s="105">
        <f t="shared" si="166"/>
        <v>0</v>
      </c>
      <c r="Z103" s="105">
        <f t="shared" si="166"/>
        <v>0</v>
      </c>
      <c r="AA103" s="105">
        <f t="shared" si="166"/>
        <v>0</v>
      </c>
      <c r="AB103" s="105">
        <f t="shared" si="166"/>
        <v>0</v>
      </c>
      <c r="AC103" s="105">
        <f t="shared" si="166"/>
        <v>0</v>
      </c>
      <c r="AD103" s="105">
        <f t="shared" si="166"/>
        <v>0</v>
      </c>
      <c r="AE103" s="105">
        <f t="shared" si="166"/>
        <v>0</v>
      </c>
      <c r="AF103" s="106">
        <f t="shared" si="73"/>
        <v>0</v>
      </c>
      <c r="AG103" s="86"/>
      <c r="AH103" s="86"/>
      <c r="AI103" s="86"/>
      <c r="AJ103" s="86"/>
      <c r="AK103" s="86"/>
      <c r="AL103" s="86"/>
    </row>
    <row r="104" spans="1:38" ht="14">
      <c r="A104" s="379"/>
      <c r="B104" s="22">
        <f t="shared" si="78"/>
        <v>98</v>
      </c>
      <c r="C104"/>
      <c r="D104"/>
      <c r="E104"/>
      <c r="F104" s="155" t="s">
        <v>694</v>
      </c>
      <c r="G104" s="105">
        <f>(G84*0.173+(G45*0.173*($C45="x")+G46*0.173*($C46="x")+G42*0.173*(G11&lt;1)))/3*(G5="L")</f>
        <v>0</v>
      </c>
      <c r="H104" s="105">
        <f t="shared" ref="H104:R104" si="167">(H84*0.173+(H45*0.173*($C45="x")+H46*0.173*($C46="x")+H42*0.173*(H11&lt;1)))/3*(H5="L")</f>
        <v>0</v>
      </c>
      <c r="I104" s="105">
        <f t="shared" si="167"/>
        <v>0</v>
      </c>
      <c r="J104" s="105">
        <f t="shared" si="167"/>
        <v>0</v>
      </c>
      <c r="K104" s="105">
        <f t="shared" si="167"/>
        <v>0</v>
      </c>
      <c r="L104" s="105">
        <f t="shared" si="167"/>
        <v>0</v>
      </c>
      <c r="M104" s="105">
        <f t="shared" si="167"/>
        <v>0</v>
      </c>
      <c r="N104" s="105">
        <f t="shared" si="167"/>
        <v>0</v>
      </c>
      <c r="O104" s="105">
        <f t="shared" si="167"/>
        <v>0</v>
      </c>
      <c r="P104" s="105">
        <f t="shared" si="167"/>
        <v>0</v>
      </c>
      <c r="Q104" s="105">
        <f t="shared" si="167"/>
        <v>0</v>
      </c>
      <c r="R104" s="105">
        <f t="shared" si="167"/>
        <v>0</v>
      </c>
      <c r="S104" s="105"/>
      <c r="T104" s="910">
        <f t="shared" ref="T104:AE104" si="168">(T84*0.173+(T45*0.173*($C45="x")+T46*0.173*($C46="x")+T42*0.173*(T10&lt;1)))/3*(T5="L")</f>
        <v>0</v>
      </c>
      <c r="U104" s="105">
        <f t="shared" si="168"/>
        <v>0</v>
      </c>
      <c r="V104" s="105">
        <f t="shared" si="168"/>
        <v>0</v>
      </c>
      <c r="W104" s="105">
        <f t="shared" si="168"/>
        <v>0</v>
      </c>
      <c r="X104" s="105">
        <f t="shared" si="168"/>
        <v>0</v>
      </c>
      <c r="Y104" s="105">
        <f t="shared" si="168"/>
        <v>0</v>
      </c>
      <c r="Z104" s="105">
        <f t="shared" si="168"/>
        <v>0</v>
      </c>
      <c r="AA104" s="105">
        <f t="shared" si="168"/>
        <v>0</v>
      </c>
      <c r="AB104" s="105">
        <f t="shared" si="168"/>
        <v>0</v>
      </c>
      <c r="AC104" s="105">
        <f t="shared" si="168"/>
        <v>0</v>
      </c>
      <c r="AD104" s="105">
        <f t="shared" si="168"/>
        <v>0</v>
      </c>
      <c r="AE104" s="105">
        <f t="shared" si="168"/>
        <v>0</v>
      </c>
      <c r="AF104" s="106">
        <f t="shared" si="73"/>
        <v>0</v>
      </c>
      <c r="AG104" s="86"/>
      <c r="AH104" s="86"/>
      <c r="AI104" s="86"/>
      <c r="AJ104" s="86"/>
      <c r="AK104" s="86"/>
      <c r="AL104" s="86"/>
    </row>
    <row r="105" spans="1:38" ht="14">
      <c r="A105" s="379"/>
      <c r="B105" s="22">
        <f t="shared" si="78"/>
        <v>99</v>
      </c>
      <c r="C105"/>
      <c r="D105"/>
      <c r="E105"/>
      <c r="F105" s="155" t="s">
        <v>428</v>
      </c>
      <c r="G105" s="105">
        <f>IF(LEFT(G$5)&lt;&gt;"L",G148/3,0)</f>
        <v>0</v>
      </c>
      <c r="H105" s="105">
        <f t="shared" ref="H105:R105" si="169">IF(LEFT(H$5)&lt;&gt;"L",H148/3,0)</f>
        <v>0</v>
      </c>
      <c r="I105" s="105">
        <f t="shared" si="169"/>
        <v>0</v>
      </c>
      <c r="J105" s="105">
        <f t="shared" si="169"/>
        <v>0</v>
      </c>
      <c r="K105" s="105">
        <f t="shared" si="169"/>
        <v>0</v>
      </c>
      <c r="L105" s="105">
        <f t="shared" si="169"/>
        <v>0</v>
      </c>
      <c r="M105" s="105">
        <f t="shared" si="169"/>
        <v>0</v>
      </c>
      <c r="N105" s="105">
        <f t="shared" si="169"/>
        <v>0</v>
      </c>
      <c r="O105" s="105">
        <f t="shared" si="169"/>
        <v>0</v>
      </c>
      <c r="P105" s="105">
        <f t="shared" si="169"/>
        <v>0</v>
      </c>
      <c r="Q105" s="105">
        <f t="shared" si="169"/>
        <v>0</v>
      </c>
      <c r="R105" s="105">
        <f t="shared" si="169"/>
        <v>0</v>
      </c>
      <c r="S105" s="105"/>
      <c r="T105" s="910">
        <f>IF(LEFT(T$5)&lt;&gt;"L",T148/3,0)</f>
        <v>0</v>
      </c>
      <c r="U105" s="105">
        <f t="shared" ref="U105:AE105" si="170">IF(LEFT(U$5)&lt;&gt;"L",U148/3,0)</f>
        <v>0</v>
      </c>
      <c r="V105" s="105">
        <f t="shared" si="170"/>
        <v>0</v>
      </c>
      <c r="W105" s="105">
        <f t="shared" si="170"/>
        <v>0</v>
      </c>
      <c r="X105" s="105">
        <f t="shared" si="170"/>
        <v>0</v>
      </c>
      <c r="Y105" s="105">
        <f t="shared" si="170"/>
        <v>0</v>
      </c>
      <c r="Z105" s="105">
        <f t="shared" si="170"/>
        <v>0</v>
      </c>
      <c r="AA105" s="105">
        <f t="shared" si="170"/>
        <v>0</v>
      </c>
      <c r="AB105" s="105">
        <f t="shared" si="170"/>
        <v>0</v>
      </c>
      <c r="AC105" s="105">
        <f t="shared" si="170"/>
        <v>0</v>
      </c>
      <c r="AD105" s="105">
        <f t="shared" si="170"/>
        <v>0</v>
      </c>
      <c r="AE105" s="105">
        <f t="shared" si="170"/>
        <v>0</v>
      </c>
      <c r="AF105" s="106">
        <f t="shared" si="73"/>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71">IF(H5="L",H70*17.3%/3,H148*4.62%*((H25+H28)*-1)*18%/3)</f>
        <v>0</v>
      </c>
      <c r="I106" s="208">
        <f t="shared" si="171"/>
        <v>0</v>
      </c>
      <c r="J106" s="208">
        <f t="shared" si="171"/>
        <v>0</v>
      </c>
      <c r="K106" s="208">
        <f t="shared" si="171"/>
        <v>0</v>
      </c>
      <c r="L106" s="208">
        <f t="shared" si="171"/>
        <v>0</v>
      </c>
      <c r="M106" s="208">
        <f t="shared" si="171"/>
        <v>0</v>
      </c>
      <c r="N106" s="208">
        <f t="shared" si="171"/>
        <v>0</v>
      </c>
      <c r="O106" s="208">
        <f t="shared" si="171"/>
        <v>0</v>
      </c>
      <c r="P106" s="208">
        <f t="shared" si="171"/>
        <v>0</v>
      </c>
      <c r="Q106" s="208">
        <f t="shared" si="171"/>
        <v>0</v>
      </c>
      <c r="R106" s="208">
        <f t="shared" si="171"/>
        <v>0</v>
      </c>
      <c r="S106" s="208">
        <f t="shared" si="171"/>
        <v>0</v>
      </c>
      <c r="T106" s="208">
        <f t="shared" si="171"/>
        <v>0</v>
      </c>
      <c r="U106" s="208">
        <f t="shared" si="171"/>
        <v>0</v>
      </c>
      <c r="V106" s="208">
        <f t="shared" si="171"/>
        <v>0</v>
      </c>
      <c r="W106" s="208">
        <f t="shared" si="171"/>
        <v>0</v>
      </c>
      <c r="X106" s="208">
        <f t="shared" si="171"/>
        <v>0</v>
      </c>
      <c r="Y106" s="208">
        <f t="shared" si="171"/>
        <v>0</v>
      </c>
      <c r="Z106" s="208">
        <f t="shared" si="171"/>
        <v>0</v>
      </c>
      <c r="AA106" s="208">
        <f t="shared" si="171"/>
        <v>0</v>
      </c>
      <c r="AB106" s="208">
        <f t="shared" si="171"/>
        <v>0</v>
      </c>
      <c r="AC106" s="208">
        <f t="shared" si="171"/>
        <v>0</v>
      </c>
      <c r="AD106" s="208">
        <f t="shared" si="171"/>
        <v>0</v>
      </c>
      <c r="AE106" s="208">
        <f t="shared" si="171"/>
        <v>0</v>
      </c>
      <c r="AF106" s="106">
        <f t="shared" si="73"/>
        <v>0</v>
      </c>
      <c r="AG106" s="86"/>
      <c r="AH106" s="86"/>
      <c r="AI106" s="86"/>
      <c r="AJ106" s="86"/>
      <c r="AK106" s="86"/>
      <c r="AL106" s="86"/>
    </row>
    <row r="107" spans="1:38" ht="14">
      <c r="A107" s="379"/>
      <c r="B107" s="22">
        <f t="shared" si="78"/>
        <v>97</v>
      </c>
      <c r="C107"/>
      <c r="D107"/>
      <c r="E107"/>
      <c r="F107" s="156" t="s">
        <v>35</v>
      </c>
      <c r="G107" s="208">
        <f>G72*17.3%/3*(G5="L")</f>
        <v>0</v>
      </c>
      <c r="H107" s="208">
        <f t="shared" ref="H107:AE107" si="172">H72*17.3%/3*(H5="L")</f>
        <v>0</v>
      </c>
      <c r="I107" s="208">
        <f t="shared" si="172"/>
        <v>0</v>
      </c>
      <c r="J107" s="208">
        <f t="shared" si="172"/>
        <v>0</v>
      </c>
      <c r="K107" s="208">
        <f t="shared" si="172"/>
        <v>0</v>
      </c>
      <c r="L107" s="208">
        <f t="shared" si="172"/>
        <v>0</v>
      </c>
      <c r="M107" s="208">
        <f t="shared" si="172"/>
        <v>0</v>
      </c>
      <c r="N107" s="208">
        <f t="shared" si="172"/>
        <v>0</v>
      </c>
      <c r="O107" s="208">
        <f t="shared" si="172"/>
        <v>0</v>
      </c>
      <c r="P107" s="208">
        <f t="shared" si="172"/>
        <v>0</v>
      </c>
      <c r="Q107" s="208">
        <f t="shared" si="172"/>
        <v>0</v>
      </c>
      <c r="R107" s="208">
        <f t="shared" si="172"/>
        <v>0</v>
      </c>
      <c r="S107" s="208"/>
      <c r="T107" s="911">
        <f t="shared" si="172"/>
        <v>0</v>
      </c>
      <c r="U107" s="208">
        <f t="shared" si="172"/>
        <v>0</v>
      </c>
      <c r="V107" s="208">
        <f t="shared" si="172"/>
        <v>0</v>
      </c>
      <c r="W107" s="208">
        <f t="shared" si="172"/>
        <v>0</v>
      </c>
      <c r="X107" s="208">
        <f t="shared" si="172"/>
        <v>0</v>
      </c>
      <c r="Y107" s="208">
        <f t="shared" si="172"/>
        <v>0</v>
      </c>
      <c r="Z107" s="208">
        <f t="shared" si="172"/>
        <v>0</v>
      </c>
      <c r="AA107" s="208">
        <f t="shared" si="172"/>
        <v>0</v>
      </c>
      <c r="AB107" s="208">
        <f t="shared" si="172"/>
        <v>0</v>
      </c>
      <c r="AC107" s="208">
        <f t="shared" si="172"/>
        <v>0</v>
      </c>
      <c r="AD107" s="208">
        <f t="shared" si="172"/>
        <v>0</v>
      </c>
      <c r="AE107" s="208">
        <f t="shared" si="172"/>
        <v>0</v>
      </c>
      <c r="AF107" s="123">
        <f t="shared" si="73"/>
        <v>0</v>
      </c>
      <c r="AG107" s="86"/>
      <c r="AH107" s="86"/>
      <c r="AI107" s="86"/>
      <c r="AJ107" s="86"/>
      <c r="AK107" s="86"/>
      <c r="AL107" s="86"/>
    </row>
    <row r="108" spans="1:38" ht="28" customHeight="1">
      <c r="A108" s="379"/>
      <c r="B108" s="22">
        <f t="shared" si="78"/>
        <v>98</v>
      </c>
      <c r="C108"/>
      <c r="D108"/>
      <c r="E108"/>
      <c r="F108" s="6" t="s">
        <v>651</v>
      </c>
      <c r="G108" s="903">
        <f>IF(OR(G8="Ja",G11&gt;G10),SUM(T90:T107)-SUM(G90:G107)+T109-G109,0)</f>
        <v>0</v>
      </c>
      <c r="H108" s="903">
        <f>IF(OR(H8="Ja",H11&gt;H10),SUM(U90:U107)-SUM(H90:H107)+U109-H109,0)</f>
        <v>0</v>
      </c>
      <c r="I108" s="903">
        <f t="shared" ref="I108:R108" si="173">IF(OR(I8="Ja",I11&gt;I10),SUM(V90:V107)-SUM(I90:I107)+V109-I109,0)</f>
        <v>0</v>
      </c>
      <c r="J108" s="903">
        <f t="shared" si="173"/>
        <v>0</v>
      </c>
      <c r="K108" s="903">
        <f t="shared" si="173"/>
        <v>0</v>
      </c>
      <c r="L108" s="903">
        <f t="shared" si="173"/>
        <v>0</v>
      </c>
      <c r="M108" s="903">
        <f t="shared" si="173"/>
        <v>0</v>
      </c>
      <c r="N108" s="903">
        <f t="shared" si="173"/>
        <v>0</v>
      </c>
      <c r="O108" s="903">
        <f t="shared" si="173"/>
        <v>0</v>
      </c>
      <c r="P108" s="903">
        <f t="shared" si="173"/>
        <v>0</v>
      </c>
      <c r="Q108" s="903">
        <f t="shared" si="173"/>
        <v>0</v>
      </c>
      <c r="R108" s="903">
        <f t="shared" si="173"/>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74">ROUND(G88*17.3%/3,2)*(G5="L")</f>
        <v>0</v>
      </c>
      <c r="H109" s="903">
        <f t="shared" si="174"/>
        <v>0</v>
      </c>
      <c r="I109" s="903">
        <f t="shared" si="174"/>
        <v>0</v>
      </c>
      <c r="J109" s="903">
        <f t="shared" si="174"/>
        <v>0</v>
      </c>
      <c r="K109" s="903">
        <f t="shared" si="174"/>
        <v>0</v>
      </c>
      <c r="L109" s="903">
        <f t="shared" si="174"/>
        <v>0</v>
      </c>
      <c r="M109" s="903">
        <f t="shared" si="174"/>
        <v>0</v>
      </c>
      <c r="N109" s="903">
        <f t="shared" si="174"/>
        <v>0</v>
      </c>
      <c r="O109" s="903">
        <f t="shared" si="174"/>
        <v>0</v>
      </c>
      <c r="P109" s="903">
        <f t="shared" si="174"/>
        <v>0</v>
      </c>
      <c r="Q109" s="903">
        <f>ROUND(Q88*17.3%/3,2)*(Q5="L")</f>
        <v>0</v>
      </c>
      <c r="R109" s="903">
        <f t="shared" si="174"/>
        <v>0</v>
      </c>
      <c r="S109" s="903"/>
      <c r="T109" s="910">
        <f>ROUND(T88*17.3%/3,2)*($T$5="L")</f>
        <v>0</v>
      </c>
      <c r="U109" s="910">
        <f t="shared" ref="U109:AE109" si="175">ROUND(U88*17.3%/3,2)*($T$5="L")</f>
        <v>0</v>
      </c>
      <c r="V109" s="910">
        <f t="shared" si="175"/>
        <v>0</v>
      </c>
      <c r="W109" s="910">
        <f t="shared" si="175"/>
        <v>0</v>
      </c>
      <c r="X109" s="910">
        <f t="shared" si="175"/>
        <v>0</v>
      </c>
      <c r="Y109" s="910">
        <f t="shared" si="175"/>
        <v>0</v>
      </c>
      <c r="Z109" s="910">
        <f t="shared" si="175"/>
        <v>0</v>
      </c>
      <c r="AA109" s="910">
        <f t="shared" si="175"/>
        <v>0</v>
      </c>
      <c r="AB109" s="910">
        <f t="shared" si="175"/>
        <v>0</v>
      </c>
      <c r="AC109" s="910">
        <f t="shared" si="175"/>
        <v>0</v>
      </c>
      <c r="AD109" s="910">
        <f t="shared" si="175"/>
        <v>0</v>
      </c>
      <c r="AE109" s="910">
        <f t="shared" si="175"/>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76">SUM(I90:I109)</f>
        <v>0</v>
      </c>
      <c r="J110" s="212">
        <f>SUM(J90:J109)</f>
        <v>0</v>
      </c>
      <c r="K110" s="212">
        <f t="shared" si="176"/>
        <v>0</v>
      </c>
      <c r="L110" s="212">
        <f t="shared" si="176"/>
        <v>0</v>
      </c>
      <c r="M110" s="212">
        <f t="shared" si="176"/>
        <v>0</v>
      </c>
      <c r="N110" s="212">
        <f t="shared" si="176"/>
        <v>0</v>
      </c>
      <c r="O110" s="212">
        <f t="shared" si="176"/>
        <v>0</v>
      </c>
      <c r="P110" s="212">
        <f t="shared" si="176"/>
        <v>0</v>
      </c>
      <c r="Q110" s="212">
        <f t="shared" si="176"/>
        <v>0</v>
      </c>
      <c r="R110" s="212">
        <f t="shared" si="176"/>
        <v>0</v>
      </c>
      <c r="S110" s="212"/>
      <c r="T110" s="915" t="e">
        <f>SUM(T90:T107)+T109</f>
        <v>#DIV/0!</v>
      </c>
      <c r="U110" s="915">
        <f>SUM(U90:U107)+U109</f>
        <v>0</v>
      </c>
      <c r="V110" s="152">
        <f t="shared" ref="V110:AE110" si="177">SUM(V90:V107)</f>
        <v>0</v>
      </c>
      <c r="W110" s="152">
        <f t="shared" si="177"/>
        <v>0</v>
      </c>
      <c r="X110" s="152">
        <f t="shared" si="177"/>
        <v>0</v>
      </c>
      <c r="Y110" s="152">
        <f t="shared" si="177"/>
        <v>0</v>
      </c>
      <c r="Z110" s="152">
        <f t="shared" si="177"/>
        <v>0</v>
      </c>
      <c r="AA110" s="152">
        <f t="shared" si="177"/>
        <v>0</v>
      </c>
      <c r="AB110" s="152">
        <f t="shared" si="177"/>
        <v>0</v>
      </c>
      <c r="AC110" s="152">
        <f t="shared" si="177"/>
        <v>0</v>
      </c>
      <c r="AD110" s="152">
        <f t="shared" si="177"/>
        <v>0</v>
      </c>
      <c r="AE110" s="152">
        <f t="shared" si="177"/>
        <v>0</v>
      </c>
      <c r="AF110" s="153">
        <f t="shared" si="73"/>
        <v>0</v>
      </c>
      <c r="AG110" s="86"/>
      <c r="AH110" s="86"/>
      <c r="AI110" s="86"/>
      <c r="AJ110" s="86"/>
      <c r="AK110" s="86"/>
      <c r="AL110" s="86"/>
    </row>
    <row r="111" spans="1:38" ht="14">
      <c r="A111" s="381"/>
      <c r="B111" s="22">
        <f>B110+1</f>
        <v>101</v>
      </c>
      <c r="C111"/>
      <c r="D111"/>
      <c r="E111"/>
      <c r="F111" s="182" t="s">
        <v>96</v>
      </c>
      <c r="G111" s="213">
        <f>ROUND(G123/3,2)</f>
        <v>0</v>
      </c>
      <c r="H111" s="213">
        <f t="shared" ref="H111:R111" si="178">ROUND(H123/3,2)</f>
        <v>0</v>
      </c>
      <c r="I111" s="213">
        <f>IF(I8="Ja",0,ROUND(I123/3,2))</f>
        <v>0</v>
      </c>
      <c r="J111" s="213">
        <f t="shared" si="178"/>
        <v>0</v>
      </c>
      <c r="K111" s="213">
        <f t="shared" si="178"/>
        <v>0</v>
      </c>
      <c r="L111" s="213">
        <f t="shared" si="178"/>
        <v>0</v>
      </c>
      <c r="M111" s="213">
        <f t="shared" si="178"/>
        <v>0</v>
      </c>
      <c r="N111" s="213">
        <f t="shared" si="178"/>
        <v>0</v>
      </c>
      <c r="O111" s="213">
        <f t="shared" si="178"/>
        <v>0</v>
      </c>
      <c r="P111" s="213">
        <f t="shared" si="178"/>
        <v>0</v>
      </c>
      <c r="Q111" s="213">
        <f t="shared" si="178"/>
        <v>0</v>
      </c>
      <c r="R111" s="213">
        <f t="shared" si="178"/>
        <v>0</v>
      </c>
      <c r="S111" s="213"/>
      <c r="T111" s="916">
        <f>ROUND(T123/3,2)</f>
        <v>0</v>
      </c>
      <c r="U111" s="213">
        <f t="shared" ref="U111:AE111" si="179">ROUND(U123/3,2)</f>
        <v>0</v>
      </c>
      <c r="V111" s="213">
        <f t="shared" si="179"/>
        <v>0</v>
      </c>
      <c r="W111" s="213">
        <f t="shared" si="179"/>
        <v>0</v>
      </c>
      <c r="X111" s="213">
        <f t="shared" si="179"/>
        <v>0</v>
      </c>
      <c r="Y111" s="213">
        <f t="shared" si="179"/>
        <v>0</v>
      </c>
      <c r="Z111" s="213">
        <f t="shared" si="179"/>
        <v>0</v>
      </c>
      <c r="AA111" s="213">
        <f t="shared" si="179"/>
        <v>0</v>
      </c>
      <c r="AB111" s="213">
        <f t="shared" si="179"/>
        <v>0</v>
      </c>
      <c r="AC111" s="213">
        <f t="shared" si="179"/>
        <v>0</v>
      </c>
      <c r="AD111" s="213">
        <f t="shared" si="179"/>
        <v>0</v>
      </c>
      <c r="AE111" s="213">
        <f t="shared" si="179"/>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80">SUM(H53:H73)+SUM(H78:H88)-H111</f>
        <v>0</v>
      </c>
      <c r="I112" s="108">
        <f t="shared" si="180"/>
        <v>0</v>
      </c>
      <c r="J112" s="108">
        <f t="shared" si="180"/>
        <v>0</v>
      </c>
      <c r="K112" s="108">
        <f t="shared" si="180"/>
        <v>0</v>
      </c>
      <c r="L112" s="108">
        <f t="shared" si="180"/>
        <v>0</v>
      </c>
      <c r="M112" s="108">
        <f t="shared" si="180"/>
        <v>0</v>
      </c>
      <c r="N112" s="108">
        <f t="shared" si="180"/>
        <v>0</v>
      </c>
      <c r="O112" s="108">
        <f t="shared" si="180"/>
        <v>0</v>
      </c>
      <c r="P112" s="108">
        <f t="shared" si="180"/>
        <v>0</v>
      </c>
      <c r="Q112" s="108">
        <f t="shared" si="180"/>
        <v>0</v>
      </c>
      <c r="R112" s="108">
        <f t="shared" si="180"/>
        <v>0</v>
      </c>
      <c r="S112" s="108"/>
      <c r="T112" s="917">
        <f>SUM(T53:T73)+SUM(T78:T87)-T111</f>
        <v>0</v>
      </c>
      <c r="U112" s="108">
        <f t="shared" ref="U112" si="181">SUM(U53:U73)+SUM(U78:U87)-U111</f>
        <v>0</v>
      </c>
      <c r="V112" s="108">
        <f t="shared" ref="V112" si="182">SUM(V53:V73)+SUM(V78:V87)-V111</f>
        <v>0</v>
      </c>
      <c r="W112" s="108">
        <f t="shared" ref="W112" si="183">SUM(W53:W73)+SUM(W78:W87)-W111</f>
        <v>0</v>
      </c>
      <c r="X112" s="108">
        <f t="shared" ref="X112" si="184">SUM(X53:X73)+SUM(X78:X87)-X111</f>
        <v>0</v>
      </c>
      <c r="Y112" s="108">
        <f t="shared" ref="Y112" si="185">SUM(Y53:Y73)+SUM(Y78:Y87)-Y111</f>
        <v>0</v>
      </c>
      <c r="Z112" s="108">
        <f t="shared" ref="Z112" si="186">SUM(Z53:Z73)+SUM(Z78:Z87)-Z111</f>
        <v>0</v>
      </c>
      <c r="AA112" s="108">
        <f t="shared" ref="AA112" si="187">SUM(AA53:AA73)+SUM(AA78:AA87)-AA111</f>
        <v>0</v>
      </c>
      <c r="AB112" s="108">
        <f t="shared" ref="AB112" si="188">SUM(AB53:AB73)+SUM(AB78:AB87)-AB111</f>
        <v>0</v>
      </c>
      <c r="AC112" s="108">
        <f t="shared" ref="AC112" si="189">SUM(AC53:AC73)+SUM(AC78:AC87)-AC111</f>
        <v>0</v>
      </c>
      <c r="AD112" s="108">
        <f t="shared" ref="AD112" si="190">SUM(AD53:AD73)+SUM(AD78:AD87)-AD111</f>
        <v>0</v>
      </c>
      <c r="AE112" s="108">
        <f t="shared" ref="AE112" si="191">SUM(AE53:AE73)+SUM(AE78:AE87)-AE111</f>
        <v>0</v>
      </c>
      <c r="AF112" s="104">
        <f>SUM(G112:R112)</f>
        <v>0</v>
      </c>
      <c r="AG112" s="86"/>
      <c r="AH112" s="86"/>
      <c r="AI112" s="86"/>
      <c r="AJ112" s="86"/>
      <c r="AK112" s="86"/>
      <c r="AL112" s="86"/>
    </row>
    <row r="113" spans="1:38" ht="14">
      <c r="A113" s="381"/>
      <c r="B113" s="22">
        <f t="shared" ref="B113:B129" si="192">B112+1</f>
        <v>103</v>
      </c>
      <c r="C113"/>
      <c r="D113"/>
      <c r="E113"/>
      <c r="F113" s="183" t="s">
        <v>92</v>
      </c>
      <c r="G113" s="214">
        <f>ROUND(G112*8%,0)</f>
        <v>0</v>
      </c>
      <c r="H113" s="109">
        <f t="shared" ref="H113:R113" si="193">ROUND(H112*8%,0)</f>
        <v>0</v>
      </c>
      <c r="I113" s="109">
        <f t="shared" si="193"/>
        <v>0</v>
      </c>
      <c r="J113" s="109">
        <f t="shared" si="193"/>
        <v>0</v>
      </c>
      <c r="K113" s="109">
        <f t="shared" si="193"/>
        <v>0</v>
      </c>
      <c r="L113" s="109">
        <f t="shared" si="193"/>
        <v>0</v>
      </c>
      <c r="M113" s="109">
        <f t="shared" si="193"/>
        <v>0</v>
      </c>
      <c r="N113" s="109">
        <f t="shared" si="193"/>
        <v>0</v>
      </c>
      <c r="O113" s="109">
        <f t="shared" si="193"/>
        <v>0</v>
      </c>
      <c r="P113" s="109">
        <f t="shared" si="193"/>
        <v>0</v>
      </c>
      <c r="Q113" s="109">
        <f t="shared" si="193"/>
        <v>0</v>
      </c>
      <c r="R113" s="109">
        <f t="shared" si="193"/>
        <v>0</v>
      </c>
      <c r="S113" s="214"/>
      <c r="T113" s="918">
        <f>ROUND(T112*8%,0)</f>
        <v>0</v>
      </c>
      <c r="U113" s="109">
        <f t="shared" ref="U113:AE113" si="194">ROUND(U112*8%,0)</f>
        <v>0</v>
      </c>
      <c r="V113" s="109">
        <f t="shared" si="194"/>
        <v>0</v>
      </c>
      <c r="W113" s="109">
        <f t="shared" si="194"/>
        <v>0</v>
      </c>
      <c r="X113" s="109">
        <f t="shared" si="194"/>
        <v>0</v>
      </c>
      <c r="Y113" s="109">
        <f t="shared" si="194"/>
        <v>0</v>
      </c>
      <c r="Z113" s="109">
        <f t="shared" si="194"/>
        <v>0</v>
      </c>
      <c r="AA113" s="109">
        <f t="shared" si="194"/>
        <v>0</v>
      </c>
      <c r="AB113" s="109">
        <f t="shared" si="194"/>
        <v>0</v>
      </c>
      <c r="AC113" s="109">
        <f t="shared" si="194"/>
        <v>0</v>
      </c>
      <c r="AD113" s="109">
        <f t="shared" si="194"/>
        <v>0</v>
      </c>
      <c r="AE113" s="109">
        <f t="shared" si="194"/>
        <v>0</v>
      </c>
      <c r="AF113" s="106">
        <f>SUM(G113:R113)</f>
        <v>0</v>
      </c>
      <c r="AG113" s="86"/>
      <c r="AH113" s="86"/>
      <c r="AI113" s="86"/>
      <c r="AJ113" s="86"/>
      <c r="AK113" s="86"/>
      <c r="AL113" s="86"/>
    </row>
    <row r="114" spans="1:38" ht="14">
      <c r="A114" s="381"/>
      <c r="B114" s="22">
        <f t="shared" si="192"/>
        <v>104</v>
      </c>
      <c r="C114"/>
      <c r="D114"/>
      <c r="E114"/>
      <c r="F114" s="183" t="s">
        <v>93</v>
      </c>
      <c r="G114" s="214">
        <f>G112-G113</f>
        <v>0</v>
      </c>
      <c r="H114" s="109">
        <f t="shared" ref="H114:R114" si="195">H112-H113</f>
        <v>0</v>
      </c>
      <c r="I114" s="109">
        <f t="shared" si="195"/>
        <v>0</v>
      </c>
      <c r="J114" s="109">
        <f t="shared" si="195"/>
        <v>0</v>
      </c>
      <c r="K114" s="109">
        <f t="shared" si="195"/>
        <v>0</v>
      </c>
      <c r="L114" s="109">
        <f t="shared" si="195"/>
        <v>0</v>
      </c>
      <c r="M114" s="109">
        <f t="shared" si="195"/>
        <v>0</v>
      </c>
      <c r="N114" s="109">
        <f t="shared" si="195"/>
        <v>0</v>
      </c>
      <c r="O114" s="109">
        <f t="shared" si="195"/>
        <v>0</v>
      </c>
      <c r="P114" s="109">
        <f t="shared" si="195"/>
        <v>0</v>
      </c>
      <c r="Q114" s="109">
        <f t="shared" si="195"/>
        <v>0</v>
      </c>
      <c r="R114" s="109">
        <f t="shared" si="195"/>
        <v>0</v>
      </c>
      <c r="S114" s="214"/>
      <c r="T114" s="918">
        <f>T112-T113</f>
        <v>0</v>
      </c>
      <c r="U114" s="109">
        <f t="shared" ref="U114:AE114" si="196">U112-U113</f>
        <v>0</v>
      </c>
      <c r="V114" s="109">
        <f t="shared" si="196"/>
        <v>0</v>
      </c>
      <c r="W114" s="109">
        <f t="shared" si="196"/>
        <v>0</v>
      </c>
      <c r="X114" s="109">
        <f t="shared" si="196"/>
        <v>0</v>
      </c>
      <c r="Y114" s="109">
        <f t="shared" si="196"/>
        <v>0</v>
      </c>
      <c r="Z114" s="109">
        <f t="shared" si="196"/>
        <v>0</v>
      </c>
      <c r="AA114" s="109">
        <f t="shared" si="196"/>
        <v>0</v>
      </c>
      <c r="AB114" s="109">
        <f t="shared" si="196"/>
        <v>0</v>
      </c>
      <c r="AC114" s="109">
        <f t="shared" si="196"/>
        <v>0</v>
      </c>
      <c r="AD114" s="109">
        <f t="shared" si="196"/>
        <v>0</v>
      </c>
      <c r="AE114" s="109">
        <f t="shared" si="196"/>
        <v>0</v>
      </c>
      <c r="AF114" s="106">
        <f>SUM(G114:R114)</f>
        <v>0</v>
      </c>
      <c r="AG114" s="86"/>
      <c r="AH114" s="86"/>
      <c r="AI114" s="86"/>
      <c r="AJ114" s="86"/>
      <c r="AK114" s="86"/>
      <c r="AL114" s="86"/>
    </row>
    <row r="115" spans="1:38" ht="14">
      <c r="A115" s="381"/>
      <c r="B115" s="22">
        <f t="shared" si="192"/>
        <v>105</v>
      </c>
      <c r="C115"/>
      <c r="D115"/>
      <c r="E115"/>
      <c r="F115" s="183" t="s">
        <v>105</v>
      </c>
      <c r="G115" s="214">
        <f>TRUNC((G114-G30)/10)*10</f>
        <v>0</v>
      </c>
      <c r="H115" s="214">
        <f>TRUNC((H114-H30)/10)*10</f>
        <v>0</v>
      </c>
      <c r="I115" s="214">
        <f>IF(I8="Ja",0,TRUNC((I114-I30)/10)*10)</f>
        <v>0</v>
      </c>
      <c r="J115" s="214">
        <f t="shared" ref="J115:AE115" si="197">TRUNC((J114-J30)/10)*10</f>
        <v>0</v>
      </c>
      <c r="K115" s="214">
        <f t="shared" si="197"/>
        <v>0</v>
      </c>
      <c r="L115" s="214">
        <f t="shared" si="197"/>
        <v>0</v>
      </c>
      <c r="M115" s="214">
        <f t="shared" si="197"/>
        <v>0</v>
      </c>
      <c r="N115" s="214">
        <f t="shared" si="197"/>
        <v>0</v>
      </c>
      <c r="O115" s="214">
        <f t="shared" si="197"/>
        <v>0</v>
      </c>
      <c r="P115" s="214">
        <f t="shared" si="197"/>
        <v>0</v>
      </c>
      <c r="Q115" s="214">
        <f t="shared" si="197"/>
        <v>0</v>
      </c>
      <c r="R115" s="214">
        <f t="shared" si="197"/>
        <v>0</v>
      </c>
      <c r="S115" s="214"/>
      <c r="T115" s="918">
        <f t="shared" si="197"/>
        <v>0</v>
      </c>
      <c r="U115" s="214">
        <f t="shared" si="197"/>
        <v>0</v>
      </c>
      <c r="V115" s="214">
        <f t="shared" si="197"/>
        <v>0</v>
      </c>
      <c r="W115" s="214">
        <f t="shared" si="197"/>
        <v>0</v>
      </c>
      <c r="X115" s="214">
        <f t="shared" si="197"/>
        <v>0</v>
      </c>
      <c r="Y115" s="214">
        <f t="shared" si="197"/>
        <v>0</v>
      </c>
      <c r="Z115" s="214">
        <f t="shared" si="197"/>
        <v>0</v>
      </c>
      <c r="AA115" s="214">
        <f t="shared" si="197"/>
        <v>0</v>
      </c>
      <c r="AB115" s="214">
        <f t="shared" si="197"/>
        <v>0</v>
      </c>
      <c r="AC115" s="214">
        <f t="shared" si="197"/>
        <v>0</v>
      </c>
      <c r="AD115" s="214">
        <f t="shared" si="197"/>
        <v>0</v>
      </c>
      <c r="AE115" s="214">
        <f t="shared" si="197"/>
        <v>0</v>
      </c>
      <c r="AF115" s="106"/>
      <c r="AG115" s="86"/>
      <c r="AH115" s="86"/>
      <c r="AI115" s="86"/>
      <c r="AJ115" s="86"/>
      <c r="AK115" s="86"/>
      <c r="AL115" s="86"/>
    </row>
    <row r="116" spans="1:38" ht="14">
      <c r="A116" s="381"/>
      <c r="B116" s="22">
        <f t="shared" si="192"/>
        <v>106</v>
      </c>
      <c r="C116"/>
      <c r="D116"/>
      <c r="E116"/>
      <c r="F116" s="183" t="s">
        <v>94</v>
      </c>
      <c r="G116" s="214">
        <f t="shared" ref="G116:AE116" si="198">MAX(0,TRUNC(G115*G29/100))</f>
        <v>0</v>
      </c>
      <c r="H116" s="214">
        <f t="shared" si="198"/>
        <v>0</v>
      </c>
      <c r="I116" s="214">
        <f t="shared" si="198"/>
        <v>0</v>
      </c>
      <c r="J116" s="214">
        <f t="shared" si="198"/>
        <v>0</v>
      </c>
      <c r="K116" s="214">
        <f t="shared" si="198"/>
        <v>0</v>
      </c>
      <c r="L116" s="214">
        <f t="shared" si="198"/>
        <v>0</v>
      </c>
      <c r="M116" s="214">
        <f t="shared" si="198"/>
        <v>0</v>
      </c>
      <c r="N116" s="214">
        <f t="shared" si="198"/>
        <v>0</v>
      </c>
      <c r="O116" s="214">
        <f t="shared" si="198"/>
        <v>0</v>
      </c>
      <c r="P116" s="214">
        <f t="shared" si="198"/>
        <v>0</v>
      </c>
      <c r="Q116" s="214">
        <f t="shared" si="198"/>
        <v>0</v>
      </c>
      <c r="R116" s="214">
        <f t="shared" si="198"/>
        <v>0</v>
      </c>
      <c r="S116" s="214"/>
      <c r="T116" s="918">
        <f t="shared" si="198"/>
        <v>0</v>
      </c>
      <c r="U116" s="214">
        <f t="shared" si="198"/>
        <v>0</v>
      </c>
      <c r="V116" s="214">
        <f t="shared" si="198"/>
        <v>0</v>
      </c>
      <c r="W116" s="214">
        <f t="shared" si="198"/>
        <v>0</v>
      </c>
      <c r="X116" s="214">
        <f t="shared" si="198"/>
        <v>0</v>
      </c>
      <c r="Y116" s="214">
        <f t="shared" si="198"/>
        <v>0</v>
      </c>
      <c r="Z116" s="214">
        <f t="shared" si="198"/>
        <v>0</v>
      </c>
      <c r="AA116" s="214">
        <f t="shared" si="198"/>
        <v>0</v>
      </c>
      <c r="AB116" s="214">
        <f t="shared" si="198"/>
        <v>0</v>
      </c>
      <c r="AC116" s="214">
        <f t="shared" si="198"/>
        <v>0</v>
      </c>
      <c r="AD116" s="214">
        <f t="shared" si="198"/>
        <v>0</v>
      </c>
      <c r="AE116" s="214">
        <f t="shared" si="198"/>
        <v>0</v>
      </c>
      <c r="AF116" s="106">
        <f t="shared" ref="AF116:AF125" si="199">SUM(G116:R116)</f>
        <v>0</v>
      </c>
      <c r="AG116" s="86"/>
      <c r="AH116" s="86"/>
      <c r="AI116" s="86"/>
      <c r="AJ116" s="86"/>
      <c r="AK116" s="86"/>
      <c r="AL116" s="86"/>
    </row>
    <row r="117" spans="1:38" ht="14">
      <c r="A117" s="1023"/>
      <c r="B117" s="22">
        <f t="shared" si="192"/>
        <v>107</v>
      </c>
      <c r="C117"/>
      <c r="D117"/>
      <c r="E117"/>
      <c r="F117" s="723" t="s">
        <v>619</v>
      </c>
      <c r="G117" s="724">
        <f>SUM(G53:G73)+G78+G79+SUM(G80:G84)+G87+G88</f>
        <v>0</v>
      </c>
      <c r="H117" s="724">
        <f t="shared" ref="H117:N117" si="200">SUM(H53:H73)+H78+H79+SUM(H80:H84)+H87+H88</f>
        <v>0</v>
      </c>
      <c r="I117" s="724">
        <f t="shared" si="200"/>
        <v>0</v>
      </c>
      <c r="J117" s="724">
        <f t="shared" si="200"/>
        <v>0</v>
      </c>
      <c r="K117" s="724">
        <f>SUM(K53:K73)+K78+K79+SUM(K80:K84)+K87+K88</f>
        <v>0</v>
      </c>
      <c r="L117" s="724">
        <f t="shared" si="200"/>
        <v>0</v>
      </c>
      <c r="M117" s="724">
        <f t="shared" si="200"/>
        <v>0</v>
      </c>
      <c r="N117" s="724">
        <f t="shared" si="200"/>
        <v>0</v>
      </c>
      <c r="O117" s="724">
        <f>SUM(O53:O73)+O78+O79+SUM(O80:O84)+O87+O88</f>
        <v>0</v>
      </c>
      <c r="P117" s="724">
        <f>SUM(P53:P73)+P78+P79+SUM(P80:P84)+P87+P88</f>
        <v>0</v>
      </c>
      <c r="Q117" s="739"/>
      <c r="R117" s="739"/>
      <c r="S117" s="1051"/>
      <c r="T117" s="919">
        <f>SUM(T53:T73)+T78+T79+SUM(T80:T85)+T87</f>
        <v>0</v>
      </c>
      <c r="U117" s="724">
        <f t="shared" ref="U117:AC117" si="201">SUM(U53:U73)+U78+U79+SUM(U80:U85)+U87</f>
        <v>0</v>
      </c>
      <c r="V117" s="724">
        <f t="shared" si="201"/>
        <v>0</v>
      </c>
      <c r="W117" s="724">
        <f t="shared" si="201"/>
        <v>0</v>
      </c>
      <c r="X117" s="724">
        <f t="shared" si="201"/>
        <v>0</v>
      </c>
      <c r="Y117" s="724">
        <f t="shared" si="201"/>
        <v>0</v>
      </c>
      <c r="Z117" s="724">
        <f t="shared" si="201"/>
        <v>0</v>
      </c>
      <c r="AA117" s="724">
        <f t="shared" si="201"/>
        <v>0</v>
      </c>
      <c r="AB117" s="724">
        <f t="shared" si="201"/>
        <v>0</v>
      </c>
      <c r="AC117" s="724">
        <f t="shared" si="201"/>
        <v>0</v>
      </c>
      <c r="AD117" s="739"/>
      <c r="AE117" s="739"/>
      <c r="AF117" s="725">
        <f>G117+H117+I117+J117+K117+L117+M117+N117+O117+P117</f>
        <v>0</v>
      </c>
      <c r="AG117" s="86"/>
      <c r="AH117" s="86"/>
      <c r="AI117" s="86"/>
      <c r="AJ117" s="86"/>
      <c r="AK117" s="86"/>
      <c r="AL117" s="86"/>
    </row>
    <row r="118" spans="1:38" ht="14">
      <c r="A118" s="381"/>
      <c r="B118" s="22">
        <f t="shared" si="192"/>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92"/>
        <v>109</v>
      </c>
      <c r="C119"/>
      <c r="D119"/>
      <c r="E119"/>
      <c r="F119" s="183" t="s">
        <v>180</v>
      </c>
      <c r="G119" s="214">
        <f>G110</f>
        <v>0</v>
      </c>
      <c r="H119" s="214">
        <f t="shared" ref="H119:R119" si="202">H110</f>
        <v>0</v>
      </c>
      <c r="I119" s="214">
        <f t="shared" si="202"/>
        <v>0</v>
      </c>
      <c r="J119" s="214">
        <f t="shared" si="202"/>
        <v>0</v>
      </c>
      <c r="K119" s="214">
        <f t="shared" si="202"/>
        <v>0</v>
      </c>
      <c r="L119" s="214">
        <f t="shared" si="202"/>
        <v>0</v>
      </c>
      <c r="M119" s="214">
        <f t="shared" si="202"/>
        <v>0</v>
      </c>
      <c r="N119" s="214">
        <f t="shared" si="202"/>
        <v>0</v>
      </c>
      <c r="O119" s="214">
        <f t="shared" si="202"/>
        <v>0</v>
      </c>
      <c r="P119" s="214">
        <f t="shared" si="202"/>
        <v>0</v>
      </c>
      <c r="Q119" s="214">
        <f t="shared" si="202"/>
        <v>0</v>
      </c>
      <c r="R119" s="214">
        <f t="shared" si="202"/>
        <v>0</v>
      </c>
      <c r="S119" s="214"/>
      <c r="T119" s="918" t="e">
        <f>T110</f>
        <v>#DIV/0!</v>
      </c>
      <c r="U119" s="214">
        <f t="shared" ref="U119:AE119" si="203">U110</f>
        <v>0</v>
      </c>
      <c r="V119" s="214">
        <f t="shared" si="203"/>
        <v>0</v>
      </c>
      <c r="W119" s="214">
        <f t="shared" si="203"/>
        <v>0</v>
      </c>
      <c r="X119" s="214">
        <f t="shared" si="203"/>
        <v>0</v>
      </c>
      <c r="Y119" s="214">
        <f t="shared" si="203"/>
        <v>0</v>
      </c>
      <c r="Z119" s="214">
        <f t="shared" si="203"/>
        <v>0</v>
      </c>
      <c r="AA119" s="214">
        <f t="shared" si="203"/>
        <v>0</v>
      </c>
      <c r="AB119" s="214">
        <f t="shared" si="203"/>
        <v>0</v>
      </c>
      <c r="AC119" s="214">
        <f t="shared" si="203"/>
        <v>0</v>
      </c>
      <c r="AD119" s="214">
        <f t="shared" si="203"/>
        <v>0</v>
      </c>
      <c r="AE119" s="214">
        <f t="shared" si="203"/>
        <v>0</v>
      </c>
      <c r="AF119" s="106">
        <f t="shared" si="199"/>
        <v>0</v>
      </c>
      <c r="AG119" s="86"/>
      <c r="AH119" s="86"/>
      <c r="AI119" s="86"/>
      <c r="AJ119" s="86"/>
      <c r="AK119" s="86"/>
      <c r="AL119" s="86"/>
    </row>
    <row r="120" spans="1:38" ht="14">
      <c r="A120" s="381"/>
      <c r="B120" s="22">
        <f t="shared" si="192"/>
        <v>110</v>
      </c>
      <c r="C120"/>
      <c r="D120"/>
      <c r="E120"/>
      <c r="F120" s="183" t="s">
        <v>184</v>
      </c>
      <c r="G120" s="214">
        <f>G110*2</f>
        <v>0</v>
      </c>
      <c r="H120" s="214">
        <f t="shared" ref="H120:R120" si="204">H110*2</f>
        <v>0</v>
      </c>
      <c r="I120" s="214">
        <f t="shared" si="204"/>
        <v>0</v>
      </c>
      <c r="J120" s="214">
        <f t="shared" si="204"/>
        <v>0</v>
      </c>
      <c r="K120" s="214">
        <f t="shared" si="204"/>
        <v>0</v>
      </c>
      <c r="L120" s="214">
        <f t="shared" si="204"/>
        <v>0</v>
      </c>
      <c r="M120" s="214">
        <f t="shared" si="204"/>
        <v>0</v>
      </c>
      <c r="N120" s="214">
        <f t="shared" si="204"/>
        <v>0</v>
      </c>
      <c r="O120" s="214">
        <f t="shared" si="204"/>
        <v>0</v>
      </c>
      <c r="P120" s="214">
        <f t="shared" si="204"/>
        <v>0</v>
      </c>
      <c r="Q120" s="214">
        <f t="shared" si="204"/>
        <v>0</v>
      </c>
      <c r="R120" s="214">
        <f t="shared" si="204"/>
        <v>0</v>
      </c>
      <c r="S120" s="214"/>
      <c r="T120" s="918" t="e">
        <f>T110*2</f>
        <v>#DIV/0!</v>
      </c>
      <c r="U120" s="214">
        <f t="shared" ref="U120:AE120" si="205">U110*2</f>
        <v>0</v>
      </c>
      <c r="V120" s="214">
        <f t="shared" si="205"/>
        <v>0</v>
      </c>
      <c r="W120" s="214">
        <f t="shared" si="205"/>
        <v>0</v>
      </c>
      <c r="X120" s="214">
        <f t="shared" si="205"/>
        <v>0</v>
      </c>
      <c r="Y120" s="214">
        <f t="shared" si="205"/>
        <v>0</v>
      </c>
      <c r="Z120" s="214">
        <f t="shared" si="205"/>
        <v>0</v>
      </c>
      <c r="AA120" s="214">
        <f t="shared" si="205"/>
        <v>0</v>
      </c>
      <c r="AB120" s="214">
        <f t="shared" si="205"/>
        <v>0</v>
      </c>
      <c r="AC120" s="214">
        <f t="shared" si="205"/>
        <v>0</v>
      </c>
      <c r="AD120" s="214">
        <f t="shared" si="205"/>
        <v>0</v>
      </c>
      <c r="AE120" s="214">
        <f t="shared" si="205"/>
        <v>0</v>
      </c>
      <c r="AF120" s="106">
        <f t="shared" si="199"/>
        <v>0</v>
      </c>
      <c r="AG120" s="86"/>
      <c r="AH120" s="86"/>
      <c r="AI120" s="86"/>
      <c r="AJ120" s="86"/>
      <c r="AK120" s="86"/>
      <c r="AL120" s="86"/>
    </row>
    <row r="121" spans="1:38" ht="14">
      <c r="A121" s="381"/>
      <c r="B121" s="22">
        <f t="shared" si="192"/>
        <v>111</v>
      </c>
      <c r="C121"/>
      <c r="D121"/>
      <c r="E121"/>
      <c r="F121" s="183" t="s">
        <v>38</v>
      </c>
      <c r="G121" s="214">
        <f>G123*2/3</f>
        <v>0</v>
      </c>
      <c r="H121" s="109">
        <f t="shared" ref="H121:R121" si="206">H123*2/3</f>
        <v>0</v>
      </c>
      <c r="I121" s="109">
        <f t="shared" si="206"/>
        <v>0</v>
      </c>
      <c r="J121" s="109">
        <f t="shared" si="206"/>
        <v>0</v>
      </c>
      <c r="K121" s="109">
        <f t="shared" si="206"/>
        <v>0</v>
      </c>
      <c r="L121" s="109">
        <f t="shared" si="206"/>
        <v>0</v>
      </c>
      <c r="M121" s="109">
        <f t="shared" si="206"/>
        <v>0</v>
      </c>
      <c r="N121" s="109">
        <f t="shared" si="206"/>
        <v>0</v>
      </c>
      <c r="O121" s="109">
        <f t="shared" si="206"/>
        <v>0</v>
      </c>
      <c r="P121" s="109">
        <f t="shared" si="206"/>
        <v>0</v>
      </c>
      <c r="Q121" s="109">
        <f t="shared" si="206"/>
        <v>0</v>
      </c>
      <c r="R121" s="109">
        <f t="shared" si="206"/>
        <v>0</v>
      </c>
      <c r="S121" s="214"/>
      <c r="T121" s="918">
        <f>T123*2/3</f>
        <v>0</v>
      </c>
      <c r="U121" s="109">
        <f t="shared" ref="U121:AE121" si="207">U123*2/3</f>
        <v>0</v>
      </c>
      <c r="V121" s="109">
        <f t="shared" si="207"/>
        <v>0</v>
      </c>
      <c r="W121" s="109">
        <f t="shared" si="207"/>
        <v>0</v>
      </c>
      <c r="X121" s="109">
        <f t="shared" si="207"/>
        <v>0</v>
      </c>
      <c r="Y121" s="109">
        <f t="shared" si="207"/>
        <v>0</v>
      </c>
      <c r="Z121" s="109">
        <f t="shared" si="207"/>
        <v>0</v>
      </c>
      <c r="AA121" s="109">
        <f t="shared" si="207"/>
        <v>0</v>
      </c>
      <c r="AB121" s="109">
        <f t="shared" si="207"/>
        <v>0</v>
      </c>
      <c r="AC121" s="109">
        <f t="shared" si="207"/>
        <v>0</v>
      </c>
      <c r="AD121" s="109">
        <f t="shared" si="207"/>
        <v>0</v>
      </c>
      <c r="AE121" s="109">
        <f t="shared" si="207"/>
        <v>0</v>
      </c>
      <c r="AF121" s="106">
        <f t="shared" si="199"/>
        <v>0</v>
      </c>
      <c r="AG121" s="86"/>
      <c r="AH121" s="86"/>
      <c r="AI121" s="86"/>
      <c r="AJ121" s="86"/>
      <c r="AK121" s="86"/>
      <c r="AL121" s="86"/>
    </row>
    <row r="122" spans="1:38" ht="14">
      <c r="A122" s="381"/>
      <c r="B122" s="22">
        <f t="shared" si="192"/>
        <v>112</v>
      </c>
      <c r="C122"/>
      <c r="D122"/>
      <c r="E122"/>
      <c r="F122" s="183" t="s">
        <v>109</v>
      </c>
      <c r="G122" s="214">
        <f>G119+G120</f>
        <v>0</v>
      </c>
      <c r="H122" s="109">
        <f t="shared" ref="H122:R122" si="208">H119+H120</f>
        <v>0</v>
      </c>
      <c r="I122" s="109">
        <f t="shared" si="208"/>
        <v>0</v>
      </c>
      <c r="J122" s="109">
        <f t="shared" si="208"/>
        <v>0</v>
      </c>
      <c r="K122" s="109">
        <f t="shared" si="208"/>
        <v>0</v>
      </c>
      <c r="L122" s="109">
        <f t="shared" si="208"/>
        <v>0</v>
      </c>
      <c r="M122" s="109">
        <f t="shared" si="208"/>
        <v>0</v>
      </c>
      <c r="N122" s="109">
        <f t="shared" si="208"/>
        <v>0</v>
      </c>
      <c r="O122" s="109">
        <f t="shared" si="208"/>
        <v>0</v>
      </c>
      <c r="P122" s="109">
        <f t="shared" si="208"/>
        <v>0</v>
      </c>
      <c r="Q122" s="109">
        <f t="shared" si="208"/>
        <v>0</v>
      </c>
      <c r="R122" s="109">
        <f t="shared" si="208"/>
        <v>0</v>
      </c>
      <c r="S122" s="214"/>
      <c r="T122" s="918" t="e">
        <f>T119+T120</f>
        <v>#DIV/0!</v>
      </c>
      <c r="U122" s="109">
        <f t="shared" ref="U122:AE122" si="209">U119+U120</f>
        <v>0</v>
      </c>
      <c r="V122" s="109">
        <f t="shared" si="209"/>
        <v>0</v>
      </c>
      <c r="W122" s="109">
        <f t="shared" si="209"/>
        <v>0</v>
      </c>
      <c r="X122" s="109">
        <f t="shared" si="209"/>
        <v>0</v>
      </c>
      <c r="Y122" s="109">
        <f t="shared" si="209"/>
        <v>0</v>
      </c>
      <c r="Z122" s="109">
        <f t="shared" si="209"/>
        <v>0</v>
      </c>
      <c r="AA122" s="109">
        <f t="shared" si="209"/>
        <v>0</v>
      </c>
      <c r="AB122" s="109">
        <f t="shared" si="209"/>
        <v>0</v>
      </c>
      <c r="AC122" s="109">
        <f t="shared" si="209"/>
        <v>0</v>
      </c>
      <c r="AD122" s="109">
        <f t="shared" si="209"/>
        <v>0</v>
      </c>
      <c r="AE122" s="109">
        <f t="shared" si="209"/>
        <v>0</v>
      </c>
      <c r="AF122" s="106">
        <f t="shared" si="199"/>
        <v>0</v>
      </c>
      <c r="AG122" s="86"/>
      <c r="AH122" s="86"/>
      <c r="AI122" s="86"/>
      <c r="AJ122" s="86"/>
      <c r="AK122" s="86"/>
      <c r="AL122" s="86"/>
    </row>
    <row r="123" spans="1:38" ht="14">
      <c r="A123" s="381"/>
      <c r="B123" s="22">
        <f t="shared" si="192"/>
        <v>113</v>
      </c>
      <c r="C123"/>
      <c r="D123"/>
      <c r="E123"/>
      <c r="F123" s="183" t="s">
        <v>110</v>
      </c>
      <c r="G123" s="1056">
        <f t="shared" ref="G123:K123" si="210">297/3*(((G10*G3)&gt;=9/37)+((G10*G3)&gt;=18/37)+((G10*G3)&gt;=27/37))</f>
        <v>0</v>
      </c>
      <c r="H123" s="1056">
        <f t="shared" si="210"/>
        <v>0</v>
      </c>
      <c r="I123" s="1056">
        <f t="shared" si="210"/>
        <v>0</v>
      </c>
      <c r="J123" s="1056">
        <f t="shared" si="210"/>
        <v>0</v>
      </c>
      <c r="K123" s="1056">
        <f t="shared" si="210"/>
        <v>0</v>
      </c>
      <c r="L123" s="1056">
        <f>297/3*(((L10*L3)&gt;=9/37)+((L10*L3)&gt;=18/37)+((L10*L3)&gt;=27/37))</f>
        <v>0</v>
      </c>
      <c r="M123" s="1056">
        <f t="shared" ref="M123:R123" si="211">297/3*(((M10*M3)&gt;=9/37)+((M10*M3)&gt;=18/37)+((M10*M3)&gt;=27/37))</f>
        <v>0</v>
      </c>
      <c r="N123" s="1056">
        <f t="shared" si="211"/>
        <v>0</v>
      </c>
      <c r="O123" s="1056">
        <f t="shared" si="211"/>
        <v>0</v>
      </c>
      <c r="P123" s="1056">
        <f t="shared" si="211"/>
        <v>0</v>
      </c>
      <c r="Q123" s="1056">
        <f t="shared" si="211"/>
        <v>0</v>
      </c>
      <c r="R123" s="1056">
        <f t="shared" si="211"/>
        <v>0</v>
      </c>
      <c r="S123" s="1056"/>
      <c r="T123" s="921">
        <f t="shared" ref="T123:AE123" si="212">284/3*(((T10*T3)&gt;=9/37)+((T10*T3)&gt;=18/37)+((T10*T3)&gt;=27/37))</f>
        <v>0</v>
      </c>
      <c r="U123" s="500">
        <f t="shared" si="212"/>
        <v>0</v>
      </c>
      <c r="V123" s="500">
        <f t="shared" si="212"/>
        <v>0</v>
      </c>
      <c r="W123" s="500">
        <f t="shared" si="212"/>
        <v>0</v>
      </c>
      <c r="X123" s="500">
        <f t="shared" si="212"/>
        <v>0</v>
      </c>
      <c r="Y123" s="500">
        <f t="shared" si="212"/>
        <v>0</v>
      </c>
      <c r="Z123" s="500">
        <f t="shared" si="212"/>
        <v>0</v>
      </c>
      <c r="AA123" s="500">
        <f t="shared" si="212"/>
        <v>0</v>
      </c>
      <c r="AB123" s="500">
        <f t="shared" si="212"/>
        <v>0</v>
      </c>
      <c r="AC123" s="500">
        <f t="shared" si="212"/>
        <v>0</v>
      </c>
      <c r="AD123" s="500">
        <f t="shared" si="212"/>
        <v>0</v>
      </c>
      <c r="AE123" s="500">
        <f t="shared" si="212"/>
        <v>0</v>
      </c>
      <c r="AF123" s="106">
        <f t="shared" si="199"/>
        <v>0</v>
      </c>
      <c r="AG123" s="86"/>
      <c r="AH123" s="86"/>
      <c r="AI123" s="86"/>
      <c r="AJ123" s="86"/>
      <c r="AK123" s="86"/>
      <c r="AL123" s="86"/>
    </row>
    <row r="124" spans="1:38" ht="14">
      <c r="A124" s="381"/>
      <c r="B124" s="22">
        <f t="shared" si="192"/>
        <v>114</v>
      </c>
      <c r="C124"/>
      <c r="D124"/>
      <c r="E124"/>
      <c r="F124" s="183" t="s">
        <v>132</v>
      </c>
      <c r="G124" s="214">
        <f t="shared" ref="G124:R124" si="213">IF(OR(LEFT(G5)="P",LEFT(G5)="E"),ROUND(ROUND(ROUND(VLOOKUP(VALUE(MID(G5,2,2)),Skalalontabel12,7,0)*G6,0)/12,2)*15%*MIN(1,G10)*G3,2)+G149,0)</f>
        <v>0</v>
      </c>
      <c r="H124" s="214">
        <f t="shared" si="213"/>
        <v>0</v>
      </c>
      <c r="I124" s="214">
        <f t="shared" si="213"/>
        <v>0</v>
      </c>
      <c r="J124" s="214">
        <f t="shared" si="213"/>
        <v>0</v>
      </c>
      <c r="K124" s="214">
        <f t="shared" si="213"/>
        <v>0</v>
      </c>
      <c r="L124" s="214">
        <f t="shared" si="213"/>
        <v>0</v>
      </c>
      <c r="M124" s="214">
        <f t="shared" si="213"/>
        <v>0</v>
      </c>
      <c r="N124" s="214">
        <f t="shared" si="213"/>
        <v>0</v>
      </c>
      <c r="O124" s="214">
        <f t="shared" si="213"/>
        <v>0</v>
      </c>
      <c r="P124" s="214">
        <f t="shared" si="213"/>
        <v>0</v>
      </c>
      <c r="Q124" s="214">
        <f t="shared" si="213"/>
        <v>0</v>
      </c>
      <c r="R124" s="214">
        <f t="shared" si="213"/>
        <v>0</v>
      </c>
      <c r="S124" s="214"/>
      <c r="T124" s="918">
        <f t="shared" ref="T124:AE124" si="214">IF(OR(LEFT(T5)="P",LEFT(T5)="E"),ROUND(ROUND(ROUND(VLOOKUP(VALUE(MID(T5,2,2)),Skalalontabel12,7,0)*T6,0)/12,2)*15%*MIN(1,T10)*T3,2),0)</f>
        <v>0</v>
      </c>
      <c r="U124" s="214">
        <f t="shared" si="214"/>
        <v>0</v>
      </c>
      <c r="V124" s="214">
        <f t="shared" si="214"/>
        <v>0</v>
      </c>
      <c r="W124" s="214">
        <f t="shared" si="214"/>
        <v>0</v>
      </c>
      <c r="X124" s="214">
        <f t="shared" si="214"/>
        <v>0</v>
      </c>
      <c r="Y124" s="214">
        <f t="shared" si="214"/>
        <v>0</v>
      </c>
      <c r="Z124" s="214">
        <f t="shared" si="214"/>
        <v>0</v>
      </c>
      <c r="AA124" s="214">
        <f t="shared" si="214"/>
        <v>0</v>
      </c>
      <c r="AB124" s="214">
        <f t="shared" si="214"/>
        <v>0</v>
      </c>
      <c r="AC124" s="214">
        <f t="shared" si="214"/>
        <v>0</v>
      </c>
      <c r="AD124" s="214">
        <f t="shared" si="214"/>
        <v>0</v>
      </c>
      <c r="AE124" s="214">
        <f t="shared" si="214"/>
        <v>0</v>
      </c>
      <c r="AF124" s="106">
        <f t="shared" si="199"/>
        <v>0</v>
      </c>
      <c r="AG124" s="86"/>
      <c r="AH124" s="86"/>
      <c r="AI124" s="86"/>
      <c r="AJ124" s="86"/>
      <c r="AK124" s="86"/>
      <c r="AL124" s="86"/>
    </row>
    <row r="125" spans="1:38" ht="14">
      <c r="A125" s="381"/>
      <c r="B125" s="22">
        <f t="shared" si="192"/>
        <v>115</v>
      </c>
      <c r="C125"/>
      <c r="D125"/>
      <c r="E125"/>
      <c r="F125" s="183" t="s">
        <v>95</v>
      </c>
      <c r="G125" s="109">
        <f>108.35*(G10&gt;0)</f>
        <v>0</v>
      </c>
      <c r="H125" s="109">
        <f>108.35*(H10&gt;0)</f>
        <v>0</v>
      </c>
      <c r="I125" s="109">
        <f>IF(I8="Ja",0,108.35*(I10&gt;0))</f>
        <v>0</v>
      </c>
      <c r="J125" s="109">
        <f t="shared" ref="J125:AE125" si="215">108.35*(J10&gt;0)</f>
        <v>0</v>
      </c>
      <c r="K125" s="109">
        <f t="shared" si="215"/>
        <v>0</v>
      </c>
      <c r="L125" s="109">
        <f t="shared" si="215"/>
        <v>0</v>
      </c>
      <c r="M125" s="109">
        <f t="shared" si="215"/>
        <v>0</v>
      </c>
      <c r="N125" s="109">
        <f t="shared" si="215"/>
        <v>0</v>
      </c>
      <c r="O125" s="109">
        <f t="shared" si="215"/>
        <v>0</v>
      </c>
      <c r="P125" s="109">
        <f t="shared" si="215"/>
        <v>0</v>
      </c>
      <c r="Q125" s="109">
        <f t="shared" si="215"/>
        <v>0</v>
      </c>
      <c r="R125" s="109">
        <f t="shared" si="215"/>
        <v>0</v>
      </c>
      <c r="S125" s="109"/>
      <c r="T125" s="921">
        <f t="shared" si="215"/>
        <v>0</v>
      </c>
      <c r="U125" s="109">
        <f t="shared" si="215"/>
        <v>0</v>
      </c>
      <c r="V125" s="109">
        <f t="shared" si="215"/>
        <v>0</v>
      </c>
      <c r="W125" s="109">
        <f t="shared" si="215"/>
        <v>0</v>
      </c>
      <c r="X125" s="109">
        <f t="shared" si="215"/>
        <v>0</v>
      </c>
      <c r="Y125" s="109">
        <f t="shared" si="215"/>
        <v>0</v>
      </c>
      <c r="Z125" s="109">
        <f t="shared" si="215"/>
        <v>0</v>
      </c>
      <c r="AA125" s="109">
        <f t="shared" si="215"/>
        <v>0</v>
      </c>
      <c r="AB125" s="109">
        <f t="shared" si="215"/>
        <v>0</v>
      </c>
      <c r="AC125" s="109">
        <f t="shared" si="215"/>
        <v>0</v>
      </c>
      <c r="AD125" s="109">
        <f t="shared" si="215"/>
        <v>0</v>
      </c>
      <c r="AE125" s="109">
        <f t="shared" si="215"/>
        <v>0</v>
      </c>
      <c r="AF125" s="106">
        <f t="shared" si="199"/>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216">J89-(J116+J111+J113+J125)-J49-J50-J51</f>
        <v>0</v>
      </c>
      <c r="K126" s="215">
        <f t="shared" si="216"/>
        <v>0</v>
      </c>
      <c r="L126" s="215">
        <f t="shared" si="216"/>
        <v>0</v>
      </c>
      <c r="M126" s="215">
        <f t="shared" si="216"/>
        <v>0</v>
      </c>
      <c r="N126" s="215">
        <f t="shared" si="216"/>
        <v>0</v>
      </c>
      <c r="O126" s="215">
        <f t="shared" si="216"/>
        <v>0</v>
      </c>
      <c r="P126" s="215">
        <f t="shared" si="216"/>
        <v>0</v>
      </c>
      <c r="Q126" s="215">
        <f t="shared" si="216"/>
        <v>0</v>
      </c>
      <c r="R126" s="215">
        <f t="shared" si="216"/>
        <v>0</v>
      </c>
      <c r="S126" s="215"/>
      <c r="T126" s="922">
        <f t="shared" si="216"/>
        <v>0</v>
      </c>
      <c r="U126" s="215">
        <f t="shared" si="216"/>
        <v>0</v>
      </c>
      <c r="V126" s="215">
        <f t="shared" si="216"/>
        <v>0</v>
      </c>
      <c r="W126" s="215">
        <f t="shared" si="216"/>
        <v>0</v>
      </c>
      <c r="X126" s="215">
        <f t="shared" si="216"/>
        <v>0</v>
      </c>
      <c r="Y126" s="215">
        <f t="shared" si="216"/>
        <v>0</v>
      </c>
      <c r="Z126" s="215">
        <f t="shared" si="216"/>
        <v>0</v>
      </c>
      <c r="AA126" s="215">
        <f t="shared" si="216"/>
        <v>0</v>
      </c>
      <c r="AB126" s="215">
        <f t="shared" si="216"/>
        <v>0</v>
      </c>
      <c r="AC126" s="215">
        <f t="shared" si="216"/>
        <v>0</v>
      </c>
      <c r="AD126" s="215">
        <f t="shared" si="216"/>
        <v>0</v>
      </c>
      <c r="AE126" s="215">
        <f t="shared" si="216"/>
        <v>0</v>
      </c>
      <c r="AF126" s="114">
        <f>SUM(G126:R126)</f>
        <v>0</v>
      </c>
      <c r="AG126" s="86"/>
      <c r="AH126" s="87"/>
      <c r="AI126" s="86"/>
      <c r="AJ126" s="86"/>
      <c r="AK126" s="86"/>
      <c r="AL126" s="86"/>
    </row>
    <row r="127" spans="1:38" ht="15">
      <c r="A127" s="865"/>
      <c r="B127" s="22">
        <f t="shared" si="192"/>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217">(J117+J110)*(1-12/260*J24)</f>
        <v>0</v>
      </c>
      <c r="K127" s="730">
        <f t="shared" si="217"/>
        <v>0</v>
      </c>
      <c r="L127" s="738" t="s">
        <v>220</v>
      </c>
      <c r="M127" s="738"/>
      <c r="N127" s="738"/>
      <c r="O127" s="738"/>
      <c r="P127" s="738"/>
      <c r="Q127" s="738"/>
      <c r="R127" s="738"/>
      <c r="S127" s="1054">
        <f>SUM(G127:K127)+A127</f>
        <v>0</v>
      </c>
      <c r="T127" s="923" t="e">
        <f>(T117+T110)*(1-12/260*T24)</f>
        <v>#DIV/0!</v>
      </c>
      <c r="U127" s="730">
        <f t="shared" ref="U127:X127" si="218">(U117+U110)*(1-12/260*U24)</f>
        <v>0</v>
      </c>
      <c r="V127" s="730">
        <f t="shared" si="218"/>
        <v>0</v>
      </c>
      <c r="W127" s="730">
        <f t="shared" si="218"/>
        <v>0</v>
      </c>
      <c r="X127" s="730">
        <f t="shared" si="218"/>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92"/>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219">(M118+M110)*(1-12/260*M24)</f>
        <v>0</v>
      </c>
      <c r="N128" s="733">
        <f t="shared" si="219"/>
        <v>0</v>
      </c>
      <c r="O128" s="733">
        <f t="shared" si="219"/>
        <v>0</v>
      </c>
      <c r="P128" s="733">
        <f t="shared" si="219"/>
        <v>0</v>
      </c>
      <c r="Q128" s="733">
        <f t="shared" si="219"/>
        <v>0</v>
      </c>
      <c r="R128" s="733">
        <f t="shared" si="219"/>
        <v>0</v>
      </c>
      <c r="S128" s="1053">
        <f>SUM(L128:R128)</f>
        <v>0</v>
      </c>
      <c r="T128" s="924" t="s">
        <v>220</v>
      </c>
      <c r="U128" s="736"/>
      <c r="V128" s="736"/>
      <c r="W128" s="736"/>
      <c r="X128" s="737"/>
      <c r="Y128" s="733">
        <f>(Y118+Y110)*(1-12/260*Y24)</f>
        <v>0</v>
      </c>
      <c r="Z128" s="733">
        <f t="shared" ref="Z128:AE128" si="220">(Z118+Z110)*(1-12/260*Z24)</f>
        <v>0</v>
      </c>
      <c r="AA128" s="733">
        <f t="shared" si="220"/>
        <v>0</v>
      </c>
      <c r="AB128" s="733">
        <f t="shared" si="220"/>
        <v>0</v>
      </c>
      <c r="AC128" s="733">
        <f t="shared" si="220"/>
        <v>0</v>
      </c>
      <c r="AD128" s="733">
        <f t="shared" si="220"/>
        <v>0</v>
      </c>
      <c r="AE128" s="733">
        <f t="shared" si="220"/>
        <v>0</v>
      </c>
      <c r="AF128" s="734">
        <f>SUM(L128:R128)</f>
        <v>0</v>
      </c>
      <c r="AG128" s="86"/>
      <c r="AH128" s="122"/>
      <c r="AI128" s="86"/>
      <c r="AJ128" s="86"/>
      <c r="AK128" s="86"/>
      <c r="AL128" s="86"/>
    </row>
    <row r="129" spans="1:38" s="119" customFormat="1" ht="14">
      <c r="A129" s="383"/>
      <c r="B129" s="22">
        <f t="shared" si="192"/>
        <v>119</v>
      </c>
      <c r="C129"/>
      <c r="D129"/>
      <c r="E129"/>
      <c r="F129" s="183" t="s">
        <v>566</v>
      </c>
      <c r="G129" s="653">
        <f>IF(G10&gt;0,SUM(G53:G68)/G10/G3+G88/G10/G3,0)</f>
        <v>0</v>
      </c>
      <c r="H129" s="653">
        <f t="shared" ref="H129:R129" si="221">IF(H10&gt;0,SUM(H53:H68)/H10/H3+H88/H10/H3,0)</f>
        <v>0</v>
      </c>
      <c r="I129" s="653">
        <f t="shared" si="221"/>
        <v>0</v>
      </c>
      <c r="J129" s="653">
        <f t="shared" si="221"/>
        <v>0</v>
      </c>
      <c r="K129" s="653">
        <f t="shared" si="221"/>
        <v>0</v>
      </c>
      <c r="L129" s="653">
        <f t="shared" si="221"/>
        <v>0</v>
      </c>
      <c r="M129" s="653">
        <f t="shared" si="221"/>
        <v>0</v>
      </c>
      <c r="N129" s="653">
        <f t="shared" si="221"/>
        <v>0</v>
      </c>
      <c r="O129" s="653">
        <f t="shared" si="221"/>
        <v>0</v>
      </c>
      <c r="P129" s="653">
        <f t="shared" si="221"/>
        <v>0</v>
      </c>
      <c r="Q129" s="653">
        <f t="shared" si="221"/>
        <v>0</v>
      </c>
      <c r="R129" s="653">
        <f t="shared" si="221"/>
        <v>0</v>
      </c>
      <c r="S129" s="653"/>
      <c r="T129" s="925">
        <f t="shared" ref="T129:AE129" si="222">IF(T10&gt;0,SUM(T53:T68)/T10/T3,0)</f>
        <v>0</v>
      </c>
      <c r="U129" s="653">
        <f t="shared" si="222"/>
        <v>0</v>
      </c>
      <c r="V129" s="653">
        <f t="shared" si="222"/>
        <v>0</v>
      </c>
      <c r="W129" s="653">
        <f t="shared" si="222"/>
        <v>0</v>
      </c>
      <c r="X129" s="653">
        <f t="shared" si="222"/>
        <v>0</v>
      </c>
      <c r="Y129" s="653">
        <f t="shared" si="222"/>
        <v>0</v>
      </c>
      <c r="Z129" s="653">
        <f t="shared" si="222"/>
        <v>0</v>
      </c>
      <c r="AA129" s="653">
        <f t="shared" si="222"/>
        <v>0</v>
      </c>
      <c r="AB129" s="653">
        <f t="shared" si="222"/>
        <v>0</v>
      </c>
      <c r="AC129" s="653">
        <f t="shared" si="222"/>
        <v>0</v>
      </c>
      <c r="AD129" s="653">
        <f t="shared" si="222"/>
        <v>0</v>
      </c>
      <c r="AE129" s="653">
        <f t="shared" si="222"/>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223">IF(T10&gt;0,SUM(T90:T103)/T10/T3,0)</f>
        <v>0</v>
      </c>
      <c r="U130" s="657">
        <f t="shared" si="223"/>
        <v>0</v>
      </c>
      <c r="V130" s="657">
        <f t="shared" si="223"/>
        <v>0</v>
      </c>
      <c r="W130" s="657">
        <f t="shared" si="223"/>
        <v>0</v>
      </c>
      <c r="X130" s="657">
        <f t="shared" si="223"/>
        <v>0</v>
      </c>
      <c r="Y130" s="657">
        <f t="shared" si="223"/>
        <v>0</v>
      </c>
      <c r="Z130" s="657">
        <f t="shared" si="223"/>
        <v>0</v>
      </c>
      <c r="AA130" s="657">
        <f t="shared" si="223"/>
        <v>0</v>
      </c>
      <c r="AB130" s="657">
        <f t="shared" si="223"/>
        <v>0</v>
      </c>
      <c r="AC130" s="657">
        <f t="shared" si="223"/>
        <v>0</v>
      </c>
      <c r="AD130" s="657">
        <f t="shared" si="223"/>
        <v>0</v>
      </c>
      <c r="AE130" s="657">
        <f t="shared" si="223"/>
        <v>0</v>
      </c>
      <c r="AF130" s="656"/>
      <c r="AG130" s="86"/>
      <c r="AH130" s="86"/>
      <c r="AI130" s="86"/>
      <c r="AJ130" s="86"/>
      <c r="AK130" s="86"/>
      <c r="AL130" s="86"/>
    </row>
    <row r="131" spans="1:38" ht="15" thickTop="1">
      <c r="A131" s="384"/>
      <c r="B131" s="124">
        <f>B130+1</f>
        <v>121</v>
      </c>
      <c r="C131"/>
      <c r="D131"/>
      <c r="E131"/>
      <c r="F131" s="125" t="s">
        <v>88</v>
      </c>
      <c r="G131" s="149">
        <f t="shared" ref="G131:AE131" si="224">IF(LEFT(G$4)&lt;&gt;"b",IF(G$12&gt;=650,650*ROUND(16.38*G$6,2)/12,G$12*ROUND(16.38*G$6,2)/12),IF(G$12&gt;=750,750*ROUND(22.41*G$6,2)/12,G$12*ROUND(22.41*G$6,2)/12))</f>
        <v>0</v>
      </c>
      <c r="H131" s="149">
        <f t="shared" si="224"/>
        <v>0</v>
      </c>
      <c r="I131" s="149">
        <f t="shared" si="224"/>
        <v>0</v>
      </c>
      <c r="J131" s="149">
        <f t="shared" si="224"/>
        <v>0</v>
      </c>
      <c r="K131" s="149">
        <f t="shared" si="224"/>
        <v>0</v>
      </c>
      <c r="L131" s="149">
        <f t="shared" si="224"/>
        <v>0</v>
      </c>
      <c r="M131" s="149">
        <f t="shared" si="224"/>
        <v>0</v>
      </c>
      <c r="N131" s="149">
        <f t="shared" si="224"/>
        <v>0</v>
      </c>
      <c r="O131" s="149">
        <f t="shared" si="224"/>
        <v>0</v>
      </c>
      <c r="P131" s="149">
        <f t="shared" si="224"/>
        <v>0</v>
      </c>
      <c r="Q131" s="149">
        <f t="shared" si="224"/>
        <v>0</v>
      </c>
      <c r="R131" s="149">
        <f t="shared" si="224"/>
        <v>0</v>
      </c>
      <c r="S131" s="149"/>
      <c r="T131" s="927">
        <f t="shared" si="224"/>
        <v>0</v>
      </c>
      <c r="U131" s="149">
        <f t="shared" si="224"/>
        <v>0</v>
      </c>
      <c r="V131" s="149">
        <f t="shared" si="224"/>
        <v>0</v>
      </c>
      <c r="W131" s="149">
        <f t="shared" si="224"/>
        <v>0</v>
      </c>
      <c r="X131" s="149">
        <f t="shared" si="224"/>
        <v>0</v>
      </c>
      <c r="Y131" s="149">
        <f t="shared" si="224"/>
        <v>0</v>
      </c>
      <c r="Z131" s="149">
        <f t="shared" si="224"/>
        <v>0</v>
      </c>
      <c r="AA131" s="149">
        <f t="shared" si="224"/>
        <v>0</v>
      </c>
      <c r="AB131" s="149">
        <f t="shared" si="224"/>
        <v>0</v>
      </c>
      <c r="AC131" s="149">
        <f t="shared" si="224"/>
        <v>0</v>
      </c>
      <c r="AD131" s="149">
        <f t="shared" si="224"/>
        <v>0</v>
      </c>
      <c r="AE131" s="149">
        <f t="shared" si="224"/>
        <v>0</v>
      </c>
      <c r="AF131" s="126" t="s">
        <v>186</v>
      </c>
      <c r="AG131" s="86"/>
      <c r="AH131" s="86"/>
      <c r="AI131" s="86"/>
      <c r="AJ131" s="86"/>
      <c r="AK131" s="86"/>
      <c r="AL131" s="86"/>
    </row>
    <row r="132" spans="1:38" ht="14">
      <c r="A132" s="384"/>
      <c r="B132" s="22">
        <f>B131+1</f>
        <v>122</v>
      </c>
      <c r="C132"/>
      <c r="D132"/>
      <c r="E132"/>
      <c r="F132" s="186" t="s">
        <v>89</v>
      </c>
      <c r="G132" s="110">
        <f t="shared" ref="G132:AE132" si="225">IF(LEFT(G$4)&lt;&gt;"b",IF(G$12&gt;650,IF(G$12&gt;=700,50*ROUND(98.3*G$6,2)/12,(G$12-650)*ROUND(98.3*G$6,2)/12),0),IF(G$12&gt;750,IF(G$12&gt;=800,50*ROUND(65.53*G$6,2)/12,(G$12-750)*ROUND(65.53*G$6,2)/12),0))</f>
        <v>0</v>
      </c>
      <c r="H132" s="110">
        <f t="shared" si="225"/>
        <v>0</v>
      </c>
      <c r="I132" s="110">
        <f t="shared" si="225"/>
        <v>0</v>
      </c>
      <c r="J132" s="110">
        <f t="shared" si="225"/>
        <v>0</v>
      </c>
      <c r="K132" s="110">
        <f t="shared" si="225"/>
        <v>0</v>
      </c>
      <c r="L132" s="110">
        <f t="shared" si="225"/>
        <v>0</v>
      </c>
      <c r="M132" s="110">
        <f t="shared" si="225"/>
        <v>0</v>
      </c>
      <c r="N132" s="110">
        <f t="shared" si="225"/>
        <v>0</v>
      </c>
      <c r="O132" s="110">
        <f t="shared" si="225"/>
        <v>0</v>
      </c>
      <c r="P132" s="110">
        <f t="shared" si="225"/>
        <v>0</v>
      </c>
      <c r="Q132" s="110">
        <f t="shared" si="225"/>
        <v>0</v>
      </c>
      <c r="R132" s="110">
        <f t="shared" si="225"/>
        <v>0</v>
      </c>
      <c r="S132" s="110"/>
      <c r="T132" s="928">
        <f t="shared" si="225"/>
        <v>0</v>
      </c>
      <c r="U132" s="110">
        <f t="shared" si="225"/>
        <v>0</v>
      </c>
      <c r="V132" s="110">
        <f t="shared" si="225"/>
        <v>0</v>
      </c>
      <c r="W132" s="110">
        <f t="shared" si="225"/>
        <v>0</v>
      </c>
      <c r="X132" s="110">
        <f t="shared" si="225"/>
        <v>0</v>
      </c>
      <c r="Y132" s="110">
        <f t="shared" si="225"/>
        <v>0</v>
      </c>
      <c r="Z132" s="110">
        <f t="shared" si="225"/>
        <v>0</v>
      </c>
      <c r="AA132" s="110">
        <f t="shared" si="225"/>
        <v>0</v>
      </c>
      <c r="AB132" s="110">
        <f t="shared" si="225"/>
        <v>0</v>
      </c>
      <c r="AC132" s="110">
        <f t="shared" si="225"/>
        <v>0</v>
      </c>
      <c r="AD132" s="110">
        <f t="shared" si="225"/>
        <v>0</v>
      </c>
      <c r="AE132" s="110">
        <f t="shared" si="225"/>
        <v>0</v>
      </c>
      <c r="AF132" s="111" t="s">
        <v>186</v>
      </c>
      <c r="AG132" s="86"/>
      <c r="AH132" s="86"/>
      <c r="AI132" s="86"/>
      <c r="AJ132" s="86"/>
      <c r="AK132" s="86"/>
      <c r="AL132" s="86"/>
    </row>
    <row r="133" spans="1:38" ht="14">
      <c r="A133" s="384"/>
      <c r="B133" s="22">
        <f>B132+1</f>
        <v>123</v>
      </c>
      <c r="C133"/>
      <c r="D133"/>
      <c r="E133"/>
      <c r="F133" s="186" t="s">
        <v>166</v>
      </c>
      <c r="G133" s="110">
        <f t="shared" ref="G133:AE133" si="226">IF(LEFT(G$4)&lt;&gt;"b",IF(G$12&gt;700,IF(G$12&gt;=750,50*ROUND(131.07*G$6,2)/12,(G$12-700)*ROUND(131.07*G$6,2)/12),0),IF(G$12&gt;800,IF(G$12&gt;=835,35*ROUND(131.07*G$6,2)/12,(G$12-800)*ROUND(131.07*G$6,2)/12),0))</f>
        <v>0</v>
      </c>
      <c r="H133" s="110">
        <f t="shared" si="226"/>
        <v>0</v>
      </c>
      <c r="I133" s="110">
        <f t="shared" si="226"/>
        <v>0</v>
      </c>
      <c r="J133" s="110">
        <f t="shared" si="226"/>
        <v>0</v>
      </c>
      <c r="K133" s="110">
        <f t="shared" si="226"/>
        <v>0</v>
      </c>
      <c r="L133" s="110">
        <f t="shared" si="226"/>
        <v>0</v>
      </c>
      <c r="M133" s="110">
        <f t="shared" si="226"/>
        <v>0</v>
      </c>
      <c r="N133" s="110">
        <f t="shared" si="226"/>
        <v>0</v>
      </c>
      <c r="O133" s="110">
        <f t="shared" si="226"/>
        <v>0</v>
      </c>
      <c r="P133" s="110">
        <f t="shared" si="226"/>
        <v>0</v>
      </c>
      <c r="Q133" s="110">
        <f t="shared" si="226"/>
        <v>0</v>
      </c>
      <c r="R133" s="110">
        <f t="shared" si="226"/>
        <v>0</v>
      </c>
      <c r="S133" s="110"/>
      <c r="T133" s="928">
        <f t="shared" si="226"/>
        <v>0</v>
      </c>
      <c r="U133" s="110">
        <f t="shared" si="226"/>
        <v>0</v>
      </c>
      <c r="V133" s="110">
        <f t="shared" si="226"/>
        <v>0</v>
      </c>
      <c r="W133" s="110">
        <f t="shared" si="226"/>
        <v>0</v>
      </c>
      <c r="X133" s="110">
        <f t="shared" si="226"/>
        <v>0</v>
      </c>
      <c r="Y133" s="110">
        <f t="shared" si="226"/>
        <v>0</v>
      </c>
      <c r="Z133" s="110">
        <f t="shared" si="226"/>
        <v>0</v>
      </c>
      <c r="AA133" s="110">
        <f t="shared" si="226"/>
        <v>0</v>
      </c>
      <c r="AB133" s="110">
        <f t="shared" si="226"/>
        <v>0</v>
      </c>
      <c r="AC133" s="110">
        <f t="shared" si="226"/>
        <v>0</v>
      </c>
      <c r="AD133" s="110">
        <f t="shared" si="226"/>
        <v>0</v>
      </c>
      <c r="AE133" s="110">
        <f t="shared" si="226"/>
        <v>0</v>
      </c>
      <c r="AF133" s="111" t="s">
        <v>186</v>
      </c>
      <c r="AG133" s="86"/>
      <c r="AH133" s="86"/>
      <c r="AI133" s="86"/>
      <c r="AJ133" s="86"/>
      <c r="AK133" s="86"/>
      <c r="AL133" s="86"/>
    </row>
    <row r="134" spans="1:38" ht="14">
      <c r="A134" s="384"/>
      <c r="B134" s="22">
        <f>B133+1</f>
        <v>124</v>
      </c>
      <c r="C134" s="649"/>
      <c r="D134" s="649"/>
      <c r="E134" s="649"/>
      <c r="F134" s="187" t="s">
        <v>167</v>
      </c>
      <c r="G134" s="112">
        <f t="shared" ref="G134:AE134" si="227">IF(LEFT(G$4)&lt;&gt;"b",IF(G$12&gt;750,(G$12-750)*ROUND(163.83*G$6,2)/12,0),IF(G$12&gt;835,(G$12-835)*ROUND(163.83*G$6,2)/12,0))</f>
        <v>0</v>
      </c>
      <c r="H134" s="112">
        <f t="shared" si="227"/>
        <v>0</v>
      </c>
      <c r="I134" s="112">
        <f t="shared" si="227"/>
        <v>0</v>
      </c>
      <c r="J134" s="112">
        <f t="shared" si="227"/>
        <v>0</v>
      </c>
      <c r="K134" s="112">
        <f t="shared" si="227"/>
        <v>0</v>
      </c>
      <c r="L134" s="112">
        <f t="shared" si="227"/>
        <v>0</v>
      </c>
      <c r="M134" s="112">
        <f t="shared" si="227"/>
        <v>0</v>
      </c>
      <c r="N134" s="112">
        <f t="shared" si="227"/>
        <v>0</v>
      </c>
      <c r="O134" s="112">
        <f t="shared" si="227"/>
        <v>0</v>
      </c>
      <c r="P134" s="112">
        <f t="shared" si="227"/>
        <v>0</v>
      </c>
      <c r="Q134" s="112">
        <f t="shared" si="227"/>
        <v>0</v>
      </c>
      <c r="R134" s="112">
        <f t="shared" si="227"/>
        <v>0</v>
      </c>
      <c r="S134" s="112"/>
      <c r="T134" s="929">
        <f t="shared" si="227"/>
        <v>0</v>
      </c>
      <c r="U134" s="112">
        <f t="shared" si="227"/>
        <v>0</v>
      </c>
      <c r="V134" s="112">
        <f t="shared" si="227"/>
        <v>0</v>
      </c>
      <c r="W134" s="112">
        <f t="shared" si="227"/>
        <v>0</v>
      </c>
      <c r="X134" s="112">
        <f t="shared" si="227"/>
        <v>0</v>
      </c>
      <c r="Y134" s="112">
        <f t="shared" si="227"/>
        <v>0</v>
      </c>
      <c r="Z134" s="112">
        <f t="shared" si="227"/>
        <v>0</v>
      </c>
      <c r="AA134" s="112">
        <f t="shared" si="227"/>
        <v>0</v>
      </c>
      <c r="AB134" s="112">
        <f t="shared" si="227"/>
        <v>0</v>
      </c>
      <c r="AC134" s="112">
        <f t="shared" si="227"/>
        <v>0</v>
      </c>
      <c r="AD134" s="112">
        <f t="shared" si="227"/>
        <v>0</v>
      </c>
      <c r="AE134" s="112">
        <f t="shared" si="227"/>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228">ROUND(ROUND(ROUND(VLOOKUP(IF(LEFT(G4)="B",33,42),Skalalontabel12,7,0)*G6,0)/12,2)*G10*G3,2)</f>
        <v>0</v>
      </c>
      <c r="H139" s="488">
        <f t="shared" ref="H139:R139" si="229">ROUND(ROUND(ROUND(VLOOKUP(IF(LEFT(H4)="B",33,42),Skalalontabel12,7,0)*H6,0)/12,2)*H10*H3,2)</f>
        <v>0</v>
      </c>
      <c r="I139" s="488">
        <f t="shared" si="229"/>
        <v>0</v>
      </c>
      <c r="J139" s="488">
        <f t="shared" si="229"/>
        <v>0</v>
      </c>
      <c r="K139" s="488">
        <f t="shared" si="229"/>
        <v>0</v>
      </c>
      <c r="L139" s="488">
        <f t="shared" si="229"/>
        <v>0</v>
      </c>
      <c r="M139" s="488">
        <f t="shared" si="229"/>
        <v>0</v>
      </c>
      <c r="N139" s="488">
        <f t="shared" si="229"/>
        <v>0</v>
      </c>
      <c r="O139" s="488">
        <f t="shared" si="229"/>
        <v>0</v>
      </c>
      <c r="P139" s="488">
        <f t="shared" si="229"/>
        <v>0</v>
      </c>
      <c r="Q139" s="488">
        <f t="shared" si="229"/>
        <v>0</v>
      </c>
      <c r="R139" s="488">
        <f t="shared" si="229"/>
        <v>0</v>
      </c>
      <c r="S139" s="488"/>
      <c r="T139" s="933">
        <f t="shared" si="228"/>
        <v>0</v>
      </c>
      <c r="U139" s="488">
        <f t="shared" si="228"/>
        <v>0</v>
      </c>
      <c r="V139" s="488">
        <f t="shared" si="228"/>
        <v>0</v>
      </c>
      <c r="W139" s="488">
        <f t="shared" si="228"/>
        <v>0</v>
      </c>
      <c r="X139" s="488">
        <f t="shared" si="228"/>
        <v>0</v>
      </c>
      <c r="Y139" s="488">
        <f t="shared" si="228"/>
        <v>0</v>
      </c>
      <c r="Z139" s="488">
        <f t="shared" si="228"/>
        <v>0</v>
      </c>
      <c r="AA139" s="488">
        <f t="shared" si="228"/>
        <v>0</v>
      </c>
      <c r="AB139" s="488">
        <f t="shared" si="228"/>
        <v>0</v>
      </c>
      <c r="AC139" s="488">
        <f t="shared" si="228"/>
        <v>0</v>
      </c>
      <c r="AD139" s="488">
        <f t="shared" si="228"/>
        <v>0</v>
      </c>
      <c r="AE139" s="488">
        <f t="shared" si="228"/>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230">IF($C$56=1,H56,"0")+IF($C$57=1,H57,"0")+IF($C$58=1,H58,"0")+IF($C$59=1,H59,"0")+IF($C$60=1,H60,"0")+IF($C$61=1,H61,"0")+IF($C$62=1,H62,"0")+IF($C$68=1,H68,"0")+H63+H64+H66+H67+H72+H88+IF($C$45="x",H45,"0")+IF($C$46="x",H46,"0")+IF(H84&gt;0,H84,0)</f>
        <v>0</v>
      </c>
      <c r="I140" s="488">
        <f t="shared" si="230"/>
        <v>0</v>
      </c>
      <c r="J140" s="488">
        <f t="shared" si="230"/>
        <v>0</v>
      </c>
      <c r="K140" s="488">
        <f t="shared" si="230"/>
        <v>0</v>
      </c>
      <c r="L140" s="488">
        <f t="shared" si="230"/>
        <v>0</v>
      </c>
      <c r="M140" s="488">
        <f t="shared" si="230"/>
        <v>0</v>
      </c>
      <c r="N140" s="488">
        <f t="shared" si="230"/>
        <v>0</v>
      </c>
      <c r="O140" s="488">
        <f t="shared" si="230"/>
        <v>0</v>
      </c>
      <c r="P140" s="488">
        <f t="shared" si="230"/>
        <v>0</v>
      </c>
      <c r="Q140" s="488">
        <f t="shared" si="230"/>
        <v>0</v>
      </c>
      <c r="R140" s="488">
        <f t="shared" si="230"/>
        <v>0</v>
      </c>
      <c r="S140" s="488"/>
      <c r="T140" s="488">
        <f>IF($C$56=1,T56,"0")+IF($C$57=1,T57,"0")+IF($C$58=1,T58,"0")+IF($C$59=1,T59,"0")+IF($C$60=1,T60,"0")+IF($C$61=1,T61,"0")+IF($C$62=1,T62,"0")+IF($C$68=1,T68,"0")+T63+T64+T66+T67+T72+T88+IF($C$45="x",T45,"0")+IF($C$46="x",T46,"0")+IF(T84&gt;0,T84,0)</f>
        <v>0</v>
      </c>
      <c r="U140" s="488">
        <f t="shared" ref="U140:AE140" si="231">IF($C$56=1,U56,"0")+IF($C$57=1,U57,"0")+IF($C$58=1,U58,"0")+IF($C$59=1,U59,"0")+IF($C$60=1,U60,"0")+IF($C$61=1,U61,"0")+IF($C$62=1,U62,"0")+IF($C$68=1,U68,"0")+U63+U64+U66+U67+U72+U88+IF($C$45="x",U45,"0")+IF($C$46="x",U46,"0")+IF(U84&gt;0,U84,0)</f>
        <v>0</v>
      </c>
      <c r="V140" s="488">
        <f t="shared" si="231"/>
        <v>0</v>
      </c>
      <c r="W140" s="488">
        <f t="shared" si="231"/>
        <v>0</v>
      </c>
      <c r="X140" s="488">
        <f t="shared" si="231"/>
        <v>0</v>
      </c>
      <c r="Y140" s="488">
        <f t="shared" si="231"/>
        <v>0</v>
      </c>
      <c r="Z140" s="488">
        <f t="shared" si="231"/>
        <v>0</v>
      </c>
      <c r="AA140" s="488">
        <f t="shared" si="231"/>
        <v>0</v>
      </c>
      <c r="AB140" s="488">
        <f t="shared" si="231"/>
        <v>0</v>
      </c>
      <c r="AC140" s="488">
        <f t="shared" si="231"/>
        <v>0</v>
      </c>
      <c r="AD140" s="488">
        <f t="shared" si="231"/>
        <v>0</v>
      </c>
      <c r="AE140" s="488">
        <f t="shared" si="231"/>
        <v>0</v>
      </c>
    </row>
    <row r="141" spans="1:38" s="3" customFormat="1">
      <c r="B141" s="22"/>
      <c r="C141" s="22"/>
      <c r="D141" s="22"/>
      <c r="E141" s="22"/>
      <c r="F141" s="485">
        <v>0.18</v>
      </c>
      <c r="G141" s="488">
        <f t="shared" ref="G141" si="232">ROUND(G140*18%,2)</f>
        <v>0</v>
      </c>
      <c r="H141" s="488">
        <f t="shared" ref="H141:R141" si="233">ROUND(H140*18%,2)</f>
        <v>0</v>
      </c>
      <c r="I141" s="488">
        <f t="shared" si="233"/>
        <v>0</v>
      </c>
      <c r="J141" s="488">
        <f t="shared" si="233"/>
        <v>0</v>
      </c>
      <c r="K141" s="488">
        <f t="shared" si="233"/>
        <v>0</v>
      </c>
      <c r="L141" s="488">
        <f t="shared" si="233"/>
        <v>0</v>
      </c>
      <c r="M141" s="488">
        <f t="shared" si="233"/>
        <v>0</v>
      </c>
      <c r="N141" s="488">
        <f t="shared" si="233"/>
        <v>0</v>
      </c>
      <c r="O141" s="488">
        <f t="shared" si="233"/>
        <v>0</v>
      </c>
      <c r="P141" s="488">
        <f t="shared" si="233"/>
        <v>0</v>
      </c>
      <c r="Q141" s="488">
        <f t="shared" si="233"/>
        <v>0</v>
      </c>
      <c r="R141" s="488">
        <f t="shared" si="233"/>
        <v>0</v>
      </c>
      <c r="S141" s="488"/>
      <c r="T141" s="488">
        <f t="shared" ref="T141" si="234">ROUND(T140*18%,2)</f>
        <v>0</v>
      </c>
      <c r="U141" s="488">
        <f t="shared" ref="U141:AE141" si="235">ROUND(U140*18%,2)</f>
        <v>0</v>
      </c>
      <c r="V141" s="488">
        <f t="shared" si="235"/>
        <v>0</v>
      </c>
      <c r="W141" s="488">
        <f t="shared" si="235"/>
        <v>0</v>
      </c>
      <c r="X141" s="488">
        <f t="shared" si="235"/>
        <v>0</v>
      </c>
      <c r="Y141" s="488">
        <f t="shared" si="235"/>
        <v>0</v>
      </c>
      <c r="Z141" s="488">
        <f t="shared" si="235"/>
        <v>0</v>
      </c>
      <c r="AA141" s="488">
        <f t="shared" si="235"/>
        <v>0</v>
      </c>
      <c r="AB141" s="488">
        <f t="shared" si="235"/>
        <v>0</v>
      </c>
      <c r="AC141" s="488">
        <f t="shared" si="235"/>
        <v>0</v>
      </c>
      <c r="AD141" s="488">
        <f t="shared" si="235"/>
        <v>0</v>
      </c>
      <c r="AE141" s="488">
        <f t="shared" si="235"/>
        <v>0</v>
      </c>
    </row>
    <row r="142" spans="1:38" s="3" customFormat="1">
      <c r="B142" s="22"/>
      <c r="C142" s="22"/>
      <c r="D142" s="22"/>
      <c r="E142" s="22"/>
      <c r="F142" s="484" t="s">
        <v>585</v>
      </c>
      <c r="G142" s="489">
        <f>G53+G54+G55+G65</f>
        <v>0</v>
      </c>
      <c r="H142" s="489">
        <f t="shared" ref="H142:R142" si="236">H53+H54+H55+H65</f>
        <v>0</v>
      </c>
      <c r="I142" s="489">
        <f t="shared" si="236"/>
        <v>0</v>
      </c>
      <c r="J142" s="489">
        <f t="shared" si="236"/>
        <v>0</v>
      </c>
      <c r="K142" s="489">
        <f t="shared" si="236"/>
        <v>0</v>
      </c>
      <c r="L142" s="489">
        <f t="shared" si="236"/>
        <v>0</v>
      </c>
      <c r="M142" s="489">
        <f t="shared" si="236"/>
        <v>0</v>
      </c>
      <c r="N142" s="489">
        <f t="shared" si="236"/>
        <v>0</v>
      </c>
      <c r="O142" s="489">
        <f t="shared" si="236"/>
        <v>0</v>
      </c>
      <c r="P142" s="489">
        <f t="shared" si="236"/>
        <v>0</v>
      </c>
      <c r="Q142" s="489">
        <f t="shared" si="236"/>
        <v>0</v>
      </c>
      <c r="R142" s="489">
        <f t="shared" si="236"/>
        <v>0</v>
      </c>
      <c r="S142" s="489"/>
      <c r="T142" s="934">
        <f t="shared" ref="T142:AE142" si="237">T53+T54+T55+T65</f>
        <v>0</v>
      </c>
      <c r="U142" s="489">
        <f t="shared" si="237"/>
        <v>0</v>
      </c>
      <c r="V142" s="489">
        <f t="shared" si="237"/>
        <v>0</v>
      </c>
      <c r="W142" s="489">
        <f t="shared" si="237"/>
        <v>0</v>
      </c>
      <c r="X142" s="489">
        <f t="shared" si="237"/>
        <v>0</v>
      </c>
      <c r="Y142" s="489">
        <f t="shared" si="237"/>
        <v>0</v>
      </c>
      <c r="Z142" s="489">
        <f t="shared" si="237"/>
        <v>0</v>
      </c>
      <c r="AA142" s="489">
        <f t="shared" si="237"/>
        <v>0</v>
      </c>
      <c r="AB142" s="489">
        <f t="shared" si="237"/>
        <v>0</v>
      </c>
      <c r="AC142" s="489">
        <f t="shared" si="237"/>
        <v>0</v>
      </c>
      <c r="AD142" s="489">
        <f t="shared" si="237"/>
        <v>0</v>
      </c>
      <c r="AE142" s="489">
        <f t="shared" si="237"/>
        <v>0</v>
      </c>
    </row>
    <row r="143" spans="1:38" s="3" customFormat="1">
      <c r="B143" s="22"/>
      <c r="C143" s="22"/>
      <c r="D143" s="22"/>
      <c r="E143" s="22"/>
      <c r="F143" s="484" t="s">
        <v>586</v>
      </c>
      <c r="G143" s="489">
        <f>G142-G139</f>
        <v>0</v>
      </c>
      <c r="H143" s="489">
        <f t="shared" ref="H143:R143" si="238">H142-H139</f>
        <v>0</v>
      </c>
      <c r="I143" s="489">
        <f t="shared" si="238"/>
        <v>0</v>
      </c>
      <c r="J143" s="489">
        <f t="shared" si="238"/>
        <v>0</v>
      </c>
      <c r="K143" s="489">
        <f t="shared" si="238"/>
        <v>0</v>
      </c>
      <c r="L143" s="489">
        <f t="shared" si="238"/>
        <v>0</v>
      </c>
      <c r="M143" s="489">
        <f t="shared" si="238"/>
        <v>0</v>
      </c>
      <c r="N143" s="489">
        <f t="shared" si="238"/>
        <v>0</v>
      </c>
      <c r="O143" s="489">
        <f t="shared" si="238"/>
        <v>0</v>
      </c>
      <c r="P143" s="489">
        <f t="shared" si="238"/>
        <v>0</v>
      </c>
      <c r="Q143" s="489">
        <f t="shared" si="238"/>
        <v>0</v>
      </c>
      <c r="R143" s="489">
        <f t="shared" si="238"/>
        <v>0</v>
      </c>
      <c r="S143" s="489"/>
      <c r="T143" s="934">
        <f>T142-T139</f>
        <v>0</v>
      </c>
      <c r="U143" s="489">
        <f>U142-U139</f>
        <v>0</v>
      </c>
      <c r="V143" s="489">
        <f t="shared" ref="V143:AE143" si="239">V142-V139</f>
        <v>0</v>
      </c>
      <c r="W143" s="489">
        <f t="shared" si="239"/>
        <v>0</v>
      </c>
      <c r="X143" s="489">
        <f t="shared" si="239"/>
        <v>0</v>
      </c>
      <c r="Y143" s="489">
        <f t="shared" si="239"/>
        <v>0</v>
      </c>
      <c r="Z143" s="489">
        <f t="shared" si="239"/>
        <v>0</v>
      </c>
      <c r="AA143" s="489">
        <f t="shared" si="239"/>
        <v>0</v>
      </c>
      <c r="AB143" s="489">
        <f t="shared" si="239"/>
        <v>0</v>
      </c>
      <c r="AC143" s="489">
        <f t="shared" si="239"/>
        <v>0</v>
      </c>
      <c r="AD143" s="489">
        <f t="shared" si="239"/>
        <v>0</v>
      </c>
      <c r="AE143" s="489">
        <f t="shared" si="239"/>
        <v>0</v>
      </c>
    </row>
    <row r="144" spans="1:38" s="3" customFormat="1">
      <c r="B144" s="22"/>
      <c r="C144" s="22"/>
      <c r="D144" s="22"/>
      <c r="E144" s="22"/>
      <c r="F144" s="484" t="s">
        <v>588</v>
      </c>
      <c r="G144" s="489">
        <f>IF(AND(G143&lt;-1,G140&lt;G145),G140*17.3%,G141)</f>
        <v>0</v>
      </c>
      <c r="H144" s="489">
        <f t="shared" ref="H144:R144" si="240">IF(AND(H143&lt;-1,H140&lt;H145),H140*17.3%,H141)</f>
        <v>0</v>
      </c>
      <c r="I144" s="489">
        <f t="shared" si="240"/>
        <v>0</v>
      </c>
      <c r="J144" s="489">
        <f t="shared" si="240"/>
        <v>0</v>
      </c>
      <c r="K144" s="489">
        <f t="shared" si="240"/>
        <v>0</v>
      </c>
      <c r="L144" s="489">
        <f t="shared" si="240"/>
        <v>0</v>
      </c>
      <c r="M144" s="489">
        <f t="shared" si="240"/>
        <v>0</v>
      </c>
      <c r="N144" s="489">
        <f t="shared" si="240"/>
        <v>0</v>
      </c>
      <c r="O144" s="489">
        <f t="shared" si="240"/>
        <v>0</v>
      </c>
      <c r="P144" s="489">
        <f t="shared" si="240"/>
        <v>0</v>
      </c>
      <c r="Q144" s="489">
        <f t="shared" si="240"/>
        <v>0</v>
      </c>
      <c r="R144" s="489">
        <f t="shared" si="240"/>
        <v>0</v>
      </c>
      <c r="S144" s="489"/>
      <c r="T144" s="934">
        <f>IF(AND(T143&lt;-1,T140&lt;T145),T140*17.3%,T141)</f>
        <v>0</v>
      </c>
      <c r="U144" s="489">
        <f>IF(AND(U143&lt;-1,U140&lt;U145),U140*17.3%,U141)</f>
        <v>0</v>
      </c>
      <c r="V144" s="489">
        <f t="shared" ref="V144" si="241">IF(AND(V143&lt;0,V140&lt;V145),V140*17.3%,0)</f>
        <v>0</v>
      </c>
      <c r="W144" s="489">
        <f t="shared" ref="W144" si="242">IF(AND(W143&lt;-1,W140&lt;W145),W140*17.3%,W141)</f>
        <v>0</v>
      </c>
      <c r="X144" s="489">
        <f t="shared" ref="X144" si="243">IF(AND(X143&lt;0,X140&lt;X145),X140*17.3%,0)</f>
        <v>0</v>
      </c>
      <c r="Y144" s="489">
        <f t="shared" ref="Y144" si="244">IF(AND(Y143&lt;-1,Y140&lt;Y145),Y140*17.3%,Y141)</f>
        <v>0</v>
      </c>
      <c r="Z144" s="489">
        <f t="shared" ref="Z144" si="245">IF(AND(Z143&lt;0,Z140&lt;Z145),Z140*17.3%,0)</f>
        <v>0</v>
      </c>
      <c r="AA144" s="489">
        <f t="shared" ref="AA144" si="246">IF(AND(AA143&lt;-1,AA140&lt;AA145),AA140*17.3%,AA141)</f>
        <v>0</v>
      </c>
      <c r="AB144" s="489">
        <f t="shared" ref="AB144" si="247">IF(AND(AB143&lt;0,AB140&lt;AB145),AB140*17.3%,0)</f>
        <v>0</v>
      </c>
      <c r="AC144" s="489">
        <f t="shared" ref="AC144" si="248">IF(AND(AC143&lt;-1,AC140&lt;AC145),AC140*17.3%,AC141)</f>
        <v>0</v>
      </c>
      <c r="AD144" s="489">
        <f t="shared" ref="AD144" si="249">IF(AND(AD143&lt;0,AD140&lt;AD145),AD140*17.3%,0)</f>
        <v>0</v>
      </c>
      <c r="AE144" s="489">
        <f t="shared" ref="AE144" si="250">IF(AND(AE143&lt;-1,AE140&lt;AE145),AE140*17.3%,AE141)</f>
        <v>0</v>
      </c>
    </row>
    <row r="145" spans="2:31" s="3" customFormat="1">
      <c r="B145" s="22"/>
      <c r="C145" s="22"/>
      <c r="D145" s="22"/>
      <c r="E145" s="22"/>
      <c r="F145" s="484" t="s">
        <v>584</v>
      </c>
      <c r="G145" s="489">
        <f>G143*-1</f>
        <v>0</v>
      </c>
      <c r="H145" s="489">
        <f t="shared" ref="H145:R145" si="251">H143*-1</f>
        <v>0</v>
      </c>
      <c r="I145" s="489">
        <f t="shared" si="251"/>
        <v>0</v>
      </c>
      <c r="J145" s="489">
        <f t="shared" si="251"/>
        <v>0</v>
      </c>
      <c r="K145" s="489">
        <f t="shared" si="251"/>
        <v>0</v>
      </c>
      <c r="L145" s="489">
        <f t="shared" si="251"/>
        <v>0</v>
      </c>
      <c r="M145" s="489">
        <f t="shared" si="251"/>
        <v>0</v>
      </c>
      <c r="N145" s="489">
        <f t="shared" si="251"/>
        <v>0</v>
      </c>
      <c r="O145" s="489">
        <f t="shared" si="251"/>
        <v>0</v>
      </c>
      <c r="P145" s="489">
        <f t="shared" si="251"/>
        <v>0</v>
      </c>
      <c r="Q145" s="489">
        <f t="shared" si="251"/>
        <v>0</v>
      </c>
      <c r="R145" s="489">
        <f t="shared" si="251"/>
        <v>0</v>
      </c>
      <c r="S145" s="489"/>
      <c r="T145" s="934">
        <f>T143*-1</f>
        <v>0</v>
      </c>
      <c r="U145" s="489">
        <f>U143*-1</f>
        <v>0</v>
      </c>
      <c r="V145" s="489">
        <f t="shared" ref="V145:AE145" si="252">V143*-1</f>
        <v>0</v>
      </c>
      <c r="W145" s="489">
        <f t="shared" si="252"/>
        <v>0</v>
      </c>
      <c r="X145" s="489">
        <f t="shared" si="252"/>
        <v>0</v>
      </c>
      <c r="Y145" s="489">
        <f t="shared" si="252"/>
        <v>0</v>
      </c>
      <c r="Z145" s="489">
        <f t="shared" si="252"/>
        <v>0</v>
      </c>
      <c r="AA145" s="489">
        <f t="shared" si="252"/>
        <v>0</v>
      </c>
      <c r="AB145" s="489">
        <f t="shared" si="252"/>
        <v>0</v>
      </c>
      <c r="AC145" s="489">
        <f t="shared" si="252"/>
        <v>0</v>
      </c>
      <c r="AD145" s="489">
        <f t="shared" si="252"/>
        <v>0</v>
      </c>
      <c r="AE145" s="489">
        <f t="shared" si="252"/>
        <v>0</v>
      </c>
    </row>
    <row r="146" spans="2:31" s="3" customFormat="1">
      <c r="B146" s="22"/>
      <c r="C146" s="22"/>
      <c r="D146" s="22"/>
      <c r="E146" s="22"/>
      <c r="F146" s="484" t="s">
        <v>587</v>
      </c>
      <c r="G146" s="489">
        <f>IF(AND(G140&gt;G145,G143&lt;-1),(G140-G145)*18%+G145*17.3%,G140*18%)</f>
        <v>0</v>
      </c>
      <c r="H146" s="489">
        <f t="shared" ref="H146:R146" si="253">IF(AND(H140&gt;H145,H143&lt;-1),(H140-H145)*18%+H145*17.3%,H140*18%)</f>
        <v>0</v>
      </c>
      <c r="I146" s="489">
        <f t="shared" si="253"/>
        <v>0</v>
      </c>
      <c r="J146" s="489">
        <f t="shared" si="253"/>
        <v>0</v>
      </c>
      <c r="K146" s="489">
        <f t="shared" si="253"/>
        <v>0</v>
      </c>
      <c r="L146" s="489">
        <f t="shared" si="253"/>
        <v>0</v>
      </c>
      <c r="M146" s="489">
        <f t="shared" si="253"/>
        <v>0</v>
      </c>
      <c r="N146" s="489">
        <f t="shared" si="253"/>
        <v>0</v>
      </c>
      <c r="O146" s="489">
        <f t="shared" si="253"/>
        <v>0</v>
      </c>
      <c r="P146" s="489">
        <f t="shared" si="253"/>
        <v>0</v>
      </c>
      <c r="Q146" s="489">
        <f t="shared" si="253"/>
        <v>0</v>
      </c>
      <c r="R146" s="489">
        <f t="shared" si="253"/>
        <v>0</v>
      </c>
      <c r="S146" s="489"/>
      <c r="T146" s="934">
        <f>IF(AND(T140&gt;T145,T143&lt;-1),(T140-T145)*18%+T145*17.3%,T140*18%)</f>
        <v>0</v>
      </c>
      <c r="U146" s="489">
        <f>IF(AND(U140&gt;U145,U143&lt;-1),(U140-U145)*18%+U145*17.3%,U140*18%)</f>
        <v>0</v>
      </c>
      <c r="V146" s="489">
        <f t="shared" ref="V146:AE146" si="254">IF(AND(V140&gt;V145,V143&lt;-1),(V140-V145)*18%+V145*17.3%,V140*18%)</f>
        <v>0</v>
      </c>
      <c r="W146" s="489">
        <f t="shared" si="254"/>
        <v>0</v>
      </c>
      <c r="X146" s="489">
        <f t="shared" si="254"/>
        <v>0</v>
      </c>
      <c r="Y146" s="489">
        <f t="shared" si="254"/>
        <v>0</v>
      </c>
      <c r="Z146" s="489">
        <f t="shared" si="254"/>
        <v>0</v>
      </c>
      <c r="AA146" s="489">
        <f t="shared" si="254"/>
        <v>0</v>
      </c>
      <c r="AB146" s="489">
        <f t="shared" si="254"/>
        <v>0</v>
      </c>
      <c r="AC146" s="489">
        <f t="shared" si="254"/>
        <v>0</v>
      </c>
      <c r="AD146" s="489">
        <f t="shared" si="254"/>
        <v>0</v>
      </c>
      <c r="AE146" s="489">
        <f t="shared" si="254"/>
        <v>0</v>
      </c>
    </row>
    <row r="147" spans="2:31" s="3" customFormat="1">
      <c r="B147" s="22"/>
      <c r="C147" s="22"/>
      <c r="D147" s="22"/>
      <c r="E147" s="22"/>
      <c r="F147" s="484" t="s">
        <v>589</v>
      </c>
      <c r="G147" s="489">
        <f>IF(AND(G143&lt;-1,G140&lt;G145),G140*-0.7%,0)</f>
        <v>0</v>
      </c>
      <c r="H147" s="489">
        <f t="shared" ref="H147:R147" si="255">IF(AND(H143&lt;-1,H140&lt;H145),H140*-0.7%,0)</f>
        <v>0</v>
      </c>
      <c r="I147" s="489">
        <f t="shared" si="255"/>
        <v>0</v>
      </c>
      <c r="J147" s="489">
        <f t="shared" si="255"/>
        <v>0</v>
      </c>
      <c r="K147" s="489">
        <f t="shared" si="255"/>
        <v>0</v>
      </c>
      <c r="L147" s="489">
        <f t="shared" si="255"/>
        <v>0</v>
      </c>
      <c r="M147" s="489">
        <f t="shared" si="255"/>
        <v>0</v>
      </c>
      <c r="N147" s="489">
        <f t="shared" si="255"/>
        <v>0</v>
      </c>
      <c r="O147" s="489">
        <f t="shared" si="255"/>
        <v>0</v>
      </c>
      <c r="P147" s="489">
        <f t="shared" si="255"/>
        <v>0</v>
      </c>
      <c r="Q147" s="489">
        <f t="shared" si="255"/>
        <v>0</v>
      </c>
      <c r="R147" s="489">
        <f t="shared" si="255"/>
        <v>0</v>
      </c>
      <c r="S147" s="489"/>
      <c r="T147" s="934">
        <f>IF(AND(T143&lt;-1,T140&lt;T145),T140*-0.7%,0)</f>
        <v>0</v>
      </c>
      <c r="U147" s="489">
        <f>IF(AND(U143&lt;-1,U140&lt;U145),U140*-0.7%,0)</f>
        <v>0</v>
      </c>
      <c r="V147" s="489">
        <f t="shared" ref="V147:AE147" si="256">IF(AND(V143&lt;-1,V140&lt;V145),V140*-0.7%,0)</f>
        <v>0</v>
      </c>
      <c r="W147" s="489">
        <f t="shared" si="256"/>
        <v>0</v>
      </c>
      <c r="X147" s="489">
        <f t="shared" si="256"/>
        <v>0</v>
      </c>
      <c r="Y147" s="489">
        <f t="shared" si="256"/>
        <v>0</v>
      </c>
      <c r="Z147" s="489">
        <f t="shared" si="256"/>
        <v>0</v>
      </c>
      <c r="AA147" s="489">
        <f t="shared" si="256"/>
        <v>0</v>
      </c>
      <c r="AB147" s="489">
        <f t="shared" si="256"/>
        <v>0</v>
      </c>
      <c r="AC147" s="489">
        <f t="shared" si="256"/>
        <v>0</v>
      </c>
      <c r="AD147" s="489">
        <f t="shared" si="256"/>
        <v>0</v>
      </c>
      <c r="AE147" s="489">
        <f t="shared" si="256"/>
        <v>0</v>
      </c>
    </row>
    <row r="148" spans="2:31" s="3" customFormat="1">
      <c r="B148" s="22"/>
      <c r="C148" s="22"/>
      <c r="D148" s="22"/>
      <c r="E148" s="22"/>
      <c r="F148" s="484" t="s">
        <v>590</v>
      </c>
      <c r="G148" s="489">
        <f>IF(G143&lt;-1,G146-G147,G141)</f>
        <v>0</v>
      </c>
      <c r="H148" s="489">
        <f t="shared" ref="H148:R148" si="257">IF(H143&lt;-1,H146-H147,H141)</f>
        <v>0</v>
      </c>
      <c r="I148" s="489">
        <f t="shared" si="257"/>
        <v>0</v>
      </c>
      <c r="J148" s="489">
        <f t="shared" si="257"/>
        <v>0</v>
      </c>
      <c r="K148" s="489">
        <f t="shared" si="257"/>
        <v>0</v>
      </c>
      <c r="L148" s="489">
        <f t="shared" si="257"/>
        <v>0</v>
      </c>
      <c r="M148" s="489">
        <f t="shared" si="257"/>
        <v>0</v>
      </c>
      <c r="N148" s="489">
        <f t="shared" si="257"/>
        <v>0</v>
      </c>
      <c r="O148" s="489">
        <f t="shared" si="257"/>
        <v>0</v>
      </c>
      <c r="P148" s="489">
        <f t="shared" si="257"/>
        <v>0</v>
      </c>
      <c r="Q148" s="489">
        <f t="shared" si="257"/>
        <v>0</v>
      </c>
      <c r="R148" s="489">
        <f t="shared" si="257"/>
        <v>0</v>
      </c>
      <c r="S148" s="489"/>
      <c r="T148" s="934">
        <f>IF(T143&lt;-1,T146-T147,T141)</f>
        <v>0</v>
      </c>
      <c r="U148" s="489">
        <f>IF(U143&lt;-1,U146-U147,U141)</f>
        <v>0</v>
      </c>
      <c r="V148" s="489">
        <f t="shared" ref="V148" si="258">SUM(V146:V147)</f>
        <v>0</v>
      </c>
      <c r="W148" s="489">
        <f t="shared" ref="W148" si="259">IF(W143&lt;-1,W146-W147,W141)</f>
        <v>0</v>
      </c>
      <c r="X148" s="489">
        <f t="shared" ref="X148" si="260">SUM(X146:X147)</f>
        <v>0</v>
      </c>
      <c r="Y148" s="489">
        <f t="shared" ref="Y148" si="261">IF(Y143&lt;-1,Y146-Y147,Y141)</f>
        <v>0</v>
      </c>
      <c r="Z148" s="489">
        <f t="shared" ref="Z148" si="262">SUM(Z146:Z147)</f>
        <v>0</v>
      </c>
      <c r="AA148" s="489">
        <f t="shared" ref="AA148" si="263">IF(AA143&lt;-1,AA146-AA147,AA141)</f>
        <v>0</v>
      </c>
      <c r="AB148" s="489">
        <f t="shared" ref="AB148" si="264">SUM(AB146:AB147)</f>
        <v>0</v>
      </c>
      <c r="AC148" s="489">
        <f t="shared" ref="AC148" si="265">IF(AC143&lt;-1,AC146-AC147,AC141)</f>
        <v>0</v>
      </c>
      <c r="AD148" s="489">
        <f t="shared" ref="AD148" si="266">SUM(AD146:AD147)</f>
        <v>0</v>
      </c>
      <c r="AE148" s="489">
        <f t="shared" ref="AE148" si="267">IF(AE143&lt;-1,AE146-AE147,AE141)</f>
        <v>0</v>
      </c>
    </row>
    <row r="149" spans="2:31" s="3" customFormat="1" ht="17" customHeight="1">
      <c r="B149" s="22"/>
      <c r="C149" s="22"/>
      <c r="D149" s="22"/>
      <c r="E149" s="22"/>
      <c r="F149" s="3" t="s">
        <v>645</v>
      </c>
      <c r="G149" s="438" t="e">
        <f t="shared" ref="G149" si="268">T124-(T124/T11*G10)</f>
        <v>#DIV/0!</v>
      </c>
      <c r="H149" s="438" t="e">
        <f t="shared" ref="H149" si="269">U124-(U124/U11*H10)</f>
        <v>#DIV/0!</v>
      </c>
      <c r="I149" s="438" t="e">
        <f t="shared" ref="I149" si="270">V124-(V124/V11*I10)</f>
        <v>#DIV/0!</v>
      </c>
      <c r="J149" s="438" t="e">
        <f t="shared" ref="J149" si="271">W124-(W124/W11*J10)</f>
        <v>#DIV/0!</v>
      </c>
      <c r="K149" s="438" t="e">
        <f t="shared" ref="K149" si="272">X124-(X124/X11*K10)</f>
        <v>#DIV/0!</v>
      </c>
      <c r="L149" s="438" t="e">
        <f t="shared" ref="L149" si="273">Y124-(Y124/Y11*L10)</f>
        <v>#DIV/0!</v>
      </c>
      <c r="M149" s="438" t="e">
        <f t="shared" ref="M149" si="274">Z124-(Z124/Z11*M10)</f>
        <v>#DIV/0!</v>
      </c>
      <c r="N149" s="438" t="e">
        <f t="shared" ref="N149" si="275">AA124-(AA124/AA11*N10)</f>
        <v>#DIV/0!</v>
      </c>
      <c r="O149" s="438" t="e">
        <f t="shared" ref="O149" si="276">AB124-(AB124/AB11*O10)</f>
        <v>#DIV/0!</v>
      </c>
      <c r="P149" s="438" t="e">
        <f t="shared" ref="P149" si="277">AC124-(AC124/AC11*P10)</f>
        <v>#DIV/0!</v>
      </c>
      <c r="Q149" s="438" t="e">
        <f t="shared" ref="Q149" si="278">AD124-(AD124/AD11*Q10)</f>
        <v>#DIV/0!</v>
      </c>
      <c r="R149" s="438" t="e">
        <f t="shared" ref="R149" si="279">AE124-(AE124/AE11*R10)</f>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280">"lin. 1, lin.2"&amp;IF($D57&gt;0,", lin.5","")&amp;IF($D58&gt;0,", lin.6","")&amp;IF($D59&gt;0,", lin.7","")&amp;IF($D60&gt;0,", lin.8","")&amp;IF($D61&gt;0,", lin.9","")&amp;IF($D62&gt;0,", lin.10","")&amp;", lin. 11 - lin. 15"&amp;IF($D68&gt;0,", lin.16","")</f>
        <v>lin. 1, lin.2, lin.8, lin.9, lin.10, lin. 11 - lin. 15</v>
      </c>
      <c r="I162" s="440" t="str">
        <f t="shared" si="280"/>
        <v>lin. 1, lin.2, lin.8, lin.9, lin.10, lin. 11 - lin. 15</v>
      </c>
      <c r="J162" s="440" t="str">
        <f t="shared" si="280"/>
        <v>lin. 1, lin.2, lin.8, lin.9, lin.10, lin. 11 - lin. 15</v>
      </c>
      <c r="K162" s="440" t="str">
        <f t="shared" si="280"/>
        <v>lin. 1, lin.2, lin.8, lin.9, lin.10, lin. 11 - lin. 15</v>
      </c>
      <c r="L162" s="440" t="str">
        <f t="shared" si="280"/>
        <v>lin. 1, lin.2, lin.8, lin.9, lin.10, lin. 11 - lin. 15</v>
      </c>
      <c r="M162" s="440" t="str">
        <f t="shared" si="280"/>
        <v>lin. 1, lin.2, lin.8, lin.9, lin.10, lin. 11 - lin. 15</v>
      </c>
      <c r="N162" s="440" t="str">
        <f t="shared" si="280"/>
        <v>lin. 1, lin.2, lin.8, lin.9, lin.10, lin. 11 - lin. 15</v>
      </c>
      <c r="O162" s="440" t="str">
        <f t="shared" si="280"/>
        <v>lin. 1, lin.2, lin.8, lin.9, lin.10, lin. 11 - lin. 15</v>
      </c>
      <c r="P162" s="440" t="str">
        <f t="shared" si="280"/>
        <v>lin. 1, lin.2, lin.8, lin.9, lin.10, lin. 11 - lin. 15</v>
      </c>
      <c r="Q162" s="440" t="str">
        <f t="shared" si="280"/>
        <v>lin. 1, lin.2, lin.8, lin.9, lin.10, lin. 11 - lin. 15</v>
      </c>
      <c r="R162" s="440" t="str">
        <f t="shared" si="280"/>
        <v>lin. 1, lin.2, lin.8, lin.9, lin.10, lin. 11 - lin. 15</v>
      </c>
      <c r="S162" s="440"/>
      <c r="T162" s="935" t="str">
        <f>"lin. 1 - lin.16"</f>
        <v>lin. 1 - lin.16</v>
      </c>
      <c r="U162" s="440" t="str">
        <f t="shared" ref="U162:AE162" si="281">"lin. 1, lin.2"&amp;IF($D57&gt;0,", lin.5","")&amp;IF($D58&gt;0,", lin.6","")&amp;IF($D59&gt;0,", lin.7","")&amp;IF($D60&gt;0,", lin.8","")&amp;IF($D61&gt;0,", lin.9","")&amp;IF($D62&gt;0,", lin.10","")&amp;", lin. 11 - lin. 15"&amp;IF($D68&gt;0,", lin.16","")</f>
        <v>lin. 1, lin.2, lin.8, lin.9, lin.10, lin. 11 - lin. 15</v>
      </c>
      <c r="V162" s="440" t="str">
        <f t="shared" si="281"/>
        <v>lin. 1, lin.2, lin.8, lin.9, lin.10, lin. 11 - lin. 15</v>
      </c>
      <c r="W162" s="440" t="str">
        <f t="shared" si="281"/>
        <v>lin. 1, lin.2, lin.8, lin.9, lin.10, lin. 11 - lin. 15</v>
      </c>
      <c r="X162" s="440" t="str">
        <f t="shared" si="281"/>
        <v>lin. 1, lin.2, lin.8, lin.9, lin.10, lin. 11 - lin. 15</v>
      </c>
      <c r="Y162" s="440" t="str">
        <f t="shared" si="281"/>
        <v>lin. 1, lin.2, lin.8, lin.9, lin.10, lin. 11 - lin. 15</v>
      </c>
      <c r="Z162" s="440" t="str">
        <f t="shared" si="281"/>
        <v>lin. 1, lin.2, lin.8, lin.9, lin.10, lin. 11 - lin. 15</v>
      </c>
      <c r="AA162" s="440" t="str">
        <f t="shared" si="281"/>
        <v>lin. 1, lin.2, lin.8, lin.9, lin.10, lin. 11 - lin. 15</v>
      </c>
      <c r="AB162" s="440" t="str">
        <f t="shared" si="281"/>
        <v>lin. 1, lin.2, lin.8, lin.9, lin.10, lin. 11 - lin. 15</v>
      </c>
      <c r="AC162" s="440" t="str">
        <f t="shared" si="281"/>
        <v>lin. 1, lin.2, lin.8, lin.9, lin.10, lin. 11 - lin. 15</v>
      </c>
      <c r="AD162" s="440" t="str">
        <f t="shared" si="281"/>
        <v>lin. 1, lin.2, lin.8, lin.9, lin.10, lin. 11 - lin. 15</v>
      </c>
      <c r="AE162" s="440" t="str">
        <f t="shared" si="281"/>
        <v>lin. 1, lin.2, lin.8, lin.9, lin.10, lin. 11 - lin. 15</v>
      </c>
      <c r="AF162" s="436"/>
      <c r="AG162" s="436"/>
    </row>
    <row r="163" spans="1:33" s="3" customFormat="1">
      <c r="A163" s="436" t="s">
        <v>414</v>
      </c>
      <c r="B163" s="439"/>
      <c r="C163" s="439"/>
      <c r="D163" s="439"/>
      <c r="E163" s="439"/>
      <c r="F163" s="436"/>
      <c r="G163" s="441">
        <f t="shared" ref="G163:R163" si="282">ROUND(G129/160.33,2)</f>
        <v>0</v>
      </c>
      <c r="H163" s="441">
        <f t="shared" si="282"/>
        <v>0</v>
      </c>
      <c r="I163" s="441">
        <f t="shared" si="282"/>
        <v>0</v>
      </c>
      <c r="J163" s="441">
        <f t="shared" si="282"/>
        <v>0</v>
      </c>
      <c r="K163" s="441">
        <f t="shared" si="282"/>
        <v>0</v>
      </c>
      <c r="L163" s="441">
        <f t="shared" si="282"/>
        <v>0</v>
      </c>
      <c r="M163" s="441">
        <f t="shared" si="282"/>
        <v>0</v>
      </c>
      <c r="N163" s="441">
        <f t="shared" si="282"/>
        <v>0</v>
      </c>
      <c r="O163" s="441">
        <f t="shared" si="282"/>
        <v>0</v>
      </c>
      <c r="P163" s="441">
        <f t="shared" si="282"/>
        <v>0</v>
      </c>
      <c r="Q163" s="441">
        <f t="shared" si="282"/>
        <v>0</v>
      </c>
      <c r="R163" s="441">
        <f t="shared" si="282"/>
        <v>0</v>
      </c>
      <c r="S163" s="441"/>
      <c r="T163" s="936">
        <f t="shared" ref="T163:AE163" si="283">ROUND(T129/160.33,2)</f>
        <v>0</v>
      </c>
      <c r="U163" s="441">
        <f t="shared" si="283"/>
        <v>0</v>
      </c>
      <c r="V163" s="441">
        <f t="shared" si="283"/>
        <v>0</v>
      </c>
      <c r="W163" s="441">
        <f t="shared" si="283"/>
        <v>0</v>
      </c>
      <c r="X163" s="441">
        <f t="shared" si="283"/>
        <v>0</v>
      </c>
      <c r="Y163" s="441">
        <f t="shared" si="283"/>
        <v>0</v>
      </c>
      <c r="Z163" s="441">
        <f t="shared" si="283"/>
        <v>0</v>
      </c>
      <c r="AA163" s="441">
        <f t="shared" si="283"/>
        <v>0</v>
      </c>
      <c r="AB163" s="441">
        <f t="shared" si="283"/>
        <v>0</v>
      </c>
      <c r="AC163" s="441">
        <f t="shared" si="283"/>
        <v>0</v>
      </c>
      <c r="AD163" s="441">
        <f t="shared" si="283"/>
        <v>0</v>
      </c>
      <c r="AE163" s="441">
        <f t="shared" si="283"/>
        <v>0</v>
      </c>
      <c r="AF163" s="436"/>
      <c r="AG163" s="436"/>
    </row>
    <row r="164" spans="1:33" s="3" customFormat="1">
      <c r="A164" s="436" t="s">
        <v>415</v>
      </c>
      <c r="B164" s="439"/>
      <c r="C164" s="439"/>
      <c r="D164" s="439"/>
      <c r="E164" s="439"/>
      <c r="F164" s="436"/>
      <c r="G164" s="441">
        <f t="shared" ref="G164:R164" si="284">ROUND(G130/160.33,2)</f>
        <v>0</v>
      </c>
      <c r="H164" s="441">
        <f t="shared" si="284"/>
        <v>0</v>
      </c>
      <c r="I164" s="441">
        <f t="shared" si="284"/>
        <v>0</v>
      </c>
      <c r="J164" s="441">
        <f t="shared" si="284"/>
        <v>0</v>
      </c>
      <c r="K164" s="441">
        <f t="shared" si="284"/>
        <v>0</v>
      </c>
      <c r="L164" s="441">
        <f t="shared" si="284"/>
        <v>0</v>
      </c>
      <c r="M164" s="441">
        <f t="shared" si="284"/>
        <v>0</v>
      </c>
      <c r="N164" s="441">
        <f t="shared" si="284"/>
        <v>0</v>
      </c>
      <c r="O164" s="441">
        <f t="shared" si="284"/>
        <v>0</v>
      </c>
      <c r="P164" s="441">
        <f t="shared" si="284"/>
        <v>0</v>
      </c>
      <c r="Q164" s="441">
        <f t="shared" si="284"/>
        <v>0</v>
      </c>
      <c r="R164" s="441">
        <f t="shared" si="284"/>
        <v>0</v>
      </c>
      <c r="S164" s="441"/>
      <c r="T164" s="936">
        <f t="shared" ref="T164:AE164" si="285">ROUND(T130/160.33,2)</f>
        <v>0</v>
      </c>
      <c r="U164" s="441">
        <f t="shared" si="285"/>
        <v>0</v>
      </c>
      <c r="V164" s="441">
        <f t="shared" si="285"/>
        <v>0</v>
      </c>
      <c r="W164" s="441">
        <f t="shared" si="285"/>
        <v>0</v>
      </c>
      <c r="X164" s="441">
        <f t="shared" si="285"/>
        <v>0</v>
      </c>
      <c r="Y164" s="441">
        <f t="shared" si="285"/>
        <v>0</v>
      </c>
      <c r="Z164" s="441">
        <f t="shared" si="285"/>
        <v>0</v>
      </c>
      <c r="AA164" s="441">
        <f t="shared" si="285"/>
        <v>0</v>
      </c>
      <c r="AB164" s="441">
        <f t="shared" si="285"/>
        <v>0</v>
      </c>
      <c r="AC164" s="441">
        <f t="shared" si="285"/>
        <v>0</v>
      </c>
      <c r="AD164" s="441">
        <f t="shared" si="285"/>
        <v>0</v>
      </c>
      <c r="AE164" s="441">
        <f t="shared" si="285"/>
        <v>0</v>
      </c>
      <c r="AF164" s="436"/>
      <c r="AG164" s="436"/>
    </row>
    <row r="165" spans="1:33" s="3" customFormat="1">
      <c r="A165" s="436" t="s">
        <v>488</v>
      </c>
      <c r="B165" s="439"/>
      <c r="C165" s="439"/>
      <c r="D165" s="439"/>
      <c r="E165" s="439"/>
      <c r="F165" s="436"/>
      <c r="G165" s="440" t="str">
        <f t="shared" ref="G165:AE165" si="286">"= ("&amp;TEXT(16.38*G$6,"#0,00")&amp;" * "&amp;MIN(650,G$12)&amp;" + "&amp;TEXT(98.3*G$6,"#0,00")&amp;" * "&amp;MAX(0,MIN(50,G$12-650))&amp;" + "&amp;TEXT(131.07*G$6,"#0,00")&amp;" * "&amp;MAX(0,MIN(50,G$12-700))&amp;" + "&amp;TEXT(163.83*G$6,"#0,00")&amp;" * "&amp;MAX(0,G$12-750)&amp;") / 12 * "&amp;TEXT(G$3,"#0/#0")&amp;" ="</f>
        <v>= (20,20 * 650 + 121,21 * 0 + 161,62 * 0 + 202,02 * 0) / 12 * 1/1 =</v>
      </c>
      <c r="H165" s="440" t="str">
        <f t="shared" si="286"/>
        <v>= (20,20 * 0 + 121,21 * 0 + 161,62 * 0 + 202,02 * 0) / 12 * 1/1 =</v>
      </c>
      <c r="I165" s="440" t="str">
        <f t="shared" si="286"/>
        <v>= (20,20 * 0 + 121,21 * 0 + 161,62 * 0 + 202,02 * 0) / 12 * 1/1 =</v>
      </c>
      <c r="J165" s="440" t="str">
        <f t="shared" si="286"/>
        <v>= (0,00 * 0 + 0,00 * 0 + 0,00 * 0 + 0,00 * 0) / 12 * 1/1 =</v>
      </c>
      <c r="K165" s="440" t="str">
        <f t="shared" si="286"/>
        <v>= (0,00 * 0 + 0,00 * 0 + 0,00 * 0 + 0,00 * 0) / 12 * 1/1 =</v>
      </c>
      <c r="L165" s="440" t="str">
        <f t="shared" si="286"/>
        <v>= (0,00 * 0 + 0,00 * 0 + 0,00 * 0 + 0,00 * 0) / 12 * 1/1 =</v>
      </c>
      <c r="M165" s="440" t="str">
        <f t="shared" si="286"/>
        <v>= (0,00 * 0 + 0,00 * 0 + 0,00 * 0 + 0,00 * 0) / 12 * 1/1 =</v>
      </c>
      <c r="N165" s="440" t="str">
        <f t="shared" si="286"/>
        <v>= (0,00 * 0 + 0,00 * 0 + 0,00 * 0 + 0,00 * 0) / 12 * 1/1 =</v>
      </c>
      <c r="O165" s="440" t="str">
        <f t="shared" si="286"/>
        <v>= (0,00 * 0 + 0,00 * 0 + 0,00 * 0 + 0,00 * 0) / 12 * 1/1 =</v>
      </c>
      <c r="P165" s="440" t="str">
        <f t="shared" si="286"/>
        <v>= (0,00 * 0 + 0,00 * 0 + 0,00 * 0 + 0,00 * 0) / 12 * 1/1 =</v>
      </c>
      <c r="Q165" s="440" t="str">
        <f t="shared" si="286"/>
        <v>= (0,00 * 0 + 0,00 * 0 + 0,00 * 0 + 0,00 * 0) / 12 * 1/1 =</v>
      </c>
      <c r="R165" s="440" t="str">
        <f t="shared" si="286"/>
        <v>= (0,00 * 0 + 0,00 * 0 + 0,00 * 0 + 0,00 * 0) / 12 * 1/1 =</v>
      </c>
      <c r="S165" s="440"/>
      <c r="T165" s="935" t="str">
        <f t="shared" si="286"/>
        <v>= (20,20 * 0 + 121,21 * 0 + 161,62 * 0 + 202,02 * 0) / 12 * 1/1 =</v>
      </c>
      <c r="U165" s="440" t="str">
        <f t="shared" si="286"/>
        <v>= (20,20 * 0 + 121,21 * 0 + 161,62 * 0 + 202,02 * 0) / 12 * 1/1 =</v>
      </c>
      <c r="V165" s="440" t="str">
        <f t="shared" si="286"/>
        <v>= (20,20 * 0 + 121,21 * 0 + 161,62 * 0 + 202,02 * 0) / 12 * 1/1 =</v>
      </c>
      <c r="W165" s="440" t="str">
        <f t="shared" si="286"/>
        <v>= (0,00 * 0 + 0,00 * 0 + 0,00 * 0 + 0,00 * 0) / 12 * 1/1 =</v>
      </c>
      <c r="X165" s="440" t="str">
        <f t="shared" si="286"/>
        <v>= (0,00 * 0 + 0,00 * 0 + 0,00 * 0 + 0,00 * 0) / 12 * 1/1 =</v>
      </c>
      <c r="Y165" s="440" t="str">
        <f t="shared" si="286"/>
        <v>= (0,00 * 0 + 0,00 * 0 + 0,00 * 0 + 0,00 * 0) / 12 * 1/1 =</v>
      </c>
      <c r="Z165" s="440" t="str">
        <f t="shared" si="286"/>
        <v>= (0,00 * 0 + 0,00 * 0 + 0,00 * 0 + 0,00 * 0) / 12 * 1/1 =</v>
      </c>
      <c r="AA165" s="440" t="str">
        <f t="shared" si="286"/>
        <v>= (0,00 * 0 + 0,00 * 0 + 0,00 * 0 + 0,00 * 0) / 12 * 1/1 =</v>
      </c>
      <c r="AB165" s="440" t="str">
        <f t="shared" si="286"/>
        <v>= (0,00 * 0 + 0,00 * 0 + 0,00 * 0 + 0,00 * 0) / 12 * 1/1 =</v>
      </c>
      <c r="AC165" s="440" t="str">
        <f t="shared" si="286"/>
        <v>= (0,00 * 0 + 0,00 * 0 + 0,00 * 0 + 0,00 * 0) / 12 * 1/1 =</v>
      </c>
      <c r="AD165" s="440" t="str">
        <f t="shared" si="286"/>
        <v>= (0,00 * 0 + 0,00 * 0 + 0,00 * 0 + 0,00 * 0) / 12 * 1/1 =</v>
      </c>
      <c r="AE165" s="440" t="str">
        <f t="shared" si="286"/>
        <v>= (0,00 * 0 + 0,00 * 0 + 0,00 * 0 + 0,00 * 0) / 12 * 1/1 =</v>
      </c>
      <c r="AF165" s="436"/>
      <c r="AG165" s="436"/>
    </row>
    <row r="166" spans="1:33" s="3" customFormat="1">
      <c r="A166" s="436" t="s">
        <v>489</v>
      </c>
      <c r="B166" s="439"/>
      <c r="C166" s="439"/>
      <c r="D166" s="439"/>
      <c r="E166" s="439"/>
      <c r="F166" s="436"/>
      <c r="G166" s="440" t="str">
        <f t="shared" ref="G166:AE166" si="287">"= ("&amp;TEXT(22.41*G$6,"#0,00")&amp;" * "&amp;MIN(750,G$12)&amp;" + "&amp;TEXT(55.63*G$6,"#0,00")&amp;" * "&amp;MAX(0,MIN(50,G$12-750))&amp;" + "&amp;TEXT(131.07*G$6,"#0,00")&amp;" * "&amp;MAX(0,MIN(50,G$12-800))&amp;" + "&amp;TEXT(163.83*G$6,"#0,00")&amp;" * "&amp;MAX(0,G$12-835)&amp;") / 12 * "&amp;TEXT(G$3,"#0/#0")&amp;" ="</f>
        <v>= (27,63 * 750 + 68,60 * 0 + 161,62 * 0 + 202,02 * 0) / 12 * 1/1 =</v>
      </c>
      <c r="H166" s="440" t="str">
        <f t="shared" si="287"/>
        <v>= (27,63 * 0 + 68,60 * 0 + 161,62 * 0 + 202,02 * 0) / 12 * 1/1 =</v>
      </c>
      <c r="I166" s="440" t="str">
        <f t="shared" si="287"/>
        <v>= (27,63 * 0 + 68,60 * 0 + 161,62 * 0 + 202,02 * 0) / 12 * 1/1 =</v>
      </c>
      <c r="J166" s="440" t="str">
        <f t="shared" si="287"/>
        <v>= (0,00 * 0 + 0,00 * 0 + 0,00 * 0 + 0,00 * 0) / 12 * 1/1 =</v>
      </c>
      <c r="K166" s="440" t="str">
        <f t="shared" si="287"/>
        <v>= (0,00 * 0 + 0,00 * 0 + 0,00 * 0 + 0,00 * 0) / 12 * 1/1 =</v>
      </c>
      <c r="L166" s="440" t="str">
        <f t="shared" si="287"/>
        <v>= (0,00 * 0 + 0,00 * 0 + 0,00 * 0 + 0,00 * 0) / 12 * 1/1 =</v>
      </c>
      <c r="M166" s="440" t="str">
        <f t="shared" si="287"/>
        <v>= (0,00 * 0 + 0,00 * 0 + 0,00 * 0 + 0,00 * 0) / 12 * 1/1 =</v>
      </c>
      <c r="N166" s="440" t="str">
        <f t="shared" si="287"/>
        <v>= (0,00 * 0 + 0,00 * 0 + 0,00 * 0 + 0,00 * 0) / 12 * 1/1 =</v>
      </c>
      <c r="O166" s="440" t="str">
        <f t="shared" si="287"/>
        <v>= (0,00 * 0 + 0,00 * 0 + 0,00 * 0 + 0,00 * 0) / 12 * 1/1 =</v>
      </c>
      <c r="P166" s="440" t="str">
        <f t="shared" si="287"/>
        <v>= (0,00 * 0 + 0,00 * 0 + 0,00 * 0 + 0,00 * 0) / 12 * 1/1 =</v>
      </c>
      <c r="Q166" s="440" t="str">
        <f t="shared" si="287"/>
        <v>= (0,00 * 0 + 0,00 * 0 + 0,00 * 0 + 0,00 * 0) / 12 * 1/1 =</v>
      </c>
      <c r="R166" s="440" t="str">
        <f t="shared" si="287"/>
        <v>= (0,00 * 0 + 0,00 * 0 + 0,00 * 0 + 0,00 * 0) / 12 * 1/1 =</v>
      </c>
      <c r="S166" s="440"/>
      <c r="T166" s="935" t="str">
        <f t="shared" si="287"/>
        <v>= (27,63 * 0 + 68,60 * 0 + 161,62 * 0 + 202,02 * 0) / 12 * 1/1 =</v>
      </c>
      <c r="U166" s="440" t="str">
        <f t="shared" si="287"/>
        <v>= (27,63 * 0 + 68,60 * 0 + 161,62 * 0 + 202,02 * 0) / 12 * 1/1 =</v>
      </c>
      <c r="V166" s="440" t="str">
        <f t="shared" si="287"/>
        <v>= (27,63 * 0 + 68,60 * 0 + 161,62 * 0 + 202,02 * 0) / 12 * 1/1 =</v>
      </c>
      <c r="W166" s="440" t="str">
        <f t="shared" si="287"/>
        <v>= (0,00 * 0 + 0,00 * 0 + 0,00 * 0 + 0,00 * 0) / 12 * 1/1 =</v>
      </c>
      <c r="X166" s="440" t="str">
        <f t="shared" si="287"/>
        <v>= (0,00 * 0 + 0,00 * 0 + 0,00 * 0 + 0,00 * 0) / 12 * 1/1 =</v>
      </c>
      <c r="Y166" s="440" t="str">
        <f t="shared" si="287"/>
        <v>= (0,00 * 0 + 0,00 * 0 + 0,00 * 0 + 0,00 * 0) / 12 * 1/1 =</v>
      </c>
      <c r="Z166" s="440" t="str">
        <f t="shared" si="287"/>
        <v>= (0,00 * 0 + 0,00 * 0 + 0,00 * 0 + 0,00 * 0) / 12 * 1/1 =</v>
      </c>
      <c r="AA166" s="440" t="str">
        <f t="shared" si="287"/>
        <v>= (0,00 * 0 + 0,00 * 0 + 0,00 * 0 + 0,00 * 0) / 12 * 1/1 =</v>
      </c>
      <c r="AB166" s="440" t="str">
        <f t="shared" si="287"/>
        <v>= (0,00 * 0 + 0,00 * 0 + 0,00 * 0 + 0,00 * 0) / 12 * 1/1 =</v>
      </c>
      <c r="AC166" s="440" t="str">
        <f t="shared" si="287"/>
        <v>= (0,00 * 0 + 0,00 * 0 + 0,00 * 0 + 0,00 * 0) / 12 * 1/1 =</v>
      </c>
      <c r="AD166" s="440" t="str">
        <f t="shared" si="287"/>
        <v>= (0,00 * 0 + 0,00 * 0 + 0,00 * 0 + 0,00 * 0) / 12 * 1/1 =</v>
      </c>
      <c r="AE166" s="440" t="str">
        <f t="shared" si="287"/>
        <v>= (0,00 * 0 + 0,00 * 0 + 0,00 * 0 + 0,00 * 0) / 12 * 1/1 =</v>
      </c>
      <c r="AF166" s="436"/>
      <c r="AG166" s="436"/>
    </row>
    <row r="167" spans="1:33" s="3" customFormat="1">
      <c r="A167" s="436"/>
      <c r="B167" s="342">
        <v>1</v>
      </c>
      <c r="C167" s="439"/>
      <c r="D167" s="439">
        <v>50</v>
      </c>
      <c r="E167" s="439"/>
      <c r="F167" s="442" t="s">
        <v>85</v>
      </c>
      <c r="G167" s="440" t="str">
        <f t="shared" ref="G167:T167" si="288">"= "&amp;TEXT(VLOOKUP(G$4,basistabel12,2,0)*G$6/12,"#.000,00")&amp;" * "&amp;TEXT(G$10,"0,0000")&amp;" * "&amp;TEXT(G$3,"#0/#0")&amp;" ="</f>
        <v>= 28.740,88 * 0,0000 * 1/1 =</v>
      </c>
      <c r="H167" s="440" t="str">
        <f t="shared" si="288"/>
        <v>= 28.740,88 * 0,0000 * 1/1 =</v>
      </c>
      <c r="I167" s="440" t="str">
        <f t="shared" si="288"/>
        <v>= 28.740,88 * 0,0000 * 1/1 =</v>
      </c>
      <c r="J167" s="440" t="str">
        <f t="shared" si="288"/>
        <v>= 000,00 * 0,0000 * 1/1 =</v>
      </c>
      <c r="K167" s="440" t="str">
        <f t="shared" si="288"/>
        <v>= 000,00 * 0,0000 * 1/1 =</v>
      </c>
      <c r="L167" s="440" t="str">
        <f t="shared" si="288"/>
        <v>= 000,00 * 0,0000 * 1/1 =</v>
      </c>
      <c r="M167" s="440" t="str">
        <f t="shared" si="288"/>
        <v>= 000,00 * 0,0000 * 1/1 =</v>
      </c>
      <c r="N167" s="440" t="str">
        <f t="shared" si="288"/>
        <v>= 000,00 * 0,0000 * 1/1 =</v>
      </c>
      <c r="O167" s="440" t="str">
        <f t="shared" si="288"/>
        <v>= 000,00 * 0,0000 * 1/1 =</v>
      </c>
      <c r="P167" s="440" t="str">
        <f t="shared" si="288"/>
        <v>= 000,00 * 0,0000 * 1/1 =</v>
      </c>
      <c r="Q167" s="440" t="str">
        <f t="shared" si="288"/>
        <v>= 000,00 * 0,0000 * 1/1 =</v>
      </c>
      <c r="R167" s="440" t="str">
        <f t="shared" si="288"/>
        <v>= 000,00 * 0,0000 * 1/1 =</v>
      </c>
      <c r="S167" s="440" t="e">
        <f t="shared" si="288"/>
        <v>#N/A</v>
      </c>
      <c r="T167" s="935" t="str">
        <f t="shared" si="288"/>
        <v>= 28.740,88 * 0,0000 * 1/1 =</v>
      </c>
      <c r="U167" s="440" t="str">
        <f t="shared" ref="U167:AE167" si="289">"= "&amp;TEXT(VLOOKUP(U4,basistabel12,2,0)*U6/12,"#.000,00")&amp;" * "&amp;TEXT(U10,"0,0000")&amp;" * "&amp;TEXT(U3,"#0/#0")&amp;" ="</f>
        <v>= 28.740,88 * 0,0000 * 1/1 =</v>
      </c>
      <c r="V167" s="440" t="str">
        <f t="shared" si="289"/>
        <v>= 28.740,88 * 0,0000 * 1/1 =</v>
      </c>
      <c r="W167" s="440" t="str">
        <f t="shared" si="289"/>
        <v>= 000,00 * 0,0000 * 1/1 =</v>
      </c>
      <c r="X167" s="440" t="str">
        <f t="shared" si="289"/>
        <v>= 000,00 * 0,0000 * 1/1 =</v>
      </c>
      <c r="Y167" s="440" t="str">
        <f t="shared" si="289"/>
        <v>= 000,00 * 0,0000 * 1/1 =</v>
      </c>
      <c r="Z167" s="440" t="str">
        <f t="shared" si="289"/>
        <v>= 000,00 * 0,0000 * 1/1 =</v>
      </c>
      <c r="AA167" s="440" t="str">
        <f t="shared" si="289"/>
        <v>= 000,00 * 0,0000 * 1/1 =</v>
      </c>
      <c r="AB167" s="440" t="str">
        <f t="shared" si="289"/>
        <v>= 000,00 * 0,0000 * 1/1 =</v>
      </c>
      <c r="AC167" s="440" t="str">
        <f t="shared" si="289"/>
        <v>= 000,00 * 0,0000 * 1/1 =</v>
      </c>
      <c r="AD167" s="440" t="str">
        <f t="shared" si="289"/>
        <v>= 000,00 * 0,0000 * 1/1 =</v>
      </c>
      <c r="AE167" s="440" t="str">
        <f t="shared" si="289"/>
        <v>= 000,00 * 0,0000 * 1/1 =</v>
      </c>
      <c r="AF167" s="436"/>
      <c r="AG167" s="436"/>
    </row>
    <row r="168" spans="1:33" s="3" customFormat="1">
      <c r="A168" s="436"/>
      <c r="B168" s="341">
        <f>B167+1</f>
        <v>2</v>
      </c>
      <c r="C168" s="439"/>
      <c r="D168" s="439">
        <f t="shared" ref="D168:D191" si="290">B54</f>
        <v>51</v>
      </c>
      <c r="E168" s="439"/>
      <c r="F168" s="443" t="s">
        <v>86</v>
      </c>
      <c r="G168" s="440" t="e" vm="1">
        <f t="shared" ref="G168:AE168" si="291">"= "&amp;TEXT(VLOOKUP(G$4,omraadetabel12,G$7,0)/12,"#.000,00")&amp;" * "&amp;TEXT(G$10,"0,0000")&amp;" * "&amp;TEXT(G$3,"#0/#0")&amp;" ="</f>
        <v>#VALUE!</v>
      </c>
      <c r="H168" s="440" t="e" vm="1">
        <f t="shared" si="291"/>
        <v>#VALUE!</v>
      </c>
      <c r="I168" s="440" t="e" vm="1">
        <f t="shared" si="291"/>
        <v>#VALUE!</v>
      </c>
      <c r="J168" s="440" t="e" vm="1">
        <f t="shared" si="291"/>
        <v>#VALUE!</v>
      </c>
      <c r="K168" s="440" t="e" vm="1">
        <f t="shared" si="291"/>
        <v>#VALUE!</v>
      </c>
      <c r="L168" s="440" t="e" vm="1">
        <f t="shared" si="291"/>
        <v>#VALUE!</v>
      </c>
      <c r="M168" s="440" t="e" vm="1">
        <f t="shared" si="291"/>
        <v>#VALUE!</v>
      </c>
      <c r="N168" s="440" t="e" vm="1">
        <f t="shared" si="291"/>
        <v>#VALUE!</v>
      </c>
      <c r="O168" s="440" t="e" vm="1">
        <f t="shared" si="291"/>
        <v>#VALUE!</v>
      </c>
      <c r="P168" s="440" t="e" vm="1">
        <f t="shared" si="291"/>
        <v>#VALUE!</v>
      </c>
      <c r="Q168" s="440" t="e" vm="1">
        <f t="shared" si="291"/>
        <v>#VALUE!</v>
      </c>
      <c r="R168" s="440" t="e" vm="1">
        <f t="shared" si="291"/>
        <v>#VALUE!</v>
      </c>
      <c r="S168" s="440" t="e">
        <f t="shared" si="291"/>
        <v>#N/A</v>
      </c>
      <c r="T168" s="935" t="e" vm="1">
        <f t="shared" si="291"/>
        <v>#VALUE!</v>
      </c>
      <c r="U168" s="440" t="e" vm="1">
        <f t="shared" si="291"/>
        <v>#VALUE!</v>
      </c>
      <c r="V168" s="440" t="e" vm="1">
        <f t="shared" si="291"/>
        <v>#VALUE!</v>
      </c>
      <c r="W168" s="440" t="e" vm="1">
        <f t="shared" si="291"/>
        <v>#VALUE!</v>
      </c>
      <c r="X168" s="440" t="e" vm="1">
        <f t="shared" si="291"/>
        <v>#VALUE!</v>
      </c>
      <c r="Y168" s="440" t="e" vm="1">
        <f t="shared" si="291"/>
        <v>#VALUE!</v>
      </c>
      <c r="Z168" s="440" t="e" vm="1">
        <f t="shared" si="291"/>
        <v>#VALUE!</v>
      </c>
      <c r="AA168" s="440" t="e" vm="1">
        <f t="shared" si="291"/>
        <v>#VALUE!</v>
      </c>
      <c r="AB168" s="440" t="e" vm="1">
        <f t="shared" si="291"/>
        <v>#VALUE!</v>
      </c>
      <c r="AC168" s="440" t="e" vm="1">
        <f t="shared" si="291"/>
        <v>#VALUE!</v>
      </c>
      <c r="AD168" s="440" t="e" vm="1">
        <f t="shared" si="291"/>
        <v>#VALUE!</v>
      </c>
      <c r="AE168" s="440" t="e" vm="1">
        <f t="shared" si="291"/>
        <v>#VALUE!</v>
      </c>
      <c r="AF168" s="436"/>
      <c r="AG168" s="436"/>
    </row>
    <row r="169" spans="1:33" s="3" customFormat="1">
      <c r="A169" s="436"/>
      <c r="B169" s="342">
        <f t="shared" ref="B169:B186" si="292">B168+1</f>
        <v>3</v>
      </c>
      <c r="C169" s="439"/>
      <c r="D169" s="439">
        <f t="shared" si="290"/>
        <v>52</v>
      </c>
      <c r="E169" s="439"/>
      <c r="F169" s="443" t="s">
        <v>170</v>
      </c>
      <c r="G169" s="440" t="str">
        <f t="shared" ref="G169:AE169" si="293">IF(LEFT(G4)="L",G165,G166)</f>
        <v>= (20,20 * 650 + 121,21 * 0 + 161,62 * 0 + 202,02 * 0) / 12 * 1/1 =</v>
      </c>
      <c r="H169" s="440" t="str">
        <f t="shared" ref="H169:P169" si="294">IF(LEFT(H4)="L",H165,H166)</f>
        <v>= (20,20 * 0 + 121,21 * 0 + 161,62 * 0 + 202,02 * 0) / 12 * 1/1 =</v>
      </c>
      <c r="I169" s="440" t="str">
        <f t="shared" si="294"/>
        <v>= (20,20 * 0 + 121,21 * 0 + 161,62 * 0 + 202,02 * 0) / 12 * 1/1 =</v>
      </c>
      <c r="J169" s="440" t="str">
        <f t="shared" si="294"/>
        <v>= (0,00 * 0 + 0,00 * 0 + 0,00 * 0 + 0,00 * 0) / 12 * 1/1 =</v>
      </c>
      <c r="K169" s="440" t="str">
        <f t="shared" si="294"/>
        <v>= (0,00 * 0 + 0,00 * 0 + 0,00 * 0 + 0,00 * 0) / 12 * 1/1 =</v>
      </c>
      <c r="L169" s="440" t="str">
        <f t="shared" si="294"/>
        <v>= (0,00 * 0 + 0,00 * 0 + 0,00 * 0 + 0,00 * 0) / 12 * 1/1 =</v>
      </c>
      <c r="M169" s="440" t="str">
        <f t="shared" si="294"/>
        <v>= (0,00 * 0 + 0,00 * 0 + 0,00 * 0 + 0,00 * 0) / 12 * 1/1 =</v>
      </c>
      <c r="N169" s="440" t="str">
        <f t="shared" si="294"/>
        <v>= (0,00 * 0 + 0,00 * 0 + 0,00 * 0 + 0,00 * 0) / 12 * 1/1 =</v>
      </c>
      <c r="O169" s="440" t="str">
        <f t="shared" si="294"/>
        <v>= (0,00 * 0 + 0,00 * 0 + 0,00 * 0 + 0,00 * 0) / 12 * 1/1 =</v>
      </c>
      <c r="P169" s="440" t="str">
        <f t="shared" si="294"/>
        <v>= (0,00 * 0 + 0,00 * 0 + 0,00 * 0 + 0,00 * 0) / 12 * 1/1 =</v>
      </c>
      <c r="Q169" s="440" t="str">
        <f t="shared" ref="Q169:S169" si="295">IF(LEFT(Q4)="L",Q165,Q166)</f>
        <v>= (0,00 * 0 + 0,00 * 0 + 0,00 * 0 + 0,00 * 0) / 12 * 1/1 =</v>
      </c>
      <c r="R169" s="440" t="str">
        <f t="shared" si="295"/>
        <v>= (0,00 * 0 + 0,00 * 0 + 0,00 * 0 + 0,00 * 0) / 12 * 1/1 =</v>
      </c>
      <c r="S169" s="440">
        <f t="shared" si="295"/>
        <v>0</v>
      </c>
      <c r="T169" s="935" t="str">
        <f t="shared" si="293"/>
        <v>= (20,20 * 0 + 121,21 * 0 + 161,62 * 0 + 202,02 * 0) / 12 * 1/1 =</v>
      </c>
      <c r="U169" s="440" t="str">
        <f t="shared" si="293"/>
        <v>= (20,20 * 0 + 121,21 * 0 + 161,62 * 0 + 202,02 * 0) / 12 * 1/1 =</v>
      </c>
      <c r="V169" s="440" t="str">
        <f t="shared" si="293"/>
        <v>= (20,20 * 0 + 121,21 * 0 + 161,62 * 0 + 202,02 * 0) / 12 * 1/1 =</v>
      </c>
      <c r="W169" s="440" t="str">
        <f t="shared" si="293"/>
        <v>= (0,00 * 0 + 0,00 * 0 + 0,00 * 0 + 0,00 * 0) / 12 * 1/1 =</v>
      </c>
      <c r="X169" s="440" t="str">
        <f t="shared" si="293"/>
        <v>= (0,00 * 0 + 0,00 * 0 + 0,00 * 0 + 0,00 * 0) / 12 * 1/1 =</v>
      </c>
      <c r="Y169" s="440" t="str">
        <f t="shared" si="293"/>
        <v>= (0,00 * 0 + 0,00 * 0 + 0,00 * 0 + 0,00 * 0) / 12 * 1/1 =</v>
      </c>
      <c r="Z169" s="440" t="str">
        <f t="shared" si="293"/>
        <v>= (0,00 * 0 + 0,00 * 0 + 0,00 * 0 + 0,00 * 0) / 12 * 1/1 =</v>
      </c>
      <c r="AA169" s="440" t="str">
        <f t="shared" si="293"/>
        <v>= (0,00 * 0 + 0,00 * 0 + 0,00 * 0 + 0,00 * 0) / 12 * 1/1 =</v>
      </c>
      <c r="AB169" s="440" t="str">
        <f t="shared" si="293"/>
        <v>= (0,00 * 0 + 0,00 * 0 + 0,00 * 0 + 0,00 * 0) / 12 * 1/1 =</v>
      </c>
      <c r="AC169" s="440" t="str">
        <f t="shared" si="293"/>
        <v>= (0,00 * 0 + 0,00 * 0 + 0,00 * 0 + 0,00 * 0) / 12 * 1/1 =</v>
      </c>
      <c r="AD169" s="440" t="str">
        <f t="shared" si="293"/>
        <v>= (0,00 * 0 + 0,00 * 0 + 0,00 * 0 + 0,00 * 0) / 12 * 1/1 =</v>
      </c>
      <c r="AE169" s="440" t="str">
        <f t="shared" si="293"/>
        <v>= (0,00 * 0 + 0,00 * 0 + 0,00 * 0 + 0,00 * 0) / 12 * 1/1 =</v>
      </c>
      <c r="AF169" s="436"/>
      <c r="AG169" s="436"/>
    </row>
    <row r="170" spans="1:33" s="3" customFormat="1">
      <c r="A170" s="436"/>
      <c r="B170" s="341">
        <f t="shared" si="292"/>
        <v>4</v>
      </c>
      <c r="C170" s="439"/>
      <c r="D170" s="439">
        <f t="shared" si="290"/>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292"/>
        <v>5</v>
      </c>
      <c r="C171" s="439"/>
      <c r="D171" s="439">
        <f t="shared" si="290"/>
        <v>54</v>
      </c>
      <c r="E171" s="439"/>
      <c r="F171" s="443" t="s">
        <v>172</v>
      </c>
      <c r="G171" s="440" t="str">
        <f t="shared" ref="G171:AE171" si="296">"= "&amp;TEXT(G14,"#.###,00")&amp;" * "&amp;G$6&amp;IF($D57&gt;0," * "&amp;TEXT(G$10,"0,0000"),"")&amp;" * "&amp;TEXT(G$3,"#0/#0")&amp;" / 12 ="</f>
        <v>= ,00 * 1,233095 * 1/1 / 12 =</v>
      </c>
      <c r="H171" s="440" t="str">
        <f t="shared" ref="H171:P171" si="297">"= "&amp;TEXT(H14,"#.###,00")&amp;" * "&amp;H$6&amp;IF($D57&gt;0," * "&amp;TEXT(H$10,"0,0000"),"")&amp;" * "&amp;TEXT(H$3,"#0/#0")&amp;" / 12 ="</f>
        <v>= ,00 * 1,233095 * 1/1 / 12 =</v>
      </c>
      <c r="I171" s="440" t="str">
        <f t="shared" si="297"/>
        <v>= ,00 * 1,233095 * 1/1 / 12 =</v>
      </c>
      <c r="J171" s="440" t="str">
        <f t="shared" si="297"/>
        <v>= ,00 *  * 1/1 / 12 =</v>
      </c>
      <c r="K171" s="440" t="str">
        <f t="shared" si="297"/>
        <v>= ,00 * 0 * 1/1 / 12 =</v>
      </c>
      <c r="L171" s="440" t="str">
        <f t="shared" si="297"/>
        <v>= ,00 * 0 * 1/1 / 12 =</v>
      </c>
      <c r="M171" s="440" t="str">
        <f t="shared" si="297"/>
        <v>= ,00 * 0 * 1/1 / 12 =</v>
      </c>
      <c r="N171" s="440" t="str">
        <f t="shared" si="297"/>
        <v>= ,00 * 0 * 1/1 / 12 =</v>
      </c>
      <c r="O171" s="440" t="str">
        <f t="shared" si="297"/>
        <v>= ,00 *  * 1/1 / 12 =</v>
      </c>
      <c r="P171" s="440" t="str">
        <f t="shared" si="297"/>
        <v>= ,00 * 0 * 1/1 / 12 =</v>
      </c>
      <c r="Q171" s="440" t="str">
        <f t="shared" ref="Q171:S171" si="298">"= "&amp;TEXT(Q14,"#.###,00")&amp;" * "&amp;Q$6&amp;IF($D57&gt;0," * "&amp;TEXT(Q$10,"0,0000"),"")&amp;" * "&amp;TEXT(Q$3,"#0/#0")&amp;" / 12 ="</f>
        <v>= ,00 * 0 * 1/1 / 12 =</v>
      </c>
      <c r="R171" s="440" t="str">
        <f t="shared" si="298"/>
        <v>= ,00 * 0 * 1/1 / 12 =</v>
      </c>
      <c r="S171" s="440" t="str">
        <f t="shared" si="298"/>
        <v>= ,00 *  * 0/1 / 12 =</v>
      </c>
      <c r="T171" s="935" t="str">
        <f t="shared" si="296"/>
        <v>= ,00 * 1,233095 * 1/1 / 12 =</v>
      </c>
      <c r="U171" s="440" t="str">
        <f t="shared" si="296"/>
        <v>= ,00 * 1,233095 * 1/1 / 12 =</v>
      </c>
      <c r="V171" s="440" t="str">
        <f t="shared" si="296"/>
        <v>= ,00 * 1,233095 * 1/1 / 12 =</v>
      </c>
      <c r="W171" s="440" t="str">
        <f t="shared" si="296"/>
        <v>= ,00 * 0 * 1/1 / 12 =</v>
      </c>
      <c r="X171" s="440" t="str">
        <f t="shared" si="296"/>
        <v>= ,00 * 0 * 1/1 / 12 =</v>
      </c>
      <c r="Y171" s="440" t="str">
        <f t="shared" si="296"/>
        <v>= ,00 * 0 * 1/1 / 12 =</v>
      </c>
      <c r="Z171" s="440" t="str">
        <f t="shared" si="296"/>
        <v>= ,00 * 0 * 1/1 / 12 =</v>
      </c>
      <c r="AA171" s="440" t="str">
        <f t="shared" si="296"/>
        <v>= ,00 * 0 * 1/1 / 12 =</v>
      </c>
      <c r="AB171" s="440" t="str">
        <f t="shared" si="296"/>
        <v>= ,00 * 0 * 1/1 / 12 =</v>
      </c>
      <c r="AC171" s="440" t="str">
        <f t="shared" si="296"/>
        <v>= ,00 * 0 * 1/1 / 12 =</v>
      </c>
      <c r="AD171" s="440" t="str">
        <f t="shared" si="296"/>
        <v>= ,00 * 0 * 1/1 / 12 =</v>
      </c>
      <c r="AE171" s="440" t="str">
        <f t="shared" si="296"/>
        <v>= ,00 * 0 * 1/1 / 12 =</v>
      </c>
      <c r="AF171" s="436"/>
      <c r="AG171" s="436"/>
    </row>
    <row r="172" spans="1:33" s="3" customFormat="1">
      <c r="A172" s="436"/>
      <c r="B172" s="341">
        <f t="shared" si="292"/>
        <v>6</v>
      </c>
      <c r="C172" s="439"/>
      <c r="D172" s="439">
        <f t="shared" si="290"/>
        <v>55</v>
      </c>
      <c r="E172" s="439"/>
      <c r="F172" s="443" t="s">
        <v>173</v>
      </c>
      <c r="G172" s="440" t="str">
        <f t="shared" ref="G172:AE172" si="299">"= "&amp;TEXT(G15,"#.###,00")&amp;" * "&amp;G$6&amp;IF($D58&gt;0," * "&amp;TEXT(G$10,"0,0000"),"")&amp;" * "&amp;TEXT(G$3,"#0/#0")&amp;" / 12 ="</f>
        <v>= ,00 * 1,233095 * 1/1 / 12 =</v>
      </c>
      <c r="H172" s="440" t="str">
        <f t="shared" ref="H172:P172" si="300">"= "&amp;TEXT(H15,"#.###,00")&amp;" * "&amp;H$6&amp;IF($D58&gt;0," * "&amp;TEXT(H$10,"0,0000"),"")&amp;" * "&amp;TEXT(H$3,"#0/#0")&amp;" / 12 ="</f>
        <v>= ,00 * 1,233095 * 1/1 / 12 =</v>
      </c>
      <c r="I172" s="440" t="str">
        <f t="shared" si="300"/>
        <v>= ,00 * 1,233095 * 1/1 / 12 =</v>
      </c>
      <c r="J172" s="440" t="str">
        <f t="shared" si="300"/>
        <v>= ,00 *  * 1/1 / 12 =</v>
      </c>
      <c r="K172" s="440" t="str">
        <f t="shared" si="300"/>
        <v>= ,00 * 0 * 1/1 / 12 =</v>
      </c>
      <c r="L172" s="440" t="str">
        <f t="shared" si="300"/>
        <v>= ,00 * 0 * 1/1 / 12 =</v>
      </c>
      <c r="M172" s="440" t="str">
        <f t="shared" si="300"/>
        <v>= ,00 * 0 * 1/1 / 12 =</v>
      </c>
      <c r="N172" s="440" t="str">
        <f t="shared" si="300"/>
        <v>= ,00 * 0 * 1/1 / 12 =</v>
      </c>
      <c r="O172" s="440" t="str">
        <f t="shared" si="300"/>
        <v>= ,00 *  * 1/1 / 12 =</v>
      </c>
      <c r="P172" s="440" t="str">
        <f t="shared" si="300"/>
        <v>= ,00 * 0 * 1/1 / 12 =</v>
      </c>
      <c r="Q172" s="440" t="str">
        <f t="shared" ref="Q172:S172" si="301">"= "&amp;TEXT(Q15,"#.###,00")&amp;" * "&amp;Q$6&amp;IF($D58&gt;0," * "&amp;TEXT(Q$10,"0,0000"),"")&amp;" * "&amp;TEXT(Q$3,"#0/#0")&amp;" / 12 ="</f>
        <v>= ,00 * 0 * 1/1 / 12 =</v>
      </c>
      <c r="R172" s="440" t="str">
        <f t="shared" si="301"/>
        <v>= ,00 * 0 * 1/1 / 12 =</v>
      </c>
      <c r="S172" s="440" t="str">
        <f t="shared" si="301"/>
        <v>= ,00 *  * 0/1 / 12 =</v>
      </c>
      <c r="T172" s="935" t="str">
        <f t="shared" si="299"/>
        <v>= ,00 * 1,233095 * 1/1 / 12 =</v>
      </c>
      <c r="U172" s="440" t="str">
        <f t="shared" si="299"/>
        <v>= ,00 * 1,233095 * 1/1 / 12 =</v>
      </c>
      <c r="V172" s="440" t="str">
        <f t="shared" si="299"/>
        <v>= ,00 * 1,233095 * 1/1 / 12 =</v>
      </c>
      <c r="W172" s="440" t="str">
        <f t="shared" si="299"/>
        <v>= ,00 * 0 * 1/1 / 12 =</v>
      </c>
      <c r="X172" s="440" t="str">
        <f t="shared" si="299"/>
        <v>= ,00 * 0 * 1/1 / 12 =</v>
      </c>
      <c r="Y172" s="440" t="str">
        <f t="shared" si="299"/>
        <v>= ,00 * 0 * 1/1 / 12 =</v>
      </c>
      <c r="Z172" s="440" t="str">
        <f t="shared" si="299"/>
        <v>= ,00 * 0 * 1/1 / 12 =</v>
      </c>
      <c r="AA172" s="440" t="str">
        <f t="shared" si="299"/>
        <v>= ,00 * 0 * 1/1 / 12 =</v>
      </c>
      <c r="AB172" s="440" t="str">
        <f t="shared" si="299"/>
        <v>= ,00 * 0 * 1/1 / 12 =</v>
      </c>
      <c r="AC172" s="440" t="str">
        <f t="shared" si="299"/>
        <v>= ,00 * 0 * 1/1 / 12 =</v>
      </c>
      <c r="AD172" s="440" t="str">
        <f t="shared" si="299"/>
        <v>= ,00 * 0 * 1/1 / 12 =</v>
      </c>
      <c r="AE172" s="440" t="str">
        <f t="shared" si="299"/>
        <v>= ,00 * 0 * 1/1 / 12 =</v>
      </c>
      <c r="AF172" s="436"/>
      <c r="AG172" s="436"/>
    </row>
    <row r="173" spans="1:33" s="3" customFormat="1">
      <c r="A173" s="436"/>
      <c r="B173" s="342">
        <f t="shared" si="292"/>
        <v>7</v>
      </c>
      <c r="C173" s="439"/>
      <c r="D173" s="439">
        <f t="shared" si="290"/>
        <v>56</v>
      </c>
      <c r="E173" s="439"/>
      <c r="F173" s="443" t="s">
        <v>174</v>
      </c>
      <c r="G173" s="440" t="str">
        <f t="shared" ref="G173:AE173" si="302">"= "&amp;TEXT(G16,"#.###,00")&amp;" * "&amp;G$6&amp;IF($D59&gt;0," * "&amp;TEXT(G$10,"0,0000"),"")&amp;" * "&amp;TEXT(G$3,"#0/#0")&amp;" / 12 ="</f>
        <v>= ,00 * 1,233095 * 1/1 / 12 =</v>
      </c>
      <c r="H173" s="440" t="str">
        <f t="shared" ref="H173:P173" si="303">"= "&amp;TEXT(H16,"#.###,00")&amp;" * "&amp;H$6&amp;IF($D59&gt;0," * "&amp;TEXT(H$10,"0,0000"),"")&amp;" * "&amp;TEXT(H$3,"#0/#0")&amp;" / 12 ="</f>
        <v>= ,00 * 1,233095 * 1/1 / 12 =</v>
      </c>
      <c r="I173" s="440" t="str">
        <f t="shared" si="303"/>
        <v>= ,00 * 1,233095 * 1/1 / 12 =</v>
      </c>
      <c r="J173" s="440" t="str">
        <f t="shared" si="303"/>
        <v>= ,00 *  * 1/1 / 12 =</v>
      </c>
      <c r="K173" s="440" t="str">
        <f t="shared" si="303"/>
        <v>= ,00 * 0 * 1/1 / 12 =</v>
      </c>
      <c r="L173" s="440" t="str">
        <f t="shared" si="303"/>
        <v>= ,00 * 0 * 1/1 / 12 =</v>
      </c>
      <c r="M173" s="440" t="str">
        <f t="shared" si="303"/>
        <v>= ,00 * 0 * 1/1 / 12 =</v>
      </c>
      <c r="N173" s="440" t="str">
        <f t="shared" si="303"/>
        <v>= ,00 * 0 * 1/1 / 12 =</v>
      </c>
      <c r="O173" s="440" t="str">
        <f t="shared" si="303"/>
        <v>= ,00 *  * 1/1 / 12 =</v>
      </c>
      <c r="P173" s="440" t="str">
        <f t="shared" si="303"/>
        <v>= ,00 * 0 * 1/1 / 12 =</v>
      </c>
      <c r="Q173" s="440" t="str">
        <f t="shared" ref="Q173:S173" si="304">"= "&amp;TEXT(Q16,"#.###,00")&amp;" * "&amp;Q$6&amp;IF($D59&gt;0," * "&amp;TEXT(Q$10,"0,0000"),"")&amp;" * "&amp;TEXT(Q$3,"#0/#0")&amp;" / 12 ="</f>
        <v>= ,00 * 0 * 1/1 / 12 =</v>
      </c>
      <c r="R173" s="440" t="str">
        <f t="shared" si="304"/>
        <v>= ,00 * 0 * 1/1 / 12 =</v>
      </c>
      <c r="S173" s="440" t="str">
        <f t="shared" si="304"/>
        <v>= ,00 *  * 0/1 / 12 =</v>
      </c>
      <c r="T173" s="935" t="str">
        <f t="shared" si="302"/>
        <v>= ,00 * 1,233095 * 1/1 / 12 =</v>
      </c>
      <c r="U173" s="440" t="str">
        <f t="shared" si="302"/>
        <v>= ,00 * 1,233095 * 1/1 / 12 =</v>
      </c>
      <c r="V173" s="440" t="str">
        <f t="shared" si="302"/>
        <v>= ,00 * 1,233095 * 1/1 / 12 =</v>
      </c>
      <c r="W173" s="440" t="str">
        <f t="shared" si="302"/>
        <v>= ,00 * 0 * 1/1 / 12 =</v>
      </c>
      <c r="X173" s="440" t="str">
        <f t="shared" si="302"/>
        <v>= ,00 * 0 * 1/1 / 12 =</v>
      </c>
      <c r="Y173" s="440" t="str">
        <f t="shared" si="302"/>
        <v>= ,00 * 0 * 1/1 / 12 =</v>
      </c>
      <c r="Z173" s="440" t="str">
        <f t="shared" si="302"/>
        <v>= ,00 * 0 * 1/1 / 12 =</v>
      </c>
      <c r="AA173" s="440" t="str">
        <f t="shared" si="302"/>
        <v>= ,00 * 0 * 1/1 / 12 =</v>
      </c>
      <c r="AB173" s="440" t="str">
        <f t="shared" si="302"/>
        <v>= ,00 * 0 * 1/1 / 12 =</v>
      </c>
      <c r="AC173" s="440" t="str">
        <f t="shared" si="302"/>
        <v>= ,00 * 0 * 1/1 / 12 =</v>
      </c>
      <c r="AD173" s="440" t="str">
        <f t="shared" si="302"/>
        <v>= ,00 * 0 * 1/1 / 12 =</v>
      </c>
      <c r="AE173" s="440" t="str">
        <f t="shared" si="302"/>
        <v>= ,00 * 0 * 1/1 / 12 =</v>
      </c>
      <c r="AF173" s="436"/>
      <c r="AG173" s="436"/>
    </row>
    <row r="174" spans="1:33" s="3" customFormat="1">
      <c r="A174" s="436"/>
      <c r="B174" s="341">
        <f t="shared" si="292"/>
        <v>8</v>
      </c>
      <c r="C174" s="439"/>
      <c r="D174" s="439">
        <f t="shared" si="290"/>
        <v>57</v>
      </c>
      <c r="E174" s="439"/>
      <c r="F174" s="443" t="s">
        <v>175</v>
      </c>
      <c r="G174" s="440" t="str">
        <f t="shared" ref="G174:AE174" si="305">"= "&amp;TEXT(G17,"#.###,00")&amp;" * "&amp;G$6&amp;IF($D60&gt;0," * "&amp;TEXT(G$10,"0,0000"),"")&amp;" * "&amp;TEXT(G$3,"#0/#0")&amp;" / 12 ="</f>
        <v>= ,00 * 1,233095 * 0,0000 * 1/1 / 12 =</v>
      </c>
      <c r="H174" s="440" t="str">
        <f t="shared" ref="H174:P174" si="306">"= "&amp;TEXT(H17,"#.###,00")&amp;" * "&amp;H$6&amp;IF($D60&gt;0," * "&amp;TEXT(H$10,"0,0000"),"")&amp;" * "&amp;TEXT(H$3,"#0/#0")&amp;" / 12 ="</f>
        <v>= ,00 * 1,233095 * 0,0000 * 1/1 / 12 =</v>
      </c>
      <c r="I174" s="440" t="str">
        <f t="shared" si="306"/>
        <v>= ,00 * 1,233095 * 0,0000 * 1/1 / 12 =</v>
      </c>
      <c r="J174" s="440" t="str">
        <f t="shared" si="306"/>
        <v>= ,00 *  * 0,0000 * 1/1 / 12 =</v>
      </c>
      <c r="K174" s="440" t="str">
        <f t="shared" si="306"/>
        <v>= ,00 * 0 * 0,0000 * 1/1 / 12 =</v>
      </c>
      <c r="L174" s="440" t="str">
        <f t="shared" si="306"/>
        <v>= ,00 * 0 * 0,0000 * 1/1 / 12 =</v>
      </c>
      <c r="M174" s="440" t="str">
        <f t="shared" si="306"/>
        <v>= ,00 * 0 * 0,0000 * 1/1 / 12 =</v>
      </c>
      <c r="N174" s="440" t="str">
        <f t="shared" si="306"/>
        <v>= ,00 * 0 * 0,0000 * 1/1 / 12 =</v>
      </c>
      <c r="O174" s="440" t="str">
        <f t="shared" si="306"/>
        <v>= ,00 *  * 0,0000 * 1/1 / 12 =</v>
      </c>
      <c r="P174" s="440" t="str">
        <f t="shared" si="306"/>
        <v>= ,00 * 0 * 0,0000 * 1/1 / 12 =</v>
      </c>
      <c r="Q174" s="440" t="str">
        <f t="shared" ref="Q174:S174" si="307">"= "&amp;TEXT(Q17,"#.###,00")&amp;" * "&amp;Q$6&amp;IF($D60&gt;0," * "&amp;TEXT(Q$10,"0,0000"),"")&amp;" * "&amp;TEXT(Q$3,"#0/#0")&amp;" / 12 ="</f>
        <v>= ,00 * 0 * 0,0000 * 1/1 / 12 =</v>
      </c>
      <c r="R174" s="440" t="str">
        <f t="shared" si="307"/>
        <v>= ,00 * 0 * 0,0000 * 1/1 / 12 =</v>
      </c>
      <c r="S174" s="440" t="str">
        <f t="shared" si="307"/>
        <v>= ,00 *  * 0,0000 * 0/1 / 12 =</v>
      </c>
      <c r="T174" s="935" t="str">
        <f t="shared" si="305"/>
        <v>= ,00 * 1,233095 * 0,0000 * 1/1 / 12 =</v>
      </c>
      <c r="U174" s="440" t="str">
        <f t="shared" si="305"/>
        <v>= ,00 * 1,233095 * 0,0000 * 1/1 / 12 =</v>
      </c>
      <c r="V174" s="440" t="str">
        <f t="shared" si="305"/>
        <v>= ,00 * 1,233095 * 0,0000 * 1/1 / 12 =</v>
      </c>
      <c r="W174" s="440" t="str">
        <f t="shared" si="305"/>
        <v>= ,00 * 0 * 0,0000 * 1/1 / 12 =</v>
      </c>
      <c r="X174" s="440" t="str">
        <f t="shared" si="305"/>
        <v>= ,00 * 0 * 0,0000 * 1/1 / 12 =</v>
      </c>
      <c r="Y174" s="440" t="str">
        <f t="shared" si="305"/>
        <v>= ,00 * 0 * 0,0000 * 1/1 / 12 =</v>
      </c>
      <c r="Z174" s="440" t="str">
        <f t="shared" si="305"/>
        <v>= ,00 * 0 * 0,0000 * 1/1 / 12 =</v>
      </c>
      <c r="AA174" s="440" t="str">
        <f t="shared" si="305"/>
        <v>= ,00 * 0 * 0,0000 * 1/1 / 12 =</v>
      </c>
      <c r="AB174" s="440" t="str">
        <f t="shared" si="305"/>
        <v>= ,00 * 0 * 0,0000 * 1/1 / 12 =</v>
      </c>
      <c r="AC174" s="440" t="str">
        <f t="shared" si="305"/>
        <v>= ,00 * 0 * 0,0000 * 1/1 / 12 =</v>
      </c>
      <c r="AD174" s="440" t="str">
        <f t="shared" si="305"/>
        <v>= ,00 * 0 * 0,0000 * 1/1 / 12 =</v>
      </c>
      <c r="AE174" s="440" t="str">
        <f t="shared" si="305"/>
        <v>= ,00 * 0 * 0,0000 * 1/1 / 12 =</v>
      </c>
      <c r="AF174" s="436"/>
      <c r="AG174" s="436"/>
    </row>
    <row r="175" spans="1:33" s="3" customFormat="1">
      <c r="A175" s="436"/>
      <c r="B175" s="342">
        <f t="shared" si="292"/>
        <v>9</v>
      </c>
      <c r="C175" s="439"/>
      <c r="D175" s="439">
        <f t="shared" si="290"/>
        <v>58</v>
      </c>
      <c r="E175" s="439"/>
      <c r="F175" s="443" t="s">
        <v>176</v>
      </c>
      <c r="G175" s="440" t="str">
        <f t="shared" ref="G175:AE175" si="308">"= "&amp;TEXT(G18,"#.###,00")&amp;" * "&amp;G$6&amp;IF($D61&gt;0," * "&amp;TEXT(G$10,"0,0000"),"")&amp;" * "&amp;TEXT(G$3,"#0/#0")&amp;" / 12 ="</f>
        <v>= ,00 * 1,233095 * 0,0000 * 1/1 / 12 =</v>
      </c>
      <c r="H175" s="440" t="str">
        <f t="shared" ref="H175:P175" si="309">"= "&amp;TEXT(H18,"#.###,00")&amp;" * "&amp;H$6&amp;IF($D61&gt;0," * "&amp;TEXT(H$10,"0,0000"),"")&amp;" * "&amp;TEXT(H$3,"#0/#0")&amp;" / 12 ="</f>
        <v>= ,00 * 1,233095 * 0,0000 * 1/1 / 12 =</v>
      </c>
      <c r="I175" s="440" t="str">
        <f t="shared" si="309"/>
        <v>= ,00 * 1,233095 * 0,0000 * 1/1 / 12 =</v>
      </c>
      <c r="J175" s="440" t="str">
        <f t="shared" si="309"/>
        <v>= ,00 *  * 0,0000 * 1/1 / 12 =</v>
      </c>
      <c r="K175" s="440" t="str">
        <f t="shared" si="309"/>
        <v>= ,00 * 0 * 0,0000 * 1/1 / 12 =</v>
      </c>
      <c r="L175" s="440" t="str">
        <f t="shared" si="309"/>
        <v>= ,00 * 0 * 0,0000 * 1/1 / 12 =</v>
      </c>
      <c r="M175" s="440" t="str">
        <f t="shared" si="309"/>
        <v>= ,00 * 0 * 0,0000 * 1/1 / 12 =</v>
      </c>
      <c r="N175" s="440" t="str">
        <f t="shared" si="309"/>
        <v>= ,00 * 0 * 0,0000 * 1/1 / 12 =</v>
      </c>
      <c r="O175" s="440" t="str">
        <f t="shared" si="309"/>
        <v>= ,00 *  * 0,0000 * 1/1 / 12 =</v>
      </c>
      <c r="P175" s="440" t="str">
        <f t="shared" si="309"/>
        <v>= ,00 * 0 * 0,0000 * 1/1 / 12 =</v>
      </c>
      <c r="Q175" s="440" t="str">
        <f t="shared" ref="Q175:S175" si="310">"= "&amp;TEXT(Q18,"#.###,00")&amp;" * "&amp;Q$6&amp;IF($D61&gt;0," * "&amp;TEXT(Q$10,"0,0000"),"")&amp;" * "&amp;TEXT(Q$3,"#0/#0")&amp;" / 12 ="</f>
        <v>= ,00 * 0 * 0,0000 * 1/1 / 12 =</v>
      </c>
      <c r="R175" s="440" t="str">
        <f t="shared" si="310"/>
        <v>= ,00 * 0 * 0,0000 * 1/1 / 12 =</v>
      </c>
      <c r="S175" s="440" t="str">
        <f t="shared" si="310"/>
        <v>= ,00 *  * 0,0000 * 0/1 / 12 =</v>
      </c>
      <c r="T175" s="935" t="str">
        <f t="shared" si="308"/>
        <v>= ,00 * 1,233095 * 0,0000 * 1/1 / 12 =</v>
      </c>
      <c r="U175" s="440" t="str">
        <f t="shared" si="308"/>
        <v>= ,00 * 1,233095 * 0,0000 * 1/1 / 12 =</v>
      </c>
      <c r="V175" s="440" t="str">
        <f t="shared" si="308"/>
        <v>= ,00 * 1,233095 * 0,0000 * 1/1 / 12 =</v>
      </c>
      <c r="W175" s="440" t="str">
        <f t="shared" si="308"/>
        <v>= ,00 * 0 * 0,0000 * 1/1 / 12 =</v>
      </c>
      <c r="X175" s="440" t="str">
        <f t="shared" si="308"/>
        <v>= ,00 * 0 * 0,0000 * 1/1 / 12 =</v>
      </c>
      <c r="Y175" s="440" t="str">
        <f t="shared" si="308"/>
        <v>= ,00 * 0 * 0,0000 * 1/1 / 12 =</v>
      </c>
      <c r="Z175" s="440" t="str">
        <f t="shared" si="308"/>
        <v>= ,00 * 0 * 0,0000 * 1/1 / 12 =</v>
      </c>
      <c r="AA175" s="440" t="str">
        <f t="shared" si="308"/>
        <v>= ,00 * 0 * 0,0000 * 1/1 / 12 =</v>
      </c>
      <c r="AB175" s="440" t="str">
        <f t="shared" si="308"/>
        <v>= ,00 * 0 * 0,0000 * 1/1 / 12 =</v>
      </c>
      <c r="AC175" s="440" t="str">
        <f t="shared" si="308"/>
        <v>= ,00 * 0 * 0,0000 * 1/1 / 12 =</v>
      </c>
      <c r="AD175" s="440" t="str">
        <f t="shared" si="308"/>
        <v>= ,00 * 0 * 0,0000 * 1/1 / 12 =</v>
      </c>
      <c r="AE175" s="440" t="str">
        <f t="shared" si="308"/>
        <v>= ,00 * 0 * 0,0000 * 1/1 / 12 =</v>
      </c>
      <c r="AF175" s="436"/>
      <c r="AG175" s="436"/>
    </row>
    <row r="176" spans="1:33" s="3" customFormat="1">
      <c r="A176" s="436"/>
      <c r="B176" s="341">
        <f t="shared" si="292"/>
        <v>10</v>
      </c>
      <c r="C176" s="439"/>
      <c r="D176" s="439">
        <f t="shared" si="290"/>
        <v>59</v>
      </c>
      <c r="E176" s="439"/>
      <c r="F176" s="443" t="s">
        <v>177</v>
      </c>
      <c r="G176" s="440" t="str">
        <f t="shared" ref="G176:AE176" si="311">"= "&amp;TEXT(G19,"#.###,00")&amp;" * "&amp;G$6&amp;IF($D62&gt;0," * "&amp;TEXT(G$10,"0,0000"),"")&amp;" * "&amp;TEXT(G$3,"#0/#0")&amp;" / 12 ="</f>
        <v>= ,00 * 1,233095 * 0,0000 * 1/1 / 12 =</v>
      </c>
      <c r="H176" s="440" t="str">
        <f t="shared" ref="H176:P176" si="312">"= "&amp;TEXT(H19,"#.###,00")&amp;" * "&amp;H$6&amp;IF($D62&gt;0," * "&amp;TEXT(H$10,"0,0000"),"")&amp;" * "&amp;TEXT(H$3,"#0/#0")&amp;" / 12 ="</f>
        <v>= ,00 * 1,233095 * 0,0000 * 1/1 / 12 =</v>
      </c>
      <c r="I176" s="440" t="str">
        <f t="shared" si="312"/>
        <v>= ,00 * 1,233095 * 0,0000 * 1/1 / 12 =</v>
      </c>
      <c r="J176" s="440" t="str">
        <f t="shared" si="312"/>
        <v>= ,00 *  * 0,0000 * 1/1 / 12 =</v>
      </c>
      <c r="K176" s="440" t="str">
        <f t="shared" si="312"/>
        <v>= ,00 * 0 * 0,0000 * 1/1 / 12 =</v>
      </c>
      <c r="L176" s="440" t="str">
        <f t="shared" si="312"/>
        <v>= ,00 * 0 * 0,0000 * 1/1 / 12 =</v>
      </c>
      <c r="M176" s="440" t="str">
        <f t="shared" si="312"/>
        <v>= ,00 * 0 * 0,0000 * 1/1 / 12 =</v>
      </c>
      <c r="N176" s="440" t="str">
        <f t="shared" si="312"/>
        <v>= ,00 * 0 * 0,0000 * 1/1 / 12 =</v>
      </c>
      <c r="O176" s="440" t="str">
        <f t="shared" si="312"/>
        <v>= ,00 *  * 0,0000 * 1/1 / 12 =</v>
      </c>
      <c r="P176" s="440" t="str">
        <f t="shared" si="312"/>
        <v>= ,00 * 0 * 0,0000 * 1/1 / 12 =</v>
      </c>
      <c r="Q176" s="440" t="str">
        <f t="shared" ref="Q176:S176" si="313">"= "&amp;TEXT(Q19,"#.###,00")&amp;" * "&amp;Q$6&amp;IF($D62&gt;0," * "&amp;TEXT(Q$10,"0,0000"),"")&amp;" * "&amp;TEXT(Q$3,"#0/#0")&amp;" / 12 ="</f>
        <v>= ,00 * 0 * 0,0000 * 1/1 / 12 =</v>
      </c>
      <c r="R176" s="440" t="str">
        <f t="shared" si="313"/>
        <v>= ,00 * 0 * 0,0000 * 1/1 / 12 =</v>
      </c>
      <c r="S176" s="440" t="str">
        <f t="shared" si="313"/>
        <v>= ,00 *  * 0,0000 * 0/1 / 12 =</v>
      </c>
      <c r="T176" s="935" t="str">
        <f t="shared" si="311"/>
        <v>= ,00 * 1,233095 * 0,0000 * 1/1 / 12 =</v>
      </c>
      <c r="U176" s="440" t="str">
        <f t="shared" si="311"/>
        <v>= ,00 * 1,233095 * 0,0000 * 1/1 / 12 =</v>
      </c>
      <c r="V176" s="440" t="str">
        <f t="shared" si="311"/>
        <v>= ,00 * 1,233095 * 0,0000 * 1/1 / 12 =</v>
      </c>
      <c r="W176" s="440" t="str">
        <f t="shared" si="311"/>
        <v>= ,00 * 0 * 0,0000 * 1/1 / 12 =</v>
      </c>
      <c r="X176" s="440" t="str">
        <f t="shared" si="311"/>
        <v>= ,00 * 0 * 0,0000 * 1/1 / 12 =</v>
      </c>
      <c r="Y176" s="440" t="str">
        <f t="shared" si="311"/>
        <v>= ,00 * 0 * 0,0000 * 1/1 / 12 =</v>
      </c>
      <c r="Z176" s="440" t="str">
        <f t="shared" si="311"/>
        <v>= ,00 * 0 * 0,0000 * 1/1 / 12 =</v>
      </c>
      <c r="AA176" s="440" t="str">
        <f t="shared" si="311"/>
        <v>= ,00 * 0 * 0,0000 * 1/1 / 12 =</v>
      </c>
      <c r="AB176" s="440" t="str">
        <f t="shared" si="311"/>
        <v>= ,00 * 0 * 0,0000 * 1/1 / 12 =</v>
      </c>
      <c r="AC176" s="440" t="str">
        <f t="shared" si="311"/>
        <v>= ,00 * 0 * 0,0000 * 1/1 / 12 =</v>
      </c>
      <c r="AD176" s="440" t="str">
        <f t="shared" si="311"/>
        <v>= ,00 * 0 * 0,0000 * 1/1 / 12 =</v>
      </c>
      <c r="AE176" s="440" t="str">
        <f t="shared" si="311"/>
        <v>= ,00 * 0 * 0,0000 * 1/1 / 12 =</v>
      </c>
      <c r="AF176" s="436"/>
      <c r="AG176" s="436"/>
    </row>
    <row r="177" spans="1:33" s="3" customFormat="1">
      <c r="A177" s="436"/>
      <c r="B177" s="342">
        <f t="shared" si="292"/>
        <v>11</v>
      </c>
      <c r="C177" s="439"/>
      <c r="D177" s="439">
        <f t="shared" si="290"/>
        <v>60</v>
      </c>
      <c r="E177" s="439"/>
      <c r="F177" s="443" t="s">
        <v>535</v>
      </c>
      <c r="G177" s="440" t="str">
        <f t="shared" ref="G177:AE177" si="314">"= "&amp;TEXT(G20,"#.###,00")&amp;" * "&amp;G$6&amp;" * "&amp;TEXT(G$10,"0,0000")&amp;" * "&amp;TEXT(G$3,"#0/#0")&amp;" / 12 ="</f>
        <v>= ,00 * 1,233095 * 0,0000 * 1/1 / 12 =</v>
      </c>
      <c r="H177" s="440" t="str">
        <f t="shared" ref="H177:P177" si="315">"= "&amp;TEXT(H20,"#.###,00")&amp;" * "&amp;H$6&amp;" * "&amp;TEXT(H$10,"0,0000")&amp;" * "&amp;TEXT(H$3,"#0/#0")&amp;" / 12 ="</f>
        <v>= ,00 * 1,233095 * 0,0000 * 1/1 / 12 =</v>
      </c>
      <c r="I177" s="440" t="str">
        <f t="shared" si="315"/>
        <v>= ,00 * 1,233095 * 0,0000 * 1/1 / 12 =</v>
      </c>
      <c r="J177" s="440" t="str">
        <f t="shared" si="315"/>
        <v>= ,00 *  * 0,0000 * 1/1 / 12 =</v>
      </c>
      <c r="K177" s="440" t="str">
        <f t="shared" si="315"/>
        <v>= ,00 * 0 * 0,0000 * 1/1 / 12 =</v>
      </c>
      <c r="L177" s="440" t="str">
        <f t="shared" si="315"/>
        <v>= ,00 * 0 * 0,0000 * 1/1 / 12 =</v>
      </c>
      <c r="M177" s="440" t="str">
        <f t="shared" si="315"/>
        <v>= ,00 * 0 * 0,0000 * 1/1 / 12 =</v>
      </c>
      <c r="N177" s="440" t="str">
        <f t="shared" si="315"/>
        <v>= ,00 * 0 * 0,0000 * 1/1 / 12 =</v>
      </c>
      <c r="O177" s="440" t="str">
        <f t="shared" si="315"/>
        <v>= ,00 *  * 0,0000 * 1/1 / 12 =</v>
      </c>
      <c r="P177" s="440" t="str">
        <f t="shared" si="315"/>
        <v>= ,00 * 0 * 0,0000 * 1/1 / 12 =</v>
      </c>
      <c r="Q177" s="440" t="str">
        <f t="shared" ref="Q177:S177" si="316">"= "&amp;TEXT(Q20,"#.###,00")&amp;" * "&amp;Q$6&amp;" * "&amp;TEXT(Q$10,"0,0000")&amp;" * "&amp;TEXT(Q$3,"#0/#0")&amp;" / 12 ="</f>
        <v>= ,00 * 0 * 0,0000 * 1/1 / 12 =</v>
      </c>
      <c r="R177" s="440" t="str">
        <f t="shared" si="316"/>
        <v>= ,00 * 0 * 0,0000 * 1/1 / 12 =</v>
      </c>
      <c r="S177" s="440" t="str">
        <f t="shared" si="316"/>
        <v>= ,00 *  * 0,0000 * 0/1 / 12 =</v>
      </c>
      <c r="T177" s="935" t="str">
        <f t="shared" si="314"/>
        <v>= ,00 * 1,233095 * 0,0000 * 1/1 / 12 =</v>
      </c>
      <c r="U177" s="440" t="str">
        <f t="shared" si="314"/>
        <v>= ,00 * 1,233095 * 0,0000 * 1/1 / 12 =</v>
      </c>
      <c r="V177" s="440" t="str">
        <f t="shared" si="314"/>
        <v>= ,00 * 1,233095 * 0,0000 * 1/1 / 12 =</v>
      </c>
      <c r="W177" s="440" t="str">
        <f t="shared" si="314"/>
        <v>= ,00 * 0 * 0,0000 * 1/1 / 12 =</v>
      </c>
      <c r="X177" s="440" t="str">
        <f t="shared" si="314"/>
        <v>= ,00 * 0 * 0,0000 * 1/1 / 12 =</v>
      </c>
      <c r="Y177" s="440" t="str">
        <f t="shared" si="314"/>
        <v>= ,00 * 0 * 0,0000 * 1/1 / 12 =</v>
      </c>
      <c r="Z177" s="440" t="str">
        <f t="shared" si="314"/>
        <v>= ,00 * 0 * 0,0000 * 1/1 / 12 =</v>
      </c>
      <c r="AA177" s="440" t="str">
        <f t="shared" si="314"/>
        <v>= ,00 * 0 * 0,0000 * 1/1 / 12 =</v>
      </c>
      <c r="AB177" s="440" t="str">
        <f t="shared" si="314"/>
        <v>= ,00 * 0 * 0,0000 * 1/1 / 12 =</v>
      </c>
      <c r="AC177" s="440" t="str">
        <f t="shared" si="314"/>
        <v>= ,00 * 0 * 0,0000 * 1/1 / 12 =</v>
      </c>
      <c r="AD177" s="440" t="str">
        <f t="shared" si="314"/>
        <v>= ,00 * 0 * 0,0000 * 1/1 / 12 =</v>
      </c>
      <c r="AE177" s="440" t="str">
        <f t="shared" si="314"/>
        <v>= ,00 * 0 * 0,0000 * 1/1 / 12 =</v>
      </c>
      <c r="AF177" s="436"/>
      <c r="AG177" s="436"/>
    </row>
    <row r="178" spans="1:33" s="3" customFormat="1">
      <c r="A178" s="436"/>
      <c r="B178" s="341">
        <f t="shared" si="292"/>
        <v>12</v>
      </c>
      <c r="C178" s="439"/>
      <c r="D178" s="439">
        <f t="shared" si="290"/>
        <v>61</v>
      </c>
      <c r="E178" s="439"/>
      <c r="F178" s="443" t="s">
        <v>114</v>
      </c>
      <c r="G178" s="440" t="str">
        <f t="shared" ref="G178:AE178" si="317">"= "&amp;TEXT(G21,"#.###,00")&amp;" * "&amp;G$6&amp;" * "&amp;TEXT(G$10,"0,0000")&amp;" * "&amp;TEXT(G$3,"#0/#0")&amp;" / 12 ="</f>
        <v>= ,00 * 1,233095 * 0,0000 * 1/1 / 12 =</v>
      </c>
      <c r="H178" s="440" t="str">
        <f t="shared" ref="H178:P178" si="318">"= "&amp;TEXT(H21,"#.###,00")&amp;" * "&amp;H$6&amp;" * "&amp;TEXT(H$10,"0,0000")&amp;" * "&amp;TEXT(H$3,"#0/#0")&amp;" / 12 ="</f>
        <v>= ,00 * 1,233095 * 0,0000 * 1/1 / 12 =</v>
      </c>
      <c r="I178" s="440" t="str">
        <f t="shared" si="318"/>
        <v>= ,00 * 1,233095 * 0,0000 * 1/1 / 12 =</v>
      </c>
      <c r="J178" s="440" t="str">
        <f t="shared" si="318"/>
        <v>= ,00 *  * 0,0000 * 1/1 / 12 =</v>
      </c>
      <c r="K178" s="440" t="str">
        <f t="shared" si="318"/>
        <v>= ,00 * 0 * 0,0000 * 1/1 / 12 =</v>
      </c>
      <c r="L178" s="440" t="str">
        <f t="shared" si="318"/>
        <v>= ,00 * 0 * 0,0000 * 1/1 / 12 =</v>
      </c>
      <c r="M178" s="440" t="str">
        <f t="shared" si="318"/>
        <v>= ,00 * 0 * 0,0000 * 1/1 / 12 =</v>
      </c>
      <c r="N178" s="440" t="str">
        <f t="shared" si="318"/>
        <v>= ,00 * 0 * 0,0000 * 1/1 / 12 =</v>
      </c>
      <c r="O178" s="440" t="str">
        <f t="shared" si="318"/>
        <v>= ,00 *  * 0,0000 * 1/1 / 12 =</v>
      </c>
      <c r="P178" s="440" t="str">
        <f t="shared" si="318"/>
        <v>= ,00 * 0 * 0,0000 * 1/1 / 12 =</v>
      </c>
      <c r="Q178" s="440" t="str">
        <f t="shared" ref="Q178:S178" si="319">"= "&amp;TEXT(Q21,"#.###,00")&amp;" * "&amp;Q$6&amp;" * "&amp;TEXT(Q$10,"0,0000")&amp;" * "&amp;TEXT(Q$3,"#0/#0")&amp;" / 12 ="</f>
        <v>= ,00 * 0 * 0,0000 * 1/1 / 12 =</v>
      </c>
      <c r="R178" s="440" t="str">
        <f t="shared" si="319"/>
        <v>= ,00 * 0 * 0,0000 * 1/1 / 12 =</v>
      </c>
      <c r="S178" s="440" t="str">
        <f t="shared" si="319"/>
        <v>= ,00 *  * 0,0000 * 0/1 / 12 =</v>
      </c>
      <c r="T178" s="935" t="str">
        <f t="shared" si="317"/>
        <v>= ,00 * 1,233095 * 0,0000 * 1/1 / 12 =</v>
      </c>
      <c r="U178" s="440" t="str">
        <f t="shared" si="317"/>
        <v>= ,00 * 1,233095 * 0,0000 * 1/1 / 12 =</v>
      </c>
      <c r="V178" s="440" t="str">
        <f t="shared" si="317"/>
        <v>= ,00 * 1,233095 * 0,0000 * 1/1 / 12 =</v>
      </c>
      <c r="W178" s="440" t="str">
        <f t="shared" si="317"/>
        <v>= ,00 * 0 * 0,0000 * 1/1 / 12 =</v>
      </c>
      <c r="X178" s="440" t="str">
        <f t="shared" si="317"/>
        <v>= ,00 * 0 * 0,0000 * 1/1 / 12 =</v>
      </c>
      <c r="Y178" s="440" t="str">
        <f t="shared" si="317"/>
        <v>= ,00 * 0 * 0,0000 * 1/1 / 12 =</v>
      </c>
      <c r="Z178" s="440" t="str">
        <f t="shared" si="317"/>
        <v>= ,00 * 0 * 0,0000 * 1/1 / 12 =</v>
      </c>
      <c r="AA178" s="440" t="str">
        <f t="shared" si="317"/>
        <v>= ,00 * 0 * 0,0000 * 1/1 / 12 =</v>
      </c>
      <c r="AB178" s="440" t="str">
        <f t="shared" si="317"/>
        <v>= ,00 * 0 * 0,0000 * 1/1 / 12 =</v>
      </c>
      <c r="AC178" s="440" t="str">
        <f t="shared" si="317"/>
        <v>= ,00 * 0 * 0,0000 * 1/1 / 12 =</v>
      </c>
      <c r="AD178" s="440" t="str">
        <f t="shared" si="317"/>
        <v>= ,00 * 0 * 0,0000 * 1/1 / 12 =</v>
      </c>
      <c r="AE178" s="440" t="str">
        <f t="shared" si="317"/>
        <v>= ,00 * 0 * 0,0000 * 1/1 / 12 =</v>
      </c>
      <c r="AF178" s="436"/>
      <c r="AG178" s="436"/>
    </row>
    <row r="179" spans="1:33" s="3" customFormat="1">
      <c r="A179" s="436"/>
      <c r="B179" s="342">
        <f t="shared" si="292"/>
        <v>13</v>
      </c>
      <c r="C179" s="439"/>
      <c r="D179" s="439">
        <f t="shared" si="290"/>
        <v>62</v>
      </c>
      <c r="E179" s="439"/>
      <c r="F179" s="443" t="s">
        <v>367</v>
      </c>
      <c r="G179" s="440" t="str">
        <f t="shared" ref="G179:AE179" si="320">"= "&amp;TEXT(IF(RIGHT(G4)="1",5200)+IF(RIGHT(G4)="2",7900)+IF(RIGHT(G4)="3",7900),"#.###")&amp;" * "&amp;G$6&amp;" * "&amp;TEXT(G$10,"0,0000")&amp;" * "&amp;TEXT(G$3,"#0/#0")&amp;" / 12 ="</f>
        <v>= 5.200 * 1,233095 * 0,0000 * 1/1 / 12 =</v>
      </c>
      <c r="H179" s="440" t="str">
        <f t="shared" ref="H179:P179" si="321">"= "&amp;TEXT(IF(RIGHT(H4)="1",5200)+IF(RIGHT(H4)="2",7900)+IF(RIGHT(H4)="3",7900),"#.###")&amp;" * "&amp;H$6&amp;" * "&amp;TEXT(H$10,"0,0000")&amp;" * "&amp;TEXT(H$3,"#0/#0")&amp;" / 12 ="</f>
        <v>= 5.200 * 1,233095 * 0,0000 * 1/1 / 12 =</v>
      </c>
      <c r="I179" s="440" t="str">
        <f t="shared" si="321"/>
        <v>= 5.200 * 1,233095 * 0,0000 * 1/1 / 12 =</v>
      </c>
      <c r="J179" s="440" t="str">
        <f t="shared" si="321"/>
        <v>= 5.200 *  * 0,0000 * 1/1 / 12 =</v>
      </c>
      <c r="K179" s="440" t="str">
        <f t="shared" si="321"/>
        <v>= 5.200 * 0 * 0,0000 * 1/1 / 12 =</v>
      </c>
      <c r="L179" s="440" t="str">
        <f t="shared" si="321"/>
        <v>= 5.200 * 0 * 0,0000 * 1/1 / 12 =</v>
      </c>
      <c r="M179" s="440" t="str">
        <f t="shared" si="321"/>
        <v>= 5.200 * 0 * 0,0000 * 1/1 / 12 =</v>
      </c>
      <c r="N179" s="440" t="str">
        <f t="shared" si="321"/>
        <v>= 5.200 * 0 * 0,0000 * 1/1 / 12 =</v>
      </c>
      <c r="O179" s="440" t="str">
        <f t="shared" si="321"/>
        <v>= 5.200 *  * 0,0000 * 1/1 / 12 =</v>
      </c>
      <c r="P179" s="440" t="str">
        <f t="shared" si="321"/>
        <v>= 5.200 * 0 * 0,0000 * 1/1 / 12 =</v>
      </c>
      <c r="Q179" s="440" t="str">
        <f t="shared" ref="Q179:S179" si="322">"= "&amp;TEXT(IF(RIGHT(Q4)="1",5200)+IF(RIGHT(Q4)="2",7900)+IF(RIGHT(Q4)="3",7900),"#.###")&amp;" * "&amp;Q$6&amp;" * "&amp;TEXT(Q$10,"0,0000")&amp;" * "&amp;TEXT(Q$3,"#0/#0")&amp;" / 12 ="</f>
        <v>= 5.200 * 0 * 0,0000 * 1/1 / 12 =</v>
      </c>
      <c r="R179" s="440" t="str">
        <f t="shared" si="322"/>
        <v>= 5.200 * 0 * 0,0000 * 1/1 / 12 =</v>
      </c>
      <c r="S179" s="440" t="str">
        <f t="shared" si="322"/>
        <v>=  *  * 0,0000 * 0/1 / 12 =</v>
      </c>
      <c r="T179" s="935" t="str">
        <f t="shared" si="320"/>
        <v>= 5.200 * 1,233095 * 0,0000 * 1/1 / 12 =</v>
      </c>
      <c r="U179" s="440" t="str">
        <f t="shared" si="320"/>
        <v>= 5.200 * 1,233095 * 0,0000 * 1/1 / 12 =</v>
      </c>
      <c r="V179" s="440" t="str">
        <f t="shared" si="320"/>
        <v>= 5.200 * 1,233095 * 0,0000 * 1/1 / 12 =</v>
      </c>
      <c r="W179" s="440" t="str">
        <f t="shared" si="320"/>
        <v>= 5.200 * 0 * 0,0000 * 1/1 / 12 =</v>
      </c>
      <c r="X179" s="440" t="str">
        <f t="shared" si="320"/>
        <v>= 5.200 * 0 * 0,0000 * 1/1 / 12 =</v>
      </c>
      <c r="Y179" s="440" t="str">
        <f t="shared" si="320"/>
        <v>= 5.200 * 0 * 0,0000 * 1/1 / 12 =</v>
      </c>
      <c r="Z179" s="440" t="str">
        <f t="shared" si="320"/>
        <v>= 5.200 * 0 * 0,0000 * 1/1 / 12 =</v>
      </c>
      <c r="AA179" s="440" t="str">
        <f t="shared" si="320"/>
        <v>= 5.200 * 0 * 0,0000 * 1/1 / 12 =</v>
      </c>
      <c r="AB179" s="440" t="str">
        <f t="shared" si="320"/>
        <v>= 5.200 * 0 * 0,0000 * 1/1 / 12 =</v>
      </c>
      <c r="AC179" s="440" t="str">
        <f t="shared" si="320"/>
        <v>= 5.200 * 0 * 0,0000 * 1/1 / 12 =</v>
      </c>
      <c r="AD179" s="440" t="str">
        <f t="shared" si="320"/>
        <v>= 5.200 * 0 * 0,0000 * 1/1 / 12 =</v>
      </c>
      <c r="AE179" s="440" t="str">
        <f t="shared" si="320"/>
        <v>= 5.200 * 0 * 0,0000 * 1/1 / 12 =</v>
      </c>
      <c r="AF179" s="436"/>
      <c r="AG179" s="436"/>
    </row>
    <row r="180" spans="1:33" s="3" customFormat="1">
      <c r="A180" s="436"/>
      <c r="B180" s="341">
        <f t="shared" si="292"/>
        <v>14</v>
      </c>
      <c r="C180" s="439"/>
      <c r="D180" s="439">
        <f t="shared" si="290"/>
        <v>63</v>
      </c>
      <c r="E180" s="439"/>
      <c r="F180" s="443" t="s">
        <v>348</v>
      </c>
      <c r="G180" s="440" t="str">
        <f t="shared" ref="G180:AE180" si="323">"= 2.800 * "&amp;G6&amp;" * "&amp;TEXT(G$10,"0,0000")&amp;" * "&amp;TEXT(G$3,"#0/#0")&amp;" / 12 ="</f>
        <v>= 2.800 * 1,233095 * 0,0000 * 1/1 / 12 =</v>
      </c>
      <c r="H180" s="440" t="str">
        <f t="shared" ref="H180:P180" si="324">"= 2.800 * "&amp;H6&amp;" * "&amp;TEXT(H$10,"0,0000")&amp;" * "&amp;TEXT(H$3,"#0/#0")&amp;" / 12 ="</f>
        <v>= 2.800 * 1,233095 * 0,0000 * 1/1 / 12 =</v>
      </c>
      <c r="I180" s="440" t="str">
        <f t="shared" si="324"/>
        <v>= 2.800 * 1,233095 * 0,0000 * 1/1 / 12 =</v>
      </c>
      <c r="J180" s="440" t="str">
        <f t="shared" si="324"/>
        <v>= 2.800 *  * 0,0000 * 1/1 / 12 =</v>
      </c>
      <c r="K180" s="440" t="str">
        <f t="shared" si="324"/>
        <v>= 2.800 * 0 * 0,0000 * 1/1 / 12 =</v>
      </c>
      <c r="L180" s="440" t="str">
        <f t="shared" si="324"/>
        <v>= 2.800 * 0 * 0,0000 * 1/1 / 12 =</v>
      </c>
      <c r="M180" s="440" t="str">
        <f t="shared" si="324"/>
        <v>= 2.800 * 0 * 0,0000 * 1/1 / 12 =</v>
      </c>
      <c r="N180" s="440" t="str">
        <f t="shared" si="324"/>
        <v>= 2.800 * 0 * 0,0000 * 1/1 / 12 =</v>
      </c>
      <c r="O180" s="440" t="str">
        <f t="shared" si="324"/>
        <v>= 2.800 *  * 0,0000 * 1/1 / 12 =</v>
      </c>
      <c r="P180" s="440" t="str">
        <f t="shared" si="324"/>
        <v>= 2.800 * 0 * 0,0000 * 1/1 / 12 =</v>
      </c>
      <c r="Q180" s="440" t="str">
        <f t="shared" ref="Q180:S180" si="325">"= 2.800 * "&amp;Q6&amp;" * "&amp;TEXT(Q$10,"0,0000")&amp;" * "&amp;TEXT(Q$3,"#0/#0")&amp;" / 12 ="</f>
        <v>= 2.800 * 0 * 0,0000 * 1/1 / 12 =</v>
      </c>
      <c r="R180" s="440" t="str">
        <f t="shared" si="325"/>
        <v>= 2.800 * 0 * 0,0000 * 1/1 / 12 =</v>
      </c>
      <c r="S180" s="440" t="str">
        <f t="shared" si="325"/>
        <v>= 2.800 *  * 0,0000 * 0/1 / 12 =</v>
      </c>
      <c r="T180" s="935" t="str">
        <f t="shared" si="323"/>
        <v>= 2.800 * 1,233095 * 0,0000 * 1/1 / 12 =</v>
      </c>
      <c r="U180" s="440" t="str">
        <f t="shared" si="323"/>
        <v>= 2.800 * 1,233095 * 0,0000 * 1/1 / 12 =</v>
      </c>
      <c r="V180" s="440" t="str">
        <f t="shared" si="323"/>
        <v>= 2.800 * 1,233095 * 0,0000 * 1/1 / 12 =</v>
      </c>
      <c r="W180" s="440" t="str">
        <f t="shared" si="323"/>
        <v>= 2.800 * 0 * 0,0000 * 1/1 / 12 =</v>
      </c>
      <c r="X180" s="440" t="str">
        <f t="shared" si="323"/>
        <v>= 2.800 * 0 * 0,0000 * 1/1 / 12 =</v>
      </c>
      <c r="Y180" s="440" t="str">
        <f t="shared" si="323"/>
        <v>= 2.800 * 0 * 0,0000 * 1/1 / 12 =</v>
      </c>
      <c r="Z180" s="440" t="str">
        <f t="shared" si="323"/>
        <v>= 2.800 * 0 * 0,0000 * 1/1 / 12 =</v>
      </c>
      <c r="AA180" s="440" t="str">
        <f t="shared" si="323"/>
        <v>= 2.800 * 0 * 0,0000 * 1/1 / 12 =</v>
      </c>
      <c r="AB180" s="440" t="str">
        <f t="shared" si="323"/>
        <v>= 2.800 * 0 * 0,0000 * 1/1 / 12 =</v>
      </c>
      <c r="AC180" s="440" t="str">
        <f t="shared" si="323"/>
        <v>= 2.800 * 0 * 0,0000 * 1/1 / 12 =</v>
      </c>
      <c r="AD180" s="440" t="str">
        <f t="shared" si="323"/>
        <v>= 2.800 * 0 * 0,0000 * 1/1 / 12 =</v>
      </c>
      <c r="AE180" s="440" t="str">
        <f t="shared" si="323"/>
        <v>= 2.800 * 0 * 0,0000 * 1/1 / 12 =</v>
      </c>
      <c r="AF180" s="436"/>
      <c r="AG180" s="436"/>
    </row>
    <row r="181" spans="1:33" s="3" customFormat="1">
      <c r="A181" s="436"/>
      <c r="B181" s="341">
        <f t="shared" si="292"/>
        <v>15</v>
      </c>
      <c r="C181" s="439"/>
      <c r="D181" s="439">
        <f t="shared" si="290"/>
        <v>64</v>
      </c>
      <c r="E181" s="439"/>
      <c r="F181" s="443" t="s">
        <v>711</v>
      </c>
      <c r="G181" s="440" t="str">
        <f>"= 4100 * "&amp;G6&amp;" * "&amp;TEXT(G$10,"0,0000")&amp;" * "&amp;TEXT(G$3,"#0/#0")&amp;" / 12 ="</f>
        <v>= 4100 * 1,233095 * 0,0000 * 1/1 / 12 =</v>
      </c>
      <c r="H181" s="440" t="str">
        <f t="shared" ref="H181:AE181" si="326">"= 4100 * "&amp;H6&amp;" * "&amp;TEXT(H$10,"0,0000")&amp;" * "&amp;TEXT(H$3,"#0/#0")&amp;" / 12 ="</f>
        <v>= 4100 * 1,233095 * 0,0000 * 1/1 / 12 =</v>
      </c>
      <c r="I181" s="440" t="str">
        <f t="shared" si="326"/>
        <v>= 4100 * 1,233095 * 0,0000 * 1/1 / 12 =</v>
      </c>
      <c r="J181" s="440" t="str">
        <f t="shared" si="326"/>
        <v>= 4100 *  * 0,0000 * 1/1 / 12 =</v>
      </c>
      <c r="K181" s="440" t="str">
        <f t="shared" si="326"/>
        <v>= 4100 * 0 * 0,0000 * 1/1 / 12 =</v>
      </c>
      <c r="L181" s="440" t="str">
        <f t="shared" si="326"/>
        <v>= 4100 * 0 * 0,0000 * 1/1 / 12 =</v>
      </c>
      <c r="M181" s="440" t="str">
        <f t="shared" si="326"/>
        <v>= 4100 * 0 * 0,0000 * 1/1 / 12 =</v>
      </c>
      <c r="N181" s="440" t="str">
        <f t="shared" si="326"/>
        <v>= 4100 * 0 * 0,0000 * 1/1 / 12 =</v>
      </c>
      <c r="O181" s="440" t="str">
        <f t="shared" si="326"/>
        <v>= 4100 *  * 0,0000 * 1/1 / 12 =</v>
      </c>
      <c r="P181" s="440" t="str">
        <f t="shared" si="326"/>
        <v>= 4100 * 0 * 0,0000 * 1/1 / 12 =</v>
      </c>
      <c r="Q181" s="440" t="str">
        <f t="shared" si="326"/>
        <v>= 4100 * 0 * 0,0000 * 1/1 / 12 =</v>
      </c>
      <c r="R181" s="440" t="str">
        <f t="shared" si="326"/>
        <v>= 4100 * 0 * 0,0000 * 1/1 / 12 =</v>
      </c>
      <c r="S181" s="440" t="str">
        <f t="shared" si="326"/>
        <v>= 4100 *  * 0,0000 * 0/1 / 12 =</v>
      </c>
      <c r="T181" s="440" t="str">
        <f t="shared" si="326"/>
        <v>= 4100 * 1,233095 * 0,0000 * 1/1 / 12 =</v>
      </c>
      <c r="U181" s="440" t="str">
        <f t="shared" si="326"/>
        <v>= 4100 * 1,233095 * 0,0000 * 1/1 / 12 =</v>
      </c>
      <c r="V181" s="440" t="str">
        <f t="shared" si="326"/>
        <v>= 4100 * 1,233095 * 0,0000 * 1/1 / 12 =</v>
      </c>
      <c r="W181" s="440" t="str">
        <f t="shared" si="326"/>
        <v>= 4100 * 0 * 0,0000 * 1/1 / 12 =</v>
      </c>
      <c r="X181" s="440" t="str">
        <f t="shared" si="326"/>
        <v>= 4100 * 0 * 0,0000 * 1/1 / 12 =</v>
      </c>
      <c r="Y181" s="440" t="str">
        <f t="shared" si="326"/>
        <v>= 4100 * 0 * 0,0000 * 1/1 / 12 =</v>
      </c>
      <c r="Z181" s="440" t="str">
        <f t="shared" si="326"/>
        <v>= 4100 * 0 * 0,0000 * 1/1 / 12 =</v>
      </c>
      <c r="AA181" s="440" t="str">
        <f t="shared" si="326"/>
        <v>= 4100 * 0 * 0,0000 * 1/1 / 12 =</v>
      </c>
      <c r="AB181" s="440" t="str">
        <f t="shared" si="326"/>
        <v>= 4100 * 0 * 0,0000 * 1/1 / 12 =</v>
      </c>
      <c r="AC181" s="440" t="str">
        <f t="shared" si="326"/>
        <v>= 4100 * 0 * 0,0000 * 1/1 / 12 =</v>
      </c>
      <c r="AD181" s="440" t="str">
        <f t="shared" si="326"/>
        <v>= 4100 * 0 * 0,0000 * 1/1 / 12 =</v>
      </c>
      <c r="AE181" s="440" t="str">
        <f t="shared" si="326"/>
        <v>= 4100 * 0 * 0,0000 * 1/1 / 12 =</v>
      </c>
      <c r="AF181" s="436"/>
      <c r="AG181" s="436"/>
    </row>
    <row r="182" spans="1:33" s="3" customFormat="1">
      <c r="A182" s="436"/>
      <c r="B182" s="341">
        <f t="shared" si="292"/>
        <v>16</v>
      </c>
      <c r="C182" s="439"/>
      <c r="D182" s="439">
        <f t="shared" si="290"/>
        <v>65</v>
      </c>
      <c r="E182" s="439"/>
      <c r="F182" s="443" t="s">
        <v>159</v>
      </c>
      <c r="G182" s="440" t="str">
        <f t="shared" ref="G182:AE182" si="327">"= "&amp;TEXT(G23,"#.###,00")&amp;IF($E23&lt;&gt;""," * "&amp;G$6,"")&amp;IF($D23&lt;&gt;""," * "&amp;TEXT(G$10,"0,0000"),"")&amp;" * "&amp;TEXT(G$3,"#0/#0")&amp;" / 12 ="</f>
        <v>= ,00 * 1/1 / 12 =</v>
      </c>
      <c r="H182" s="440" t="str">
        <f t="shared" ref="H182:P182" si="328">"= "&amp;TEXT(H23,"#.###,00")&amp;IF($E23&lt;&gt;""," * "&amp;H$6,"")&amp;IF($D23&lt;&gt;""," * "&amp;TEXT(H$10,"0,0000"),"")&amp;" * "&amp;TEXT(H$3,"#0/#0")&amp;" / 12 ="</f>
        <v>= ,00 * 1/1 / 12 =</v>
      </c>
      <c r="I182" s="440" t="str">
        <f t="shared" si="328"/>
        <v>= ,00 * 1/1 / 12 =</v>
      </c>
      <c r="J182" s="440" t="str">
        <f t="shared" si="328"/>
        <v>= ,00 * 1/1 / 12 =</v>
      </c>
      <c r="K182" s="440" t="str">
        <f t="shared" si="328"/>
        <v>= ,00 * 1/1 / 12 =</v>
      </c>
      <c r="L182" s="440" t="str">
        <f t="shared" si="328"/>
        <v>= ,00 * 1/1 / 12 =</v>
      </c>
      <c r="M182" s="440" t="str">
        <f t="shared" si="328"/>
        <v>= ,00 * 1/1 / 12 =</v>
      </c>
      <c r="N182" s="440" t="str">
        <f t="shared" si="328"/>
        <v>= ,00 * 1/1 / 12 =</v>
      </c>
      <c r="O182" s="440" t="str">
        <f t="shared" si="328"/>
        <v>= ,00 * 1/1 / 12 =</v>
      </c>
      <c r="P182" s="440" t="str">
        <f t="shared" si="328"/>
        <v>= ,00 * 1/1 / 12 =</v>
      </c>
      <c r="Q182" s="440" t="str">
        <f t="shared" ref="Q182:S182" si="329">"= "&amp;TEXT(Q23,"#.###,00")&amp;IF($E23&lt;&gt;""," * "&amp;Q$6,"")&amp;IF($D23&lt;&gt;""," * "&amp;TEXT(Q$10,"0,0000"),"")&amp;" * "&amp;TEXT(Q$3,"#0/#0")&amp;" / 12 ="</f>
        <v>= ,00 * 1/1 / 12 =</v>
      </c>
      <c r="R182" s="440" t="str">
        <f t="shared" si="329"/>
        <v>= ,00 * 1/1 / 12 =</v>
      </c>
      <c r="S182" s="440" t="str">
        <f t="shared" si="329"/>
        <v>= ,00 * 0/1 / 12 =</v>
      </c>
      <c r="T182" s="935" t="str">
        <f t="shared" si="327"/>
        <v>= ,00 * 1/1 / 12 =</v>
      </c>
      <c r="U182" s="440" t="str">
        <f t="shared" si="327"/>
        <v>= ,00 * 1/1 / 12 =</v>
      </c>
      <c r="V182" s="440" t="str">
        <f t="shared" si="327"/>
        <v>= ,00 * 1/1 / 12 =</v>
      </c>
      <c r="W182" s="440" t="str">
        <f t="shared" si="327"/>
        <v>= ,00 * 1/1 / 12 =</v>
      </c>
      <c r="X182" s="440" t="str">
        <f t="shared" si="327"/>
        <v>= ,00 * 1/1 / 12 =</v>
      </c>
      <c r="Y182" s="440" t="str">
        <f t="shared" si="327"/>
        <v>= ,00 * 1/1 / 12 =</v>
      </c>
      <c r="Z182" s="440" t="str">
        <f t="shared" si="327"/>
        <v>= ,00 * 1/1 / 12 =</v>
      </c>
      <c r="AA182" s="440" t="str">
        <f t="shared" si="327"/>
        <v>= ,00 * 1/1 / 12 =</v>
      </c>
      <c r="AB182" s="440" t="str">
        <f t="shared" si="327"/>
        <v>= ,00 * 1/1 / 12 =</v>
      </c>
      <c r="AC182" s="440" t="str">
        <f t="shared" si="327"/>
        <v>= ,00 * 1/1 / 12 =</v>
      </c>
      <c r="AD182" s="440" t="str">
        <f t="shared" si="327"/>
        <v>= ,00 * 1/1 / 12 =</v>
      </c>
      <c r="AE182" s="440" t="str">
        <f t="shared" si="327"/>
        <v>= ,00 * 1/1 / 12 =</v>
      </c>
      <c r="AF182" s="436"/>
      <c r="AG182" s="436"/>
    </row>
    <row r="183" spans="1:33" s="3" customFormat="1">
      <c r="A183" s="436"/>
      <c r="B183" s="341">
        <f t="shared" si="292"/>
        <v>17</v>
      </c>
      <c r="C183" s="439"/>
      <c r="D183" s="439">
        <f t="shared" si="290"/>
        <v>66</v>
      </c>
      <c r="E183" s="439"/>
      <c r="F183" s="443" t="s">
        <v>160</v>
      </c>
      <c r="G183" s="440" t="str">
        <f>"= 108,35 * "&amp;TEXT(G$3,"#0/#0")&amp;" ="</f>
        <v>= 108,35 * 1/1 =</v>
      </c>
      <c r="H183" s="440" t="str">
        <f t="shared" ref="H183:S183" si="330">"= 108,35 * "&amp;TEXT(H$3,"#0/#0")&amp;" ="</f>
        <v>= 108,35 * 1/1 =</v>
      </c>
      <c r="I183" s="440" t="str">
        <f t="shared" si="330"/>
        <v>= 108,35 * 1/1 =</v>
      </c>
      <c r="J183" s="440" t="str">
        <f t="shared" si="330"/>
        <v>= 108,35 * 1/1 =</v>
      </c>
      <c r="K183" s="440" t="str">
        <f t="shared" si="330"/>
        <v>= 108,35 * 1/1 =</v>
      </c>
      <c r="L183" s="440" t="str">
        <f t="shared" si="330"/>
        <v>= 108,35 * 1/1 =</v>
      </c>
      <c r="M183" s="440" t="str">
        <f t="shared" si="330"/>
        <v>= 108,35 * 1/1 =</v>
      </c>
      <c r="N183" s="440" t="str">
        <f t="shared" si="330"/>
        <v>= 108,35 * 1/1 =</v>
      </c>
      <c r="O183" s="440" t="str">
        <f t="shared" si="330"/>
        <v>= 108,35 * 1/1 =</v>
      </c>
      <c r="P183" s="440" t="str">
        <f>"= 108,35 * "&amp;TEXT(P$3,"#0/#0")&amp;" ="</f>
        <v>= 108,35 * 1/1 =</v>
      </c>
      <c r="Q183" s="440" t="str">
        <f t="shared" si="330"/>
        <v>= 108,35 * 1/1 =</v>
      </c>
      <c r="R183" s="440" t="str">
        <f t="shared" si="330"/>
        <v>= 108,35 * 1/1 =</v>
      </c>
      <c r="S183" s="440" t="str">
        <f t="shared" si="330"/>
        <v>= 108,35 * 0/1 =</v>
      </c>
      <c r="T183" s="935" t="str">
        <f>"= 108,35 * "&amp;TEXT(T$3,"#0/#0")&amp;" ="</f>
        <v>= 108,35 * 1/1 =</v>
      </c>
      <c r="U183" s="440" t="str">
        <f t="shared" ref="U183:AE183" si="331">"= 108,35 * "&amp;TEXT(U$3,"#0/#0")&amp;" ="</f>
        <v>= 108,35 * 1/1 =</v>
      </c>
      <c r="V183" s="440" t="str">
        <f t="shared" si="331"/>
        <v>= 108,35 * 1/1 =</v>
      </c>
      <c r="W183" s="440" t="str">
        <f t="shared" si="331"/>
        <v>= 108,35 * 1/1 =</v>
      </c>
      <c r="X183" s="440" t="str">
        <f t="shared" si="331"/>
        <v>= 108,35 * 1/1 =</v>
      </c>
      <c r="Y183" s="440" t="str">
        <f t="shared" si="331"/>
        <v>= 108,35 * 1/1 =</v>
      </c>
      <c r="Z183" s="440" t="str">
        <f t="shared" si="331"/>
        <v>= 108,35 * 1/1 =</v>
      </c>
      <c r="AA183" s="440" t="str">
        <f t="shared" si="331"/>
        <v>= 108,35 * 1/1 =</v>
      </c>
      <c r="AB183" s="440" t="str">
        <f t="shared" si="331"/>
        <v>= 108,35 * 1/1 =</v>
      </c>
      <c r="AC183" s="440" t="str">
        <f t="shared" si="331"/>
        <v>= 108,35 * 1/1 =</v>
      </c>
      <c r="AD183" s="440" t="str">
        <f t="shared" si="331"/>
        <v>= 108,35 * 1/1 =</v>
      </c>
      <c r="AE183" s="440" t="str">
        <f t="shared" si="331"/>
        <v>= 108,35 * 1/1 =</v>
      </c>
      <c r="AF183" s="436"/>
      <c r="AG183" s="436"/>
    </row>
    <row r="184" spans="1:33" s="3" customFormat="1">
      <c r="A184" s="436"/>
      <c r="B184" s="342">
        <f t="shared" si="292"/>
        <v>18</v>
      </c>
      <c r="C184" s="439"/>
      <c r="D184" s="439">
        <f t="shared" si="290"/>
        <v>67</v>
      </c>
      <c r="E184" s="439"/>
      <c r="F184" s="443" t="s">
        <v>551</v>
      </c>
      <c r="G184" s="440" t="str">
        <f>"= "&amp;-(MAX(0,MIN(G$24,G$25*1))+G$28)&amp;" * 4,62% * SUM(lin. 1; lin. 3 - 12; lin. 14-15;"&amp;(IF(AND($C$68=1,G$68&gt;0)," lin. 16","; ")&amp;") =")</f>
        <v>= 0 * 4,62% * SUM(lin. 1; lin. 3 - 12; lin. 14-15;; ) =</v>
      </c>
      <c r="H184" s="440" t="str">
        <f t="shared" ref="H184:S184" si="332">"= "&amp;-(MAX(0,MIN(H$24,H$25*1))+H$28)&amp;" * 4,62% * SUM(lin. 1; lin. 3 - 12; lin. 14-15;"&amp;(IF(AND($C$68=1,H$68&gt;0)," lin. 16","; ")&amp;") =")</f>
        <v>= 0 * 4,62% * SUM(lin. 1; lin. 3 - 12; lin. 14-15;; ) =</v>
      </c>
      <c r="I184" s="440" t="str">
        <f t="shared" si="332"/>
        <v>= 0 * 4,62% * SUM(lin. 1; lin. 3 - 12; lin. 14-15;; ) =</v>
      </c>
      <c r="J184" s="440" t="str">
        <f t="shared" si="332"/>
        <v>= 0 * 4,62% * SUM(lin. 1; lin. 3 - 12; lin. 14-15;; ) =</v>
      </c>
      <c r="K184" s="440" t="str">
        <f t="shared" si="332"/>
        <v>= 0 * 4,62% * SUM(lin. 1; lin. 3 - 12; lin. 14-15;; ) =</v>
      </c>
      <c r="L184" s="440" t="str">
        <f t="shared" si="332"/>
        <v>= 0 * 4,62% * SUM(lin. 1; lin. 3 - 12; lin. 14-15;; ) =</v>
      </c>
      <c r="M184" s="440" t="str">
        <f t="shared" si="332"/>
        <v>= 0 * 4,62% * SUM(lin. 1; lin. 3 - 12; lin. 14-15;; ) =</v>
      </c>
      <c r="N184" s="440" t="str">
        <f t="shared" si="332"/>
        <v>= 0 * 4,62% * SUM(lin. 1; lin. 3 - 12; lin. 14-15;; ) =</v>
      </c>
      <c r="O184" s="440" t="str">
        <f t="shared" si="332"/>
        <v>= 0 * 4,62% * SUM(lin. 1; lin. 3 - 12; lin. 14-15;; ) =</v>
      </c>
      <c r="P184" s="440" t="str">
        <f t="shared" si="332"/>
        <v>= 0 * 4,62% * SUM(lin. 1; lin. 3 - 12; lin. 14-15;; ) =</v>
      </c>
      <c r="Q184" s="440" t="str">
        <f t="shared" si="332"/>
        <v>= 0 * 4,62% * SUM(lin. 1; lin. 3 - 12; lin. 14-15;; ) =</v>
      </c>
      <c r="R184" s="440" t="str">
        <f t="shared" si="332"/>
        <v>= 0 * 4,62% * SUM(lin. 1; lin. 3 - 12; lin. 14-15;; ) =</v>
      </c>
      <c r="S184" s="440" t="str">
        <f t="shared" si="332"/>
        <v>= 0 * 4,62% * SUM(lin. 1; lin. 3 - 12; lin. 14-15;; ) =</v>
      </c>
      <c r="T184" s="935" t="str">
        <f t="shared" ref="T184:AE184" si="333">"= "&amp;-(MAX(0,MIN(T$24,T$25*1))+T$28)&amp;" * 4,62% * SUM(lin. 1; lin. 3 - 12; lin. 14-15"&amp;(IF(AND($C$68=1,T$68&gt;0)," - 16","; ")&amp;") =")</f>
        <v>= 0 * 4,62% * SUM(lin. 1; lin. 3 - 12; lin. 14-15; ) =</v>
      </c>
      <c r="U184" s="440" t="str">
        <f t="shared" si="333"/>
        <v>= 0 * 4,62% * SUM(lin. 1; lin. 3 - 12; lin. 14-15; ) =</v>
      </c>
      <c r="V184" s="440" t="str">
        <f t="shared" si="333"/>
        <v>= 0 * 4,62% * SUM(lin. 1; lin. 3 - 12; lin. 14-15; ) =</v>
      </c>
      <c r="W184" s="440" t="str">
        <f t="shared" si="333"/>
        <v>= 0 * 4,62% * SUM(lin. 1; lin. 3 - 12; lin. 14-15; ) =</v>
      </c>
      <c r="X184" s="440" t="str">
        <f t="shared" si="333"/>
        <v>= 0 * 4,62% * SUM(lin. 1; lin. 3 - 12; lin. 14-15; ) =</v>
      </c>
      <c r="Y184" s="440" t="str">
        <f t="shared" si="333"/>
        <v>= 0 * 4,62% * SUM(lin. 1; lin. 3 - 12; lin. 14-15; ) =</v>
      </c>
      <c r="Z184" s="440" t="str">
        <f t="shared" si="333"/>
        <v>= 0 * 4,62% * SUM(lin. 1; lin. 3 - 12; lin. 14-15; ) =</v>
      </c>
      <c r="AA184" s="440" t="str">
        <f t="shared" si="333"/>
        <v>= 0 * 4,62% * SUM(lin. 1; lin. 3 - 12; lin. 14-15; ) =</v>
      </c>
      <c r="AB184" s="440" t="str">
        <f t="shared" si="333"/>
        <v>= 0 * 4,62% * SUM(lin. 1; lin. 3 - 12; lin. 14-15; ) =</v>
      </c>
      <c r="AC184" s="440" t="str">
        <f t="shared" si="333"/>
        <v>= 0 * 4,62% * SUM(lin. 1; lin. 3 - 12; lin. 14-15; ) =</v>
      </c>
      <c r="AD184" s="440" t="str">
        <f t="shared" si="333"/>
        <v>= 0 * 4,62% * SUM(lin. 1; lin. 3 - 12; lin. 14-15; ) =</v>
      </c>
      <c r="AE184" s="440" t="str">
        <f t="shared" si="333"/>
        <v>= 0 * 4,62% * SUM(lin. 1; lin. 3 - 12; lin. 14-15; ) =</v>
      </c>
      <c r="AF184" s="436"/>
      <c r="AG184" s="436"/>
    </row>
    <row r="185" spans="1:33" s="3" customFormat="1">
      <c r="A185" s="436"/>
      <c r="B185" s="341">
        <f t="shared" si="292"/>
        <v>19</v>
      </c>
      <c r="C185" s="439"/>
      <c r="D185" s="439">
        <f t="shared" si="290"/>
        <v>68</v>
      </c>
      <c r="E185" s="439"/>
      <c r="F185" s="443" t="s">
        <v>552</v>
      </c>
      <c r="G185" s="440" t="str">
        <f t="shared" ref="G185:AE185" si="334">"= "&amp;-(MAX(0,MIN(G$24,G$25*1))+G$28)&amp;" * 4,62% * SUM(lin. 2; lin. 13"&amp;(IF(AND($C$68=1,G$68&gt;0),";"," ; lin. 16")&amp;") =")</f>
        <v>= 0 * 4,62% * SUM(lin. 2; lin. 13 ; lin. 16) =</v>
      </c>
      <c r="H185" s="440" t="str">
        <f t="shared" si="334"/>
        <v>= 0 * 4,62% * SUM(lin. 2; lin. 13 ; lin. 16) =</v>
      </c>
      <c r="I185" s="440" t="str">
        <f t="shared" si="334"/>
        <v>= 0 * 4,62% * SUM(lin. 2; lin. 13 ; lin. 16) =</v>
      </c>
      <c r="J185" s="440" t="str">
        <f t="shared" si="334"/>
        <v>= 0 * 4,62% * SUM(lin. 2; lin. 13 ; lin. 16) =</v>
      </c>
      <c r="K185" s="440" t="str">
        <f t="shared" si="334"/>
        <v>= 0 * 4,62% * SUM(lin. 2; lin. 13 ; lin. 16) =</v>
      </c>
      <c r="L185" s="440" t="str">
        <f t="shared" si="334"/>
        <v>= 0 * 4,62% * SUM(lin. 2; lin. 13 ; lin. 16) =</v>
      </c>
      <c r="M185" s="440" t="str">
        <f t="shared" si="334"/>
        <v>= 0 * 4,62% * SUM(lin. 2; lin. 13 ; lin. 16) =</v>
      </c>
      <c r="N185" s="440" t="str">
        <f t="shared" si="334"/>
        <v>= 0 * 4,62% * SUM(lin. 2; lin. 13 ; lin. 16) =</v>
      </c>
      <c r="O185" s="440" t="str">
        <f t="shared" si="334"/>
        <v>= 0 * 4,62% * SUM(lin. 2; lin. 13 ; lin. 16) =</v>
      </c>
      <c r="P185" s="440" t="str">
        <f t="shared" si="334"/>
        <v>= 0 * 4,62% * SUM(lin. 2; lin. 13 ; lin. 16) =</v>
      </c>
      <c r="Q185" s="440" t="str">
        <f t="shared" si="334"/>
        <v>= 0 * 4,62% * SUM(lin. 2; lin. 13 ; lin. 16) =</v>
      </c>
      <c r="R185" s="440" t="str">
        <f t="shared" si="334"/>
        <v>= 0 * 4,62% * SUM(lin. 2; lin. 13 ; lin. 16) =</v>
      </c>
      <c r="S185" s="440" t="str">
        <f t="shared" si="334"/>
        <v>= 0 * 4,62% * SUM(lin. 2; lin. 13 ; lin. 16) =</v>
      </c>
      <c r="T185" s="935" t="str">
        <f t="shared" si="334"/>
        <v>= 0 * 4,62% * SUM(lin. 2; lin. 13 ; lin. 16) =</v>
      </c>
      <c r="U185" s="440" t="str">
        <f t="shared" si="334"/>
        <v>= 0 * 4,62% * SUM(lin. 2; lin. 13 ; lin. 16) =</v>
      </c>
      <c r="V185" s="440" t="str">
        <f t="shared" si="334"/>
        <v>= 0 * 4,62% * SUM(lin. 2; lin. 13 ; lin. 16) =</v>
      </c>
      <c r="W185" s="440" t="str">
        <f t="shared" si="334"/>
        <v>= 0 * 4,62% * SUM(lin. 2; lin. 13 ; lin. 16) =</v>
      </c>
      <c r="X185" s="440" t="str">
        <f t="shared" si="334"/>
        <v>= 0 * 4,62% * SUM(lin. 2; lin. 13 ; lin. 16) =</v>
      </c>
      <c r="Y185" s="440" t="str">
        <f t="shared" si="334"/>
        <v>= 0 * 4,62% * SUM(lin. 2; lin. 13 ; lin. 16) =</v>
      </c>
      <c r="Z185" s="440" t="str">
        <f t="shared" si="334"/>
        <v>= 0 * 4,62% * SUM(lin. 2; lin. 13 ; lin. 16) =</v>
      </c>
      <c r="AA185" s="440" t="str">
        <f t="shared" si="334"/>
        <v>= 0 * 4,62% * SUM(lin. 2; lin. 13 ; lin. 16) =</v>
      </c>
      <c r="AB185" s="440" t="str">
        <f t="shared" si="334"/>
        <v>= 0 * 4,62% * SUM(lin. 2; lin. 13 ; lin. 16) =</v>
      </c>
      <c r="AC185" s="440" t="str">
        <f t="shared" si="334"/>
        <v>= 0 * 4,62% * SUM(lin. 2; lin. 13 ; lin. 16) =</v>
      </c>
      <c r="AD185" s="440" t="str">
        <f t="shared" si="334"/>
        <v>= 0 * 4,62% * SUM(lin. 2; lin. 13 ; lin. 16) =</v>
      </c>
      <c r="AE185" s="440" t="str">
        <f t="shared" si="334"/>
        <v>= 0 * 4,62% * SUM(lin. 2; lin. 13 ; lin. 16) =</v>
      </c>
      <c r="AF185" s="436"/>
      <c r="AG185" s="436"/>
    </row>
    <row r="186" spans="1:33" s="3" customFormat="1">
      <c r="A186" s="436"/>
      <c r="B186" s="342">
        <f t="shared" si="292"/>
        <v>20</v>
      </c>
      <c r="C186" s="439"/>
      <c r="D186" s="439">
        <f t="shared" si="290"/>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290"/>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290"/>
        <v>71</v>
      </c>
      <c r="E188" s="439"/>
      <c r="F188" s="443" t="s">
        <v>419</v>
      </c>
      <c r="G188" s="440" t="str">
        <f t="shared" ref="G188" si="335">"= "&amp;G31&amp;" km a "&amp;TEXT($D$31,"0,00")&amp;" ="</f>
        <v>=  km a 2,23 =</v>
      </c>
      <c r="H188" s="440" t="str">
        <f t="shared" ref="H188:P188" si="336">"= "&amp;H31&amp;" km a "&amp;TEXT($D$31,"0,00")&amp;" ="</f>
        <v>=  km a 2,23 =</v>
      </c>
      <c r="I188" s="440" t="str">
        <f t="shared" si="336"/>
        <v>=  km a 2,23 =</v>
      </c>
      <c r="J188" s="440" t="str">
        <f t="shared" si="336"/>
        <v>=  km a 2,23 =</v>
      </c>
      <c r="K188" s="440" t="str">
        <f t="shared" si="336"/>
        <v>=  km a 2,23 =</v>
      </c>
      <c r="L188" s="440" t="str">
        <f t="shared" si="336"/>
        <v>=  km a 2,23 =</v>
      </c>
      <c r="M188" s="440" t="str">
        <f t="shared" si="336"/>
        <v>=  km a 2,23 =</v>
      </c>
      <c r="N188" s="440" t="str">
        <f t="shared" si="336"/>
        <v>=  km a 2,23 =</v>
      </c>
      <c r="O188" s="440" t="str">
        <f t="shared" si="336"/>
        <v>=  km a 2,23 =</v>
      </c>
      <c r="P188" s="440" t="str">
        <f t="shared" si="336"/>
        <v>=  km a 2,23 =</v>
      </c>
      <c r="Q188" s="440" t="str">
        <f t="shared" ref="Q188:S188" si="337">"= "&amp;Q31&amp;" km a "&amp;TEXT($D$31,"0,00")&amp;" ="</f>
        <v>=  km a 2,23 =</v>
      </c>
      <c r="R188" s="440" t="str">
        <f t="shared" si="337"/>
        <v>=  km a 2,23 =</v>
      </c>
      <c r="S188" s="440" t="str">
        <f t="shared" si="337"/>
        <v>=  km a 2,23 =</v>
      </c>
      <c r="T188" s="935" t="str">
        <f t="shared" ref="T188:Y188" si="338">"= "&amp;T31&amp;" km a "&amp;TEXT($D$31,"0,00")&amp;" ="</f>
        <v>= 0 km a 2,23 =</v>
      </c>
      <c r="U188" s="440" t="str">
        <f t="shared" si="338"/>
        <v>= 0 km a 2,23 =</v>
      </c>
      <c r="V188" s="440" t="str">
        <f t="shared" si="338"/>
        <v>= 0 km a 2,23 =</v>
      </c>
      <c r="W188" s="440" t="str">
        <f t="shared" si="338"/>
        <v>= 0 km a 2,23 =</v>
      </c>
      <c r="X188" s="440" t="str">
        <f t="shared" si="338"/>
        <v>= 0 km a 2,23 =</v>
      </c>
      <c r="Y188" s="440" t="str">
        <f t="shared" si="338"/>
        <v>= 0 km a 2,23 =</v>
      </c>
      <c r="Z188" s="444" t="str">
        <f t="shared" ref="Z188:AE188" si="339">"= "&amp;Z31&amp;" km a "&amp;TEXT($E$31,"0,00")&amp;" ="</f>
        <v>= 0 km a 0,00 =</v>
      </c>
      <c r="AA188" s="444" t="str">
        <f t="shared" si="339"/>
        <v>= 0 km a 0,00 =</v>
      </c>
      <c r="AB188" s="444" t="str">
        <f t="shared" si="339"/>
        <v>= 0 km a 0,00 =</v>
      </c>
      <c r="AC188" s="444" t="str">
        <f t="shared" si="339"/>
        <v>= 0 km a 0,00 =</v>
      </c>
      <c r="AD188" s="444" t="str">
        <f t="shared" si="339"/>
        <v>= 0 km a 0,00 =</v>
      </c>
      <c r="AE188" s="444" t="str">
        <f t="shared" si="339"/>
        <v>= 0 km a 0,00 =</v>
      </c>
      <c r="AF188" s="436"/>
      <c r="AG188" s="436"/>
    </row>
    <row r="189" spans="1:33" s="3" customFormat="1">
      <c r="A189" s="436"/>
      <c r="B189" s="611">
        <v>23</v>
      </c>
      <c r="C189" s="439"/>
      <c r="D189" s="439">
        <f t="shared" si="290"/>
        <v>72</v>
      </c>
      <c r="E189" s="439"/>
      <c r="F189" s="443" t="s">
        <v>420</v>
      </c>
      <c r="G189" s="440" t="str">
        <f t="shared" ref="G189" si="340">"= "&amp;G32&amp;" km a "&amp;TEXT($D$32,"0,00")&amp;" ="</f>
        <v>=  km a 3,81 =</v>
      </c>
      <c r="H189" s="440" t="str">
        <f t="shared" ref="H189:P189" si="341">"= "&amp;H32&amp;" km a "&amp;TEXT($D$32,"0,00")&amp;" ="</f>
        <v>=  km a 3,81 =</v>
      </c>
      <c r="I189" s="440" t="str">
        <f t="shared" si="341"/>
        <v>=  km a 3,81 =</v>
      </c>
      <c r="J189" s="440" t="str">
        <f t="shared" si="341"/>
        <v>=  km a 3,81 =</v>
      </c>
      <c r="K189" s="440" t="str">
        <f t="shared" si="341"/>
        <v>=  km a 3,81 =</v>
      </c>
      <c r="L189" s="440" t="str">
        <f t="shared" si="341"/>
        <v>=  km a 3,81 =</v>
      </c>
      <c r="M189" s="440" t="str">
        <f t="shared" si="341"/>
        <v>=  km a 3,81 =</v>
      </c>
      <c r="N189" s="440" t="str">
        <f t="shared" si="341"/>
        <v>=  km a 3,81 =</v>
      </c>
      <c r="O189" s="440" t="str">
        <f t="shared" si="341"/>
        <v>=  km a 3,81 =</v>
      </c>
      <c r="P189" s="440" t="str">
        <f t="shared" si="341"/>
        <v>=  km a 3,81 =</v>
      </c>
      <c r="Q189" s="440" t="str">
        <f t="shared" ref="Q189:S189" si="342">"= "&amp;Q32&amp;" km a "&amp;TEXT($D$32,"0,00")&amp;" ="</f>
        <v>=  km a 3,81 =</v>
      </c>
      <c r="R189" s="440" t="str">
        <f t="shared" si="342"/>
        <v>=  km a 3,81 =</v>
      </c>
      <c r="S189" s="440" t="str">
        <f t="shared" si="342"/>
        <v>=  km a 3,81 =</v>
      </c>
      <c r="T189" s="935" t="str">
        <f t="shared" ref="T189:Y189" si="343">"= "&amp;T32&amp;" km a "&amp;TEXT($D$32,"0,00")&amp;" ="</f>
        <v>= 0 km a 3,81 =</v>
      </c>
      <c r="U189" s="440" t="str">
        <f t="shared" si="343"/>
        <v>= 0 km a 3,81 =</v>
      </c>
      <c r="V189" s="440" t="str">
        <f t="shared" si="343"/>
        <v>= 0 km a 3,81 =</v>
      </c>
      <c r="W189" s="440" t="str">
        <f t="shared" si="343"/>
        <v>= 0 km a 3,81 =</v>
      </c>
      <c r="X189" s="440" t="str">
        <f t="shared" si="343"/>
        <v>= 0 km a 3,81 =</v>
      </c>
      <c r="Y189" s="440" t="str">
        <f t="shared" si="343"/>
        <v>= 0 km a 3,81 =</v>
      </c>
      <c r="Z189" s="444" t="str">
        <f t="shared" ref="Z189:AE189" si="344">"= "&amp;Z32&amp;" km a "&amp;TEXT($E$32,"0,00")&amp;" ="</f>
        <v>= 0 km a 0,00 =</v>
      </c>
      <c r="AA189" s="444" t="str">
        <f t="shared" si="344"/>
        <v>= 0 km a 0,00 =</v>
      </c>
      <c r="AB189" s="444" t="str">
        <f t="shared" si="344"/>
        <v>= 0 km a 0,00 =</v>
      </c>
      <c r="AC189" s="444" t="str">
        <f t="shared" si="344"/>
        <v>= 0 km a 0,00 =</v>
      </c>
      <c r="AD189" s="444" t="str">
        <f t="shared" si="344"/>
        <v>= 0 km a 0,00 =</v>
      </c>
      <c r="AE189" s="444" t="str">
        <f t="shared" si="344"/>
        <v>= 0 km a 0,00 =</v>
      </c>
      <c r="AF189" s="436"/>
      <c r="AG189" s="436"/>
    </row>
    <row r="190" spans="1:33" s="3" customFormat="1">
      <c r="A190" s="436"/>
      <c r="B190" s="615">
        <v>24</v>
      </c>
      <c r="C190" s="439"/>
      <c r="D190" s="439">
        <f t="shared" si="290"/>
        <v>73</v>
      </c>
      <c r="E190" s="439"/>
      <c r="F190" s="445" t="s">
        <v>421</v>
      </c>
      <c r="G190" s="440" t="str">
        <f>"(spørg administrationen vedr. beregning)"</f>
        <v>(spørg administrationen vedr. beregning)</v>
      </c>
      <c r="H190" s="440" t="str">
        <f t="shared" ref="H190:S190" si="345">"(spørg administrationen vedr. beregning)"</f>
        <v>(spørg administrationen vedr. beregning)</v>
      </c>
      <c r="I190" s="440" t="str">
        <f t="shared" si="345"/>
        <v>(spørg administrationen vedr. beregning)</v>
      </c>
      <c r="J190" s="440" t="str">
        <f t="shared" si="345"/>
        <v>(spørg administrationen vedr. beregning)</v>
      </c>
      <c r="K190" s="440" t="str">
        <f t="shared" si="345"/>
        <v>(spørg administrationen vedr. beregning)</v>
      </c>
      <c r="L190" s="440" t="str">
        <f t="shared" si="345"/>
        <v>(spørg administrationen vedr. beregning)</v>
      </c>
      <c r="M190" s="440" t="str">
        <f t="shared" si="345"/>
        <v>(spørg administrationen vedr. beregning)</v>
      </c>
      <c r="N190" s="440" t="str">
        <f t="shared" si="345"/>
        <v>(spørg administrationen vedr. beregning)</v>
      </c>
      <c r="O190" s="440" t="str">
        <f t="shared" si="345"/>
        <v>(spørg administrationen vedr. beregning)</v>
      </c>
      <c r="P190" s="440" t="str">
        <f>"(spørg administrationen vedr. beregning)"</f>
        <v>(spørg administrationen vedr. beregning)</v>
      </c>
      <c r="Q190" s="440" t="str">
        <f t="shared" si="345"/>
        <v>(spørg administrationen vedr. beregning)</v>
      </c>
      <c r="R190" s="440" t="str">
        <f t="shared" si="345"/>
        <v>(spørg administrationen vedr. beregning)</v>
      </c>
      <c r="S190" s="440" t="str">
        <f t="shared" si="345"/>
        <v>(spørg administrationen vedr. beregning)</v>
      </c>
      <c r="T190" s="935" t="str">
        <f>"(spørg administrationen vedr. beregning)"</f>
        <v>(spørg administrationen vedr. beregning)</v>
      </c>
      <c r="U190" s="440" t="str">
        <f t="shared" ref="U190:AE190" si="346">"(spørg administrationen vedr. beregning)"</f>
        <v>(spørg administrationen vedr. beregning)</v>
      </c>
      <c r="V190" s="440" t="str">
        <f t="shared" si="346"/>
        <v>(spørg administrationen vedr. beregning)</v>
      </c>
      <c r="W190" s="440" t="str">
        <f t="shared" si="346"/>
        <v>(spørg administrationen vedr. beregning)</v>
      </c>
      <c r="X190" s="440" t="str">
        <f t="shared" si="346"/>
        <v>(spørg administrationen vedr. beregning)</v>
      </c>
      <c r="Y190" s="440" t="str">
        <f t="shared" si="346"/>
        <v>(spørg administrationen vedr. beregning)</v>
      </c>
      <c r="Z190" s="440" t="str">
        <f t="shared" si="346"/>
        <v>(spørg administrationen vedr. beregning)</v>
      </c>
      <c r="AA190" s="440" t="str">
        <f t="shared" si="346"/>
        <v>(spørg administrationen vedr. beregning)</v>
      </c>
      <c r="AB190" s="440" t="str">
        <f t="shared" si="346"/>
        <v>(spørg administrationen vedr. beregning)</v>
      </c>
      <c r="AC190" s="440" t="str">
        <f t="shared" si="346"/>
        <v>(spørg administrationen vedr. beregning)</v>
      </c>
      <c r="AD190" s="440" t="str">
        <f t="shared" si="346"/>
        <v>(spørg administrationen vedr. beregning)</v>
      </c>
      <c r="AE190" s="440" t="str">
        <f t="shared" si="346"/>
        <v>(spørg administrationen vedr. beregning)</v>
      </c>
      <c r="AF190" s="436"/>
      <c r="AG190" s="436"/>
    </row>
    <row r="191" spans="1:33" s="3" customFormat="1">
      <c r="A191" s="436"/>
      <c r="B191" s="611">
        <v>25</v>
      </c>
      <c r="C191" s="439"/>
      <c r="D191" s="439">
        <f t="shared" si="290"/>
        <v>74</v>
      </c>
      <c r="E191" s="439"/>
      <c r="F191" s="445" t="s">
        <v>422</v>
      </c>
      <c r="G191" s="440" t="str">
        <f>"= "&amp;TEXT(G34,"#.###")&amp;" (højst 8.000 kr. er skattefri, resten i lin. 33)"</f>
        <v>=  (højst 8.000 kr. er skattefri, resten i lin. 33)</v>
      </c>
      <c r="H191" s="440" t="str">
        <f t="shared" ref="H191:R191" si="347">"= "&amp;TEXT(H34,"#.###")&amp;" (højst 8.000 kr. er skattefri, resten i lin. 33)"</f>
        <v>=  (højst 8.000 kr. er skattefri, resten i lin. 33)</v>
      </c>
      <c r="I191" s="440" t="str">
        <f t="shared" si="347"/>
        <v>=  (højst 8.000 kr. er skattefri, resten i lin. 33)</v>
      </c>
      <c r="J191" s="440" t="str">
        <f t="shared" si="347"/>
        <v>=  (højst 8.000 kr. er skattefri, resten i lin. 33)</v>
      </c>
      <c r="K191" s="440" t="str">
        <f t="shared" si="347"/>
        <v>=  (højst 8.000 kr. er skattefri, resten i lin. 33)</v>
      </c>
      <c r="L191" s="440" t="str">
        <f t="shared" si="347"/>
        <v>=  (højst 8.000 kr. er skattefri, resten i lin. 33)</v>
      </c>
      <c r="M191" s="440" t="str">
        <f t="shared" si="347"/>
        <v>=  (højst 8.000 kr. er skattefri, resten i lin. 33)</v>
      </c>
      <c r="N191" s="440" t="str">
        <f t="shared" si="347"/>
        <v>=  (højst 8.000 kr. er skattefri, resten i lin. 33)</v>
      </c>
      <c r="O191" s="440" t="str">
        <f t="shared" si="347"/>
        <v>=  (højst 8.000 kr. er skattefri, resten i lin. 33)</v>
      </c>
      <c r="P191" s="440" t="str">
        <f t="shared" si="347"/>
        <v>=  (højst 8.000 kr. er skattefri, resten i lin. 33)</v>
      </c>
      <c r="Q191" s="440" t="str">
        <f t="shared" si="347"/>
        <v>=  (højst 8.000 kr. er skattefri, resten i lin. 33)</v>
      </c>
      <c r="R191" s="440" t="str">
        <f t="shared" si="347"/>
        <v>=  (højst 8.000 kr. er skattefri, resten i lin. 33)</v>
      </c>
      <c r="S191" s="440" t="str">
        <f t="shared" ref="S191" si="348">"= "&amp;TEXT(S34,"#.###")&amp;" (højst 8.000 kr. er skattefri, resten i lin. 34)"</f>
        <v>=  (højst 8.000 kr. er skattefri, resten i lin. 34)</v>
      </c>
      <c r="T191" s="935" t="str">
        <f t="shared" ref="T191:AE191" si="349">"= "&amp;TEXT(T34,"#.###")&amp;" (højst 8.000 kr. er skattefri, resten i lin. 30)"</f>
        <v>=  (højst 8.000 kr. er skattefri, resten i lin. 30)</v>
      </c>
      <c r="U191" s="440" t="str">
        <f t="shared" si="349"/>
        <v>=  (højst 8.000 kr. er skattefri, resten i lin. 30)</v>
      </c>
      <c r="V191" s="440" t="str">
        <f t="shared" si="349"/>
        <v>=  (højst 8.000 kr. er skattefri, resten i lin. 30)</v>
      </c>
      <c r="W191" s="440" t="str">
        <f t="shared" si="349"/>
        <v>=  (højst 8.000 kr. er skattefri, resten i lin. 30)</v>
      </c>
      <c r="X191" s="440" t="str">
        <f t="shared" si="349"/>
        <v>=  (højst 8.000 kr. er skattefri, resten i lin. 30)</v>
      </c>
      <c r="Y191" s="440" t="str">
        <f t="shared" si="349"/>
        <v>=  (højst 8.000 kr. er skattefri, resten i lin. 30)</v>
      </c>
      <c r="Z191" s="440" t="str">
        <f t="shared" si="349"/>
        <v>=  (højst 8.000 kr. er skattefri, resten i lin. 30)</v>
      </c>
      <c r="AA191" s="440" t="str">
        <f t="shared" si="349"/>
        <v>=  (højst 8.000 kr. er skattefri, resten i lin. 30)</v>
      </c>
      <c r="AB191" s="440" t="str">
        <f t="shared" si="349"/>
        <v>=  (højst 8.000 kr. er skattefri, resten i lin. 30)</v>
      </c>
      <c r="AC191" s="440" t="str">
        <f t="shared" si="349"/>
        <v>=  (højst 8.000 kr. er skattefri, resten i lin. 30)</v>
      </c>
      <c r="AD191" s="440" t="str">
        <f t="shared" si="349"/>
        <v>=  (højst 8.000 kr. er skattefri, resten i lin. 30)</v>
      </c>
      <c r="AE191" s="440" t="str">
        <f t="shared" si="349"/>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350">"= "&amp;H36&amp;" dag a "&amp;ROUND(163.64*H$6,2)&amp;" ="</f>
        <v>=  dag a 201,78 =</v>
      </c>
      <c r="I192" s="440" t="str">
        <f t="shared" si="350"/>
        <v>=  dag a 201,78 =</v>
      </c>
      <c r="J192" s="440" t="str">
        <f t="shared" si="350"/>
        <v>=  dag a 0 =</v>
      </c>
      <c r="K192" s="440" t="str">
        <f t="shared" si="350"/>
        <v>=  dag a 0 =</v>
      </c>
      <c r="L192" s="440" t="str">
        <f t="shared" si="350"/>
        <v>=  dag a 0 =</v>
      </c>
      <c r="M192" s="440" t="str">
        <f t="shared" si="350"/>
        <v>=  dag a 0 =</v>
      </c>
      <c r="N192" s="440" t="str">
        <f t="shared" si="350"/>
        <v>=  dag a 0 =</v>
      </c>
      <c r="O192" s="440" t="str">
        <f t="shared" si="350"/>
        <v>=  dag a 0 =</v>
      </c>
      <c r="P192" s="440" t="str">
        <f>"= "&amp;P36&amp;" dag a "&amp;ROUND(163.64*P$6,2)&amp;" ="</f>
        <v>=  dag a 0 =</v>
      </c>
      <c r="Q192" s="440" t="str">
        <f t="shared" ref="Q192:S192" si="351">"= "&amp;Q36&amp;" dag a "&amp;ROUND(163.64*Q$6,2)&amp;" ="</f>
        <v>=  dag a 0 =</v>
      </c>
      <c r="R192" s="440" t="str">
        <f t="shared" si="351"/>
        <v>=  dag a 0 =</v>
      </c>
      <c r="S192" s="440" t="str">
        <f t="shared" si="351"/>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352">"= "&amp;H37&amp;" dag a "&amp;ROUND(372.2*H$6,2)&amp;" ="</f>
        <v>=  dag a 458,96 =</v>
      </c>
      <c r="I193" s="440" t="str">
        <f t="shared" si="352"/>
        <v>=  dag a 458,96 =</v>
      </c>
      <c r="J193" s="440" t="str">
        <f t="shared" si="352"/>
        <v>=  dag a 0 =</v>
      </c>
      <c r="K193" s="440" t="str">
        <f t="shared" si="352"/>
        <v>=  dag a 0 =</v>
      </c>
      <c r="L193" s="440" t="str">
        <f t="shared" si="352"/>
        <v>=  dag a 0 =</v>
      </c>
      <c r="M193" s="440" t="str">
        <f t="shared" si="352"/>
        <v>=  dag a 0 =</v>
      </c>
      <c r="N193" s="440" t="str">
        <f t="shared" si="352"/>
        <v>=  dag a 0 =</v>
      </c>
      <c r="O193" s="440" t="str">
        <f t="shared" si="352"/>
        <v>=  dag a 0 =</v>
      </c>
      <c r="P193" s="440" t="str">
        <f>"= "&amp;P37&amp;" dag a "&amp;ROUND(372.2*P$6,2)&amp;" ="</f>
        <v>=  dag a 0 =</v>
      </c>
      <c r="Q193" s="440" t="str">
        <f t="shared" ref="Q193:S193" si="353">"= "&amp;Q37&amp;" dag a "&amp;ROUND(372.2*Q$6,2)&amp;" ="</f>
        <v>=  dag a 0 =</v>
      </c>
      <c r="R193" s="440" t="str">
        <f t="shared" si="353"/>
        <v>=  dag a 0 =</v>
      </c>
      <c r="S193" s="440" t="str">
        <f t="shared" si="353"/>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4" si="354">"= "&amp;G35&amp;" t. a "&amp;ROUND(19*G$6,2)&amp;" ="</f>
        <v>=  t. a 23,43 =</v>
      </c>
      <c r="H194" s="440" t="str">
        <f t="shared" ref="H194:P194" si="355">"= "&amp;H35&amp;" t. a "&amp;ROUND(19*H$6,2)&amp;" ="</f>
        <v>=  t. a 23,43 =</v>
      </c>
      <c r="I194" s="440" t="str">
        <f t="shared" si="355"/>
        <v>=  t. a 23,43 =</v>
      </c>
      <c r="J194" s="440" t="str">
        <f t="shared" si="355"/>
        <v>=  t. a 0 =</v>
      </c>
      <c r="K194" s="440" t="str">
        <f t="shared" si="355"/>
        <v>=  t. a 0 =</v>
      </c>
      <c r="L194" s="440" t="str">
        <f t="shared" si="355"/>
        <v>=  t. a 0 =</v>
      </c>
      <c r="M194" s="440" t="str">
        <f t="shared" si="355"/>
        <v>=  t. a 0 =</v>
      </c>
      <c r="N194" s="440" t="str">
        <f t="shared" si="355"/>
        <v>=  t. a 0 =</v>
      </c>
      <c r="O194" s="440" t="str">
        <f t="shared" si="355"/>
        <v>=  t. a 0 =</v>
      </c>
      <c r="P194" s="440" t="str">
        <f t="shared" si="355"/>
        <v>=  t. a 0 =</v>
      </c>
      <c r="Q194" s="440" t="str">
        <f t="shared" ref="Q194:S194" si="356">"= "&amp;Q35&amp;" t. a "&amp;ROUND(19*Q$6,2)&amp;" ="</f>
        <v>=  t. a 0 =</v>
      </c>
      <c r="R194" s="440" t="str">
        <f t="shared" si="356"/>
        <v>=  t. a 0 =</v>
      </c>
      <c r="S194" s="440" t="str">
        <f t="shared" si="356"/>
        <v>=  t. a 0 =</v>
      </c>
      <c r="T194" s="935" t="str">
        <f t="shared" si="354"/>
        <v>= 0 t. a 23,43 =</v>
      </c>
      <c r="U194" s="440" t="str">
        <f t="shared" si="354"/>
        <v>= 0 t. a 23,43 =</v>
      </c>
      <c r="V194" s="440" t="str">
        <f t="shared" si="354"/>
        <v>= 0 t. a 23,43 =</v>
      </c>
      <c r="W194" s="440" t="str">
        <f t="shared" si="354"/>
        <v>= 0 t. a 0 =</v>
      </c>
      <c r="X194" s="440" t="str">
        <f t="shared" si="354"/>
        <v>= 0 t. a 0 =</v>
      </c>
      <c r="Y194" s="440" t="str">
        <f t="shared" si="354"/>
        <v>= 0 t. a 0 =</v>
      </c>
      <c r="Z194" s="440" t="str">
        <f t="shared" si="354"/>
        <v>= 0 t. a 0 =</v>
      </c>
      <c r="AA194" s="440" t="str">
        <f t="shared" si="354"/>
        <v>= 0 t. a 0 =</v>
      </c>
      <c r="AB194" s="440" t="str">
        <f t="shared" si="354"/>
        <v>= 0 t. a 0 =</v>
      </c>
      <c r="AC194" s="440" t="str">
        <f t="shared" si="354"/>
        <v>= 0 t. a 0 =</v>
      </c>
      <c r="AD194" s="440" t="str">
        <f t="shared" si="354"/>
        <v>= 0 t. a 0 =</v>
      </c>
      <c r="AE194" s="440" t="str">
        <f t="shared" si="354"/>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357">"= "&amp;H41&amp;" t. a "&amp;ROUND(267.31*H$6,2)&amp;" ="</f>
        <v>=  t. a 329,62 =</v>
      </c>
      <c r="I195" s="440" t="str">
        <f t="shared" si="357"/>
        <v>=  t. a 329,62 =</v>
      </c>
      <c r="J195" s="440" t="str">
        <f t="shared" si="357"/>
        <v>=  t. a 0 =</v>
      </c>
      <c r="K195" s="440" t="str">
        <f t="shared" si="357"/>
        <v>=  t. a 0 =</v>
      </c>
      <c r="L195" s="440" t="str">
        <f t="shared" si="357"/>
        <v>=  t. a 0 =</v>
      </c>
      <c r="M195" s="440" t="str">
        <f t="shared" si="357"/>
        <v>=  t. a 0 =</v>
      </c>
      <c r="N195" s="440" t="str">
        <f t="shared" si="357"/>
        <v>=  t. a 0 =</v>
      </c>
      <c r="O195" s="440" t="str">
        <f t="shared" si="357"/>
        <v>=  t. a 0 =</v>
      </c>
      <c r="P195" s="440" t="str">
        <f>"= "&amp;P41&amp;" t. a "&amp;ROUND(267.31*P$6,2)&amp;" ="</f>
        <v>=  t. a 0 =</v>
      </c>
      <c r="Q195" s="440" t="str">
        <f t="shared" ref="Q195:S195" si="358">"= "&amp;Q41&amp;" t. a "&amp;ROUND(267.31*Q$6,2)&amp;" ="</f>
        <v>=  t. a 0 =</v>
      </c>
      <c r="R195" s="440" t="str">
        <f t="shared" si="358"/>
        <v>=  t. a 0 =</v>
      </c>
      <c r="S195" s="440" t="str">
        <f t="shared" si="358"/>
        <v>=  t. a 0 =</v>
      </c>
      <c r="T195" s="935" t="str">
        <f t="shared" ref="T195:AE195" si="359">"= "&amp;T36&amp;" t. a "&amp;ROUND(19*T$6,2)&amp;" ="</f>
        <v>= 0 t. a 23,43 =</v>
      </c>
      <c r="U195" s="440" t="str">
        <f t="shared" si="359"/>
        <v>= 0 t. a 23,43 =</v>
      </c>
      <c r="V195" s="440" t="str">
        <f t="shared" si="359"/>
        <v>= 0 t. a 23,43 =</v>
      </c>
      <c r="W195" s="440" t="str">
        <f t="shared" si="359"/>
        <v>= 0 t. a 0 =</v>
      </c>
      <c r="X195" s="440" t="str">
        <f t="shared" si="359"/>
        <v>= 0 t. a 0 =</v>
      </c>
      <c r="Y195" s="440" t="str">
        <f t="shared" si="359"/>
        <v>= 0 t. a 0 =</v>
      </c>
      <c r="Z195" s="440" t="str">
        <f t="shared" si="359"/>
        <v>= 0 t. a 0 =</v>
      </c>
      <c r="AA195" s="440" t="str">
        <f t="shared" si="359"/>
        <v>= 0 t. a 0 =</v>
      </c>
      <c r="AB195" s="440" t="str">
        <f t="shared" si="359"/>
        <v>= 0 t. a 0 =</v>
      </c>
      <c r="AC195" s="440" t="str">
        <f t="shared" si="359"/>
        <v>= 0 t. a 0 =</v>
      </c>
      <c r="AD195" s="440" t="str">
        <f t="shared" si="359"/>
        <v>= 0 t. a 0 =</v>
      </c>
      <c r="AE195" s="440" t="str">
        <f t="shared" si="359"/>
        <v>= 0 t. a 0 =</v>
      </c>
      <c r="AF195" s="436"/>
      <c r="AG195" s="436"/>
    </row>
    <row r="196" spans="1:33" s="3" customFormat="1">
      <c r="A196" s="436"/>
      <c r="B196" s="611">
        <v>27</v>
      </c>
      <c r="C196" s="439"/>
      <c r="D196" s="439">
        <f>B81</f>
        <v>76</v>
      </c>
      <c r="E196" s="439"/>
      <c r="F196" s="445" t="s">
        <v>423</v>
      </c>
      <c r="G196" s="440" t="str">
        <f t="shared" ref="G196:AE196" si="360">"= "&amp;G38&amp;" t. a "&amp;TEXT(G$163,"#,00")&amp;" * 25% ="</f>
        <v>=  t. a ,00 * 25% =</v>
      </c>
      <c r="H196" s="440" t="str">
        <f t="shared" ref="H196:P196" si="361">"= "&amp;H38&amp;" t. a "&amp;TEXT(H$163,"#,00")&amp;" * 25% ="</f>
        <v>=  t. a ,00 * 25% =</v>
      </c>
      <c r="I196" s="440" t="str">
        <f t="shared" si="361"/>
        <v>=  t. a ,00 * 25% =</v>
      </c>
      <c r="J196" s="440" t="str">
        <f t="shared" si="361"/>
        <v>=  t. a ,00 * 25% =</v>
      </c>
      <c r="K196" s="440" t="str">
        <f t="shared" si="361"/>
        <v>=  t. a ,00 * 25% =</v>
      </c>
      <c r="L196" s="440" t="str">
        <f t="shared" si="361"/>
        <v>=  t. a ,00 * 25% =</v>
      </c>
      <c r="M196" s="440" t="str">
        <f t="shared" si="361"/>
        <v>=  t. a ,00 * 25% =</v>
      </c>
      <c r="N196" s="440" t="str">
        <f t="shared" si="361"/>
        <v>=  t. a ,00 * 25% =</v>
      </c>
      <c r="O196" s="440" t="str">
        <f t="shared" si="361"/>
        <v>=  t. a ,00 * 25% =</v>
      </c>
      <c r="P196" s="440" t="str">
        <f t="shared" si="361"/>
        <v>=  t. a ,00 * 25% =</v>
      </c>
      <c r="Q196" s="440" t="str">
        <f t="shared" ref="Q196:S196" si="362">"= "&amp;Q38&amp;" t. a "&amp;TEXT(Q$163,"#,00")&amp;" * 25% ="</f>
        <v>=  t. a ,00 * 25% =</v>
      </c>
      <c r="R196" s="440" t="str">
        <f t="shared" si="362"/>
        <v>=  t. a ,00 * 25% =</v>
      </c>
      <c r="S196" s="440" t="str">
        <f t="shared" si="362"/>
        <v>=  t. a ,00 * 25% =</v>
      </c>
      <c r="T196" s="935" t="str">
        <f t="shared" si="360"/>
        <v>= 0 t. a ,00 * 25% =</v>
      </c>
      <c r="U196" s="440" t="str">
        <f t="shared" si="360"/>
        <v>= 0 t. a ,00 * 25% =</v>
      </c>
      <c r="V196" s="440" t="str">
        <f t="shared" si="360"/>
        <v>= 0 t. a ,00 * 25% =</v>
      </c>
      <c r="W196" s="440" t="str">
        <f t="shared" si="360"/>
        <v>= 0 t. a ,00 * 25% =</v>
      </c>
      <c r="X196" s="440" t="str">
        <f t="shared" si="360"/>
        <v>= 0 t. a ,00 * 25% =</v>
      </c>
      <c r="Y196" s="440" t="str">
        <f t="shared" si="360"/>
        <v>= 0 t. a ,00 * 25% =</v>
      </c>
      <c r="Z196" s="440" t="str">
        <f t="shared" si="360"/>
        <v>= 0 t. a ,00 * 25% =</v>
      </c>
      <c r="AA196" s="440" t="str">
        <f t="shared" si="360"/>
        <v>= 0 t. a ,00 * 25% =</v>
      </c>
      <c r="AB196" s="440" t="str">
        <f t="shared" si="360"/>
        <v>= 0 t. a ,00 * 25% =</v>
      </c>
      <c r="AC196" s="440" t="str">
        <f t="shared" si="360"/>
        <v>= 0 t. a ,00 * 25% =</v>
      </c>
      <c r="AD196" s="440" t="str">
        <f t="shared" si="360"/>
        <v>= 0 t. a ,00 * 25% =</v>
      </c>
      <c r="AE196" s="440" t="str">
        <f t="shared" si="360"/>
        <v>= 0 t. a ,00 * 25% =</v>
      </c>
      <c r="AF196" s="436"/>
      <c r="AG196" s="436"/>
    </row>
    <row r="197" spans="1:33" s="3" customFormat="1">
      <c r="A197" s="436"/>
      <c r="B197" s="615">
        <v>28</v>
      </c>
      <c r="C197" s="439"/>
      <c r="D197" s="439">
        <f>B82</f>
        <v>77</v>
      </c>
      <c r="E197" s="439"/>
      <c r="F197" s="445" t="s">
        <v>424</v>
      </c>
      <c r="G197" s="440" t="str">
        <f t="shared" ref="G197:AE197" si="363">"= "&amp;G39&amp;" t. a "&amp;TEXT(G$163,"#,00")&amp;" *50% ="</f>
        <v>=  t. a ,00 *50% =</v>
      </c>
      <c r="H197" s="440" t="str">
        <f t="shared" ref="H197:P197" si="364">"= "&amp;H39&amp;" t. a "&amp;TEXT(H$163,"#,00")&amp;" *50% ="</f>
        <v>=  t. a ,00 *50% =</v>
      </c>
      <c r="I197" s="440" t="str">
        <f t="shared" si="364"/>
        <v>=  t. a ,00 *50% =</v>
      </c>
      <c r="J197" s="440" t="str">
        <f t="shared" si="364"/>
        <v>=  t. a ,00 *50% =</v>
      </c>
      <c r="K197" s="440" t="str">
        <f t="shared" si="364"/>
        <v>=  t. a ,00 *50% =</v>
      </c>
      <c r="L197" s="440" t="str">
        <f t="shared" si="364"/>
        <v>=  t. a ,00 *50% =</v>
      </c>
      <c r="M197" s="440" t="str">
        <f t="shared" si="364"/>
        <v>=  t. a ,00 *50% =</v>
      </c>
      <c r="N197" s="440" t="str">
        <f t="shared" si="364"/>
        <v>=  t. a ,00 *50% =</v>
      </c>
      <c r="O197" s="440" t="str">
        <f t="shared" si="364"/>
        <v>=  t. a ,00 *50% =</v>
      </c>
      <c r="P197" s="440" t="str">
        <f t="shared" si="364"/>
        <v>=  t. a ,00 *50% =</v>
      </c>
      <c r="Q197" s="440" t="str">
        <f t="shared" ref="Q197:S197" si="365">"= "&amp;Q39&amp;" t. a "&amp;TEXT(Q$163,"#,00")&amp;" *50% ="</f>
        <v>=  t. a ,00 *50% =</v>
      </c>
      <c r="R197" s="440" t="str">
        <f t="shared" si="365"/>
        <v>=  t. a ,00 *50% =</v>
      </c>
      <c r="S197" s="440" t="str">
        <f t="shared" si="365"/>
        <v>=  t. a ,00 *50% =</v>
      </c>
      <c r="T197" s="935" t="str">
        <f t="shared" si="363"/>
        <v>= 0 t. a ,00 *50% =</v>
      </c>
      <c r="U197" s="440" t="str">
        <f t="shared" si="363"/>
        <v>= 0 t. a ,00 *50% =</v>
      </c>
      <c r="V197" s="440" t="str">
        <f t="shared" si="363"/>
        <v>= 0 t. a ,00 *50% =</v>
      </c>
      <c r="W197" s="440" t="str">
        <f t="shared" si="363"/>
        <v>= 0 t. a ,00 *50% =</v>
      </c>
      <c r="X197" s="440" t="str">
        <f t="shared" si="363"/>
        <v>= 0 t. a ,00 *50% =</v>
      </c>
      <c r="Y197" s="440" t="str">
        <f t="shared" si="363"/>
        <v>= 0 t. a ,00 *50% =</v>
      </c>
      <c r="Z197" s="440" t="str">
        <f t="shared" si="363"/>
        <v>= 0 t. a ,00 *50% =</v>
      </c>
      <c r="AA197" s="440" t="str">
        <f t="shared" si="363"/>
        <v>= 0 t. a ,00 *50% =</v>
      </c>
      <c r="AB197" s="440" t="str">
        <f t="shared" si="363"/>
        <v>= 0 t. a ,00 *50% =</v>
      </c>
      <c r="AC197" s="440" t="str">
        <f t="shared" si="363"/>
        <v>= 0 t. a ,00 *50% =</v>
      </c>
      <c r="AD197" s="440" t="str">
        <f t="shared" si="363"/>
        <v>= 0 t. a ,00 *50% =</v>
      </c>
      <c r="AE197" s="440" t="str">
        <f t="shared" si="363"/>
        <v>= 0 t. a ,00 *50% =</v>
      </c>
      <c r="AF197" s="436"/>
      <c r="AG197" s="436"/>
    </row>
    <row r="198" spans="1:33" s="3" customFormat="1">
      <c r="A198" s="436"/>
      <c r="B198" s="611" t="s">
        <v>561</v>
      </c>
      <c r="C198" s="439"/>
      <c r="D198" s="439">
        <f>B83</f>
        <v>78</v>
      </c>
      <c r="E198" s="439"/>
      <c r="F198" s="445" t="s">
        <v>479</v>
      </c>
      <c r="G198" s="440" t="str">
        <f t="shared" ref="G198:AE198" si="366">"= "&amp;G40&amp;" t. a "&amp;TEXT(G$163,"#,00")&amp;" ="</f>
        <v>=  t. a ,00 =</v>
      </c>
      <c r="H198" s="440" t="str">
        <f t="shared" ref="H198:P198" si="367">"= "&amp;H40&amp;" t. a "&amp;TEXT(H$163,"#,00")&amp;" ="</f>
        <v>=  t. a ,00 =</v>
      </c>
      <c r="I198" s="440" t="str">
        <f t="shared" si="367"/>
        <v>=  t. a ,00 =</v>
      </c>
      <c r="J198" s="440" t="str">
        <f t="shared" si="367"/>
        <v>=  t. a ,00 =</v>
      </c>
      <c r="K198" s="440" t="str">
        <f t="shared" si="367"/>
        <v>=  t. a ,00 =</v>
      </c>
      <c r="L198" s="440" t="str">
        <f t="shared" si="367"/>
        <v>=  t. a ,00 =</v>
      </c>
      <c r="M198" s="440" t="str">
        <f t="shared" si="367"/>
        <v>=  t. a ,00 =</v>
      </c>
      <c r="N198" s="440" t="str">
        <f t="shared" si="367"/>
        <v>=  t. a ,00 =</v>
      </c>
      <c r="O198" s="440" t="str">
        <f t="shared" si="367"/>
        <v>=  t. a ,00 =</v>
      </c>
      <c r="P198" s="440" t="str">
        <f t="shared" si="367"/>
        <v>=  t. a ,00 =</v>
      </c>
      <c r="Q198" s="440" t="str">
        <f t="shared" ref="Q198:S198" si="368">"= "&amp;Q40&amp;" t. a "&amp;TEXT(Q$163,"#,00")&amp;" ="</f>
        <v>=  t. a ,00 =</v>
      </c>
      <c r="R198" s="440" t="str">
        <f t="shared" si="368"/>
        <v>=  t. a ,00 =</v>
      </c>
      <c r="S198" s="440" t="str">
        <f t="shared" si="368"/>
        <v>=  t. a ,00 =</v>
      </c>
      <c r="T198" s="935" t="str">
        <f t="shared" si="366"/>
        <v>= 0 t. a ,00 =</v>
      </c>
      <c r="U198" s="440" t="str">
        <f t="shared" si="366"/>
        <v>= 0 t. a ,00 =</v>
      </c>
      <c r="V198" s="440" t="str">
        <f t="shared" si="366"/>
        <v>= 0 t. a ,00 =</v>
      </c>
      <c r="W198" s="440" t="str">
        <f t="shared" si="366"/>
        <v>= 0 t. a ,00 =</v>
      </c>
      <c r="X198" s="440" t="str">
        <f t="shared" si="366"/>
        <v>= 0 t. a ,00 =</v>
      </c>
      <c r="Y198" s="440" t="str">
        <f t="shared" si="366"/>
        <v>= 0 t. a ,00 =</v>
      </c>
      <c r="Z198" s="440" t="str">
        <f t="shared" si="366"/>
        <v>= 0 t. a ,00 =</v>
      </c>
      <c r="AA198" s="440" t="str">
        <f t="shared" si="366"/>
        <v>= 0 t. a ,00 =</v>
      </c>
      <c r="AB198" s="440" t="str">
        <f t="shared" si="366"/>
        <v>= 0 t. a ,00 =</v>
      </c>
      <c r="AC198" s="440" t="str">
        <f t="shared" si="366"/>
        <v>= 0 t. a ,00 =</v>
      </c>
      <c r="AD198" s="440" t="str">
        <f t="shared" si="366"/>
        <v>= 0 t. a ,00 =</v>
      </c>
      <c r="AE198" s="440" t="str">
        <f t="shared" si="366"/>
        <v>= 0 t. a ,00 =</v>
      </c>
      <c r="AF198" s="436"/>
      <c r="AG198" s="436"/>
    </row>
    <row r="199" spans="1:33" s="3" customFormat="1">
      <c r="A199" s="436"/>
      <c r="B199" s="615" t="s">
        <v>561</v>
      </c>
      <c r="C199" s="439"/>
      <c r="D199" s="439">
        <f>B87</f>
        <v>82</v>
      </c>
      <c r="E199" s="698"/>
      <c r="F199" s="446" t="s">
        <v>418</v>
      </c>
      <c r="G199" s="444" t="str">
        <f t="shared" ref="G199" si="369">"= "&amp;IF(G87&lt;&gt;0,"Se specifikation lin. 68- 76 i arket "&amp;$G$1)</f>
        <v>= FALSK</v>
      </c>
      <c r="H199" s="444" t="str">
        <f t="shared" ref="H199:P199" si="370">"= "&amp;IF(H87&lt;&gt;0,"Se specifikation lin. 68- 76 i arket "&amp;$G$1)</f>
        <v>= FALSK</v>
      </c>
      <c r="I199" s="444" t="str">
        <f t="shared" si="370"/>
        <v>= FALSK</v>
      </c>
      <c r="J199" s="444" t="str">
        <f t="shared" si="370"/>
        <v>= FALSK</v>
      </c>
      <c r="K199" s="444" t="str">
        <f t="shared" si="370"/>
        <v>= FALSK</v>
      </c>
      <c r="L199" s="444" t="str">
        <f t="shared" si="370"/>
        <v>= FALSK</v>
      </c>
      <c r="M199" s="444" t="str">
        <f t="shared" si="370"/>
        <v>= FALSK</v>
      </c>
      <c r="N199" s="444" t="str">
        <f t="shared" si="370"/>
        <v>= FALSK</v>
      </c>
      <c r="O199" s="444" t="str">
        <f t="shared" si="370"/>
        <v>= FALSK</v>
      </c>
      <c r="P199" s="444" t="str">
        <f t="shared" si="370"/>
        <v>= FALSK</v>
      </c>
      <c r="Q199" s="444" t="str">
        <f t="shared" ref="Q199:S199" si="371">"= "&amp;IF(Q87&lt;&gt;0,"Se specifikation lin. 68- 76 i arket "&amp;$G$1)</f>
        <v>= FALSK</v>
      </c>
      <c r="R199" s="444" t="str">
        <f t="shared" si="371"/>
        <v>= FALSK</v>
      </c>
      <c r="S199" s="444" t="str">
        <f t="shared" si="371"/>
        <v>= FALSK</v>
      </c>
      <c r="T199" s="935" t="str">
        <f t="shared" ref="T199:AB199" si="372">"= "&amp;IF(T87&lt;&gt;0,"Se specifikation lin. 68- 76 i arket "&amp;$G$1)</f>
        <v>= FALSK</v>
      </c>
      <c r="U199" s="444" t="str">
        <f t="shared" si="372"/>
        <v>= FALSK</v>
      </c>
      <c r="V199" s="444" t="str">
        <f t="shared" si="372"/>
        <v>= FALSK</v>
      </c>
      <c r="W199" s="444" t="str">
        <f t="shared" si="372"/>
        <v>= FALSK</v>
      </c>
      <c r="X199" s="444" t="str">
        <f t="shared" si="372"/>
        <v>= FALSK</v>
      </c>
      <c r="Y199" s="444" t="str">
        <f t="shared" si="372"/>
        <v>= FALSK</v>
      </c>
      <c r="Z199" s="444" t="str">
        <f t="shared" si="372"/>
        <v>= FALSK</v>
      </c>
      <c r="AA199" s="444" t="str">
        <f t="shared" si="372"/>
        <v>= FALSK</v>
      </c>
      <c r="AB199" s="444" t="str">
        <f t="shared" si="372"/>
        <v>= FALSK</v>
      </c>
      <c r="AC199" s="444" t="e">
        <f>"= "&amp;IF(#REF!&lt;&gt;0,"Se specifikation lin. 68- 76 i arket "&amp;$G$1)</f>
        <v>#REF!</v>
      </c>
      <c r="AD199" s="444" t="str">
        <f t="shared" ref="AD199:AE199" si="373">"= "&amp;IF(AD87&lt;&gt;0,"Se specifikation lin. 68- 76 i arket "&amp;$G$1)</f>
        <v>= FALSK</v>
      </c>
      <c r="AE199" s="444" t="str">
        <f t="shared" si="373"/>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374">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374"/>
        <v>84</v>
      </c>
      <c r="E202" s="439"/>
      <c r="F202" s="442" t="s">
        <v>102</v>
      </c>
      <c r="G202" s="440" t="str">
        <f t="shared" ref="G202" si="375">"= "&amp;TEXT(G53,"#.###,00")&amp;" * 17,3% / 3  ="</f>
        <v>= ,00 * 17,3% / 3  =</v>
      </c>
      <c r="H202" s="440" t="str">
        <f t="shared" ref="H202:P202" si="376">"= "&amp;TEXT(H53,"#.###,00")&amp;" * 17,3% / 3  ="</f>
        <v>= ,00 * 17,3% / 3  =</v>
      </c>
      <c r="I202" s="440" t="str">
        <f t="shared" si="376"/>
        <v>= ,00 * 17,3% / 3  =</v>
      </c>
      <c r="J202" s="440" t="str">
        <f t="shared" si="376"/>
        <v>= ,00 * 17,3% / 3  =</v>
      </c>
      <c r="K202" s="440" t="str">
        <f t="shared" si="376"/>
        <v>= ,00 * 17,3% / 3  =</v>
      </c>
      <c r="L202" s="440" t="str">
        <f t="shared" si="376"/>
        <v>= ,00 * 17,3% / 3  =</v>
      </c>
      <c r="M202" s="440" t="str">
        <f t="shared" si="376"/>
        <v>= ,00 * 17,3% / 3  =</v>
      </c>
      <c r="N202" s="440" t="str">
        <f t="shared" si="376"/>
        <v>= ,00 * 17,3% / 3  =</v>
      </c>
      <c r="O202" s="440" t="str">
        <f t="shared" si="376"/>
        <v>= ,00 * 17,3% / 3  =</v>
      </c>
      <c r="P202" s="440" t="str">
        <f t="shared" si="376"/>
        <v>= ,00 * 17,3% / 3  =</v>
      </c>
      <c r="Q202" s="440" t="str">
        <f t="shared" ref="Q202:S202" si="377">"= "&amp;TEXT(Q53,"#.###,00")&amp;" * 17,3% / 3  ="</f>
        <v>= ,00 * 17,3% / 3  =</v>
      </c>
      <c r="R202" s="440" t="str">
        <f t="shared" si="377"/>
        <v>= ,00 * 17,3% / 3  =</v>
      </c>
      <c r="S202" s="440" t="str">
        <f t="shared" si="377"/>
        <v>= ,00 * 17,3% / 3  =</v>
      </c>
      <c r="T202" s="935" t="str">
        <f t="shared" ref="T202:AE202" si="378">"= "&amp;TEXT(T53,"#.###,00")&amp;" * 17,3% / 3  ="</f>
        <v>= ,00 * 17,3% / 3  =</v>
      </c>
      <c r="U202" s="440" t="str">
        <f t="shared" si="378"/>
        <v>= ,00 * 17,3% / 3  =</v>
      </c>
      <c r="V202" s="440" t="str">
        <f t="shared" si="378"/>
        <v>= ,00 * 17,3% / 3  =</v>
      </c>
      <c r="W202" s="440" t="str">
        <f t="shared" si="378"/>
        <v>= ,00 * 17,3% / 3  =</v>
      </c>
      <c r="X202" s="440" t="str">
        <f t="shared" si="378"/>
        <v>= ,00 * 17,3% / 3  =</v>
      </c>
      <c r="Y202" s="440" t="str">
        <f t="shared" si="378"/>
        <v>= ,00 * 17,3% / 3  =</v>
      </c>
      <c r="Z202" s="440" t="str">
        <f t="shared" si="378"/>
        <v>= ,00 * 17,3% / 3  =</v>
      </c>
      <c r="AA202" s="440" t="str">
        <f t="shared" si="378"/>
        <v>= ,00 * 17,3% / 3  =</v>
      </c>
      <c r="AB202" s="440" t="str">
        <f t="shared" si="378"/>
        <v>= ,00 * 17,3% / 3  =</v>
      </c>
      <c r="AC202" s="440" t="str">
        <f t="shared" si="378"/>
        <v>= ,00 * 17,3% / 3  =</v>
      </c>
      <c r="AD202" s="440" t="str">
        <f t="shared" si="378"/>
        <v>= ,00 * 17,3% / 3  =</v>
      </c>
      <c r="AE202" s="440" t="str">
        <f t="shared" si="378"/>
        <v>= ,00 * 17,3% / 3  =</v>
      </c>
      <c r="AF202" s="436"/>
      <c r="AG202" s="436"/>
    </row>
    <row r="203" spans="1:33" s="3" customFormat="1">
      <c r="A203" s="436"/>
      <c r="B203" s="619">
        <v>40</v>
      </c>
      <c r="C203" s="439"/>
      <c r="D203" s="439">
        <f t="shared" si="374"/>
        <v>85</v>
      </c>
      <c r="E203" s="439"/>
      <c r="F203" s="443" t="s">
        <v>183</v>
      </c>
      <c r="G203" s="440" t="str">
        <f t="shared" ref="G203" si="379">"= "&amp;TEXT(G55,"#.###,00")&amp;" * 17,3% / 3  ="</f>
        <v>= ,00 * 17,3% / 3  =</v>
      </c>
      <c r="H203" s="440" t="str">
        <f t="shared" ref="H203:P203" si="380">"= "&amp;TEXT(H55,"#.###,00")&amp;" * 17,3% / 3  ="</f>
        <v>= ,00 * 17,3% / 3  =</v>
      </c>
      <c r="I203" s="440" t="str">
        <f t="shared" si="380"/>
        <v>= ,00 * 17,3% / 3  =</v>
      </c>
      <c r="J203" s="440" t="str">
        <f t="shared" si="380"/>
        <v>= ,00 * 17,3% / 3  =</v>
      </c>
      <c r="K203" s="440" t="str">
        <f t="shared" si="380"/>
        <v>= ,00 * 17,3% / 3  =</v>
      </c>
      <c r="L203" s="440" t="str">
        <f t="shared" si="380"/>
        <v>= ,00 * 17,3% / 3  =</v>
      </c>
      <c r="M203" s="440" t="str">
        <f t="shared" si="380"/>
        <v>= ,00 * 17,3% / 3  =</v>
      </c>
      <c r="N203" s="440" t="str">
        <f t="shared" si="380"/>
        <v>= ,00 * 17,3% / 3  =</v>
      </c>
      <c r="O203" s="440" t="str">
        <f t="shared" si="380"/>
        <v>= ,00 * 17,3% / 3  =</v>
      </c>
      <c r="P203" s="440" t="str">
        <f t="shared" si="380"/>
        <v>= ,00 * 17,3% / 3  =</v>
      </c>
      <c r="Q203" s="440" t="str">
        <f t="shared" ref="Q203:S203" si="381">"= "&amp;TEXT(Q55,"#.###,00")&amp;" * 17,3% / 3  ="</f>
        <v>= ,00 * 17,3% / 3  =</v>
      </c>
      <c r="R203" s="440" t="str">
        <f t="shared" si="381"/>
        <v>= ,00 * 17,3% / 3  =</v>
      </c>
      <c r="S203" s="440" t="str">
        <f t="shared" si="381"/>
        <v>= ,00 * 17,3% / 3  =</v>
      </c>
      <c r="T203" s="935" t="str">
        <f t="shared" ref="T203:AE203" si="382">"= "&amp;TEXT(T55,"#.###,00")&amp;" * 17,3% / 3  ="</f>
        <v>= ,00 * 17,3% / 3  =</v>
      </c>
      <c r="U203" s="440" t="str">
        <f t="shared" si="382"/>
        <v>= ,00 * 17,3% / 3  =</v>
      </c>
      <c r="V203" s="440" t="str">
        <f t="shared" si="382"/>
        <v>= ,00 * 17,3% / 3  =</v>
      </c>
      <c r="W203" s="440" t="str">
        <f t="shared" si="382"/>
        <v>= ,00 * 17,3% / 3  =</v>
      </c>
      <c r="X203" s="440" t="str">
        <f t="shared" si="382"/>
        <v>= ,00 * 17,3% / 3  =</v>
      </c>
      <c r="Y203" s="440" t="str">
        <f t="shared" si="382"/>
        <v>= ,00 * 17,3% / 3  =</v>
      </c>
      <c r="Z203" s="440" t="str">
        <f t="shared" si="382"/>
        <v>= ,00 * 17,3% / 3  =</v>
      </c>
      <c r="AA203" s="440" t="str">
        <f t="shared" si="382"/>
        <v>= ,00 * 17,3% / 3  =</v>
      </c>
      <c r="AB203" s="440" t="str">
        <f t="shared" si="382"/>
        <v>= ,00 * 17,3% / 3  =</v>
      </c>
      <c r="AC203" s="440" t="str">
        <f t="shared" si="382"/>
        <v>= ,00 * 17,3% / 3  =</v>
      </c>
      <c r="AD203" s="440" t="str">
        <f t="shared" si="382"/>
        <v>= ,00 * 17,3% / 3  =</v>
      </c>
      <c r="AE203" s="440" t="str">
        <f t="shared" si="382"/>
        <v>= ,00 * 17,3% / 3  =</v>
      </c>
      <c r="AF203" s="436"/>
      <c r="AG203" s="436"/>
    </row>
    <row r="204" spans="1:33" s="3" customFormat="1">
      <c r="A204" s="436"/>
      <c r="B204" s="623">
        <v>41</v>
      </c>
      <c r="C204" s="439"/>
      <c r="D204" s="439">
        <f t="shared" si="374"/>
        <v>86</v>
      </c>
      <c r="E204" s="439"/>
      <c r="F204" s="443" t="s">
        <v>103</v>
      </c>
      <c r="G204" s="440" t="str">
        <f t="shared" ref="G204" si="383">"= "&amp;TEXT(G56,"#.###,00")&amp;" * 17,3% / 3  ="</f>
        <v>= ,00 * 17,3% / 3  =</v>
      </c>
      <c r="H204" s="440" t="str">
        <f t="shared" ref="H204:P204" si="384">"= "&amp;TEXT(H56,"#.###,00")&amp;" * 17,3% / 3  ="</f>
        <v>= ,00 * 17,3% / 3  =</v>
      </c>
      <c r="I204" s="440" t="str">
        <f t="shared" si="384"/>
        <v>= ,00 * 17,3% / 3  =</v>
      </c>
      <c r="J204" s="440" t="str">
        <f t="shared" si="384"/>
        <v>= ,00 * 17,3% / 3  =</v>
      </c>
      <c r="K204" s="440" t="str">
        <f t="shared" si="384"/>
        <v>= ,00 * 17,3% / 3  =</v>
      </c>
      <c r="L204" s="440" t="str">
        <f t="shared" si="384"/>
        <v>= ,00 * 17,3% / 3  =</v>
      </c>
      <c r="M204" s="440" t="str">
        <f t="shared" si="384"/>
        <v>= ,00 * 17,3% / 3  =</v>
      </c>
      <c r="N204" s="440" t="str">
        <f t="shared" si="384"/>
        <v>= ,00 * 17,3% / 3  =</v>
      </c>
      <c r="O204" s="440" t="str">
        <f t="shared" si="384"/>
        <v>= ,00 * 17,3% / 3  =</v>
      </c>
      <c r="P204" s="440" t="str">
        <f t="shared" si="384"/>
        <v>= ,00 * 17,3% / 3  =</v>
      </c>
      <c r="Q204" s="440" t="str">
        <f t="shared" ref="Q204:S204" si="385">"= "&amp;TEXT(Q56,"#.###,00")&amp;" * 17,3% / 3  ="</f>
        <v>= ,00 * 17,3% / 3  =</v>
      </c>
      <c r="R204" s="440" t="str">
        <f t="shared" si="385"/>
        <v>= ,00 * 17,3% / 3  =</v>
      </c>
      <c r="S204" s="440" t="str">
        <f t="shared" si="385"/>
        <v>= ,00 * 17,3% / 3  =</v>
      </c>
      <c r="T204" s="935" t="str">
        <f t="shared" ref="T204:AE204" si="386">"= "&amp;TEXT(T56,"#.###,00")&amp;" * 17,3% / 3  ="</f>
        <v>= ,00 * 17,3% / 3  =</v>
      </c>
      <c r="U204" s="440" t="str">
        <f t="shared" si="386"/>
        <v>= ,00 * 17,3% / 3  =</v>
      </c>
      <c r="V204" s="440" t="str">
        <f t="shared" si="386"/>
        <v>= ,00 * 17,3% / 3  =</v>
      </c>
      <c r="W204" s="440" t="str">
        <f t="shared" si="386"/>
        <v>= ,00 * 17,3% / 3  =</v>
      </c>
      <c r="X204" s="440" t="str">
        <f t="shared" si="386"/>
        <v>= ,00 * 17,3% / 3  =</v>
      </c>
      <c r="Y204" s="440" t="str">
        <f t="shared" si="386"/>
        <v>= ,00 * 17,3% / 3  =</v>
      </c>
      <c r="Z204" s="440" t="str">
        <f t="shared" si="386"/>
        <v>= ,00 * 17,3% / 3  =</v>
      </c>
      <c r="AA204" s="440" t="str">
        <f t="shared" si="386"/>
        <v>= ,00 * 17,3% / 3  =</v>
      </c>
      <c r="AB204" s="440" t="str">
        <f t="shared" si="386"/>
        <v>= ,00 * 17,3% / 3  =</v>
      </c>
      <c r="AC204" s="440" t="str">
        <f t="shared" si="386"/>
        <v>= ,00 * 17,3% / 3  =</v>
      </c>
      <c r="AD204" s="440" t="str">
        <f t="shared" si="386"/>
        <v>= ,00 * 17,3% / 3  =</v>
      </c>
      <c r="AE204" s="440" t="str">
        <f t="shared" si="386"/>
        <v>= ,00 * 17,3% / 3  =</v>
      </c>
      <c r="AF204" s="436"/>
      <c r="AG204" s="436"/>
    </row>
    <row r="205" spans="1:33" s="3" customFormat="1">
      <c r="A205" s="436"/>
      <c r="B205" s="619">
        <v>42</v>
      </c>
      <c r="C205" s="439"/>
      <c r="D205" s="439">
        <f t="shared" si="374"/>
        <v>87</v>
      </c>
      <c r="E205" s="439"/>
      <c r="F205" s="443" t="s">
        <v>190</v>
      </c>
      <c r="G205" s="440" t="str">
        <f t="shared" ref="G205" si="387">"= "&amp;TEXT(G57,"#.###,00")&amp;" * 17,3% / 3  ="</f>
        <v>= ,00 * 17,3% / 3  =</v>
      </c>
      <c r="H205" s="440" t="str">
        <f t="shared" ref="H205:P205" si="388">"= "&amp;TEXT(H57,"#.###,00")&amp;" * 17,3% / 3  ="</f>
        <v>= ,00 * 17,3% / 3  =</v>
      </c>
      <c r="I205" s="440" t="str">
        <f t="shared" si="388"/>
        <v>= ,00 * 17,3% / 3  =</v>
      </c>
      <c r="J205" s="440" t="str">
        <f t="shared" si="388"/>
        <v>= ,00 * 17,3% / 3  =</v>
      </c>
      <c r="K205" s="440" t="str">
        <f t="shared" si="388"/>
        <v>= ,00 * 17,3% / 3  =</v>
      </c>
      <c r="L205" s="440" t="str">
        <f t="shared" si="388"/>
        <v>= ,00 * 17,3% / 3  =</v>
      </c>
      <c r="M205" s="440" t="str">
        <f t="shared" si="388"/>
        <v>= ,00 * 17,3% / 3  =</v>
      </c>
      <c r="N205" s="440" t="str">
        <f t="shared" si="388"/>
        <v>= ,00 * 17,3% / 3  =</v>
      </c>
      <c r="O205" s="440" t="str">
        <f t="shared" si="388"/>
        <v>= ,00 * 17,3% / 3  =</v>
      </c>
      <c r="P205" s="440" t="str">
        <f t="shared" si="388"/>
        <v>= ,00 * 17,3% / 3  =</v>
      </c>
      <c r="Q205" s="440" t="str">
        <f t="shared" ref="Q205:S205" si="389">"= "&amp;TEXT(Q57,"#.###,00")&amp;" * 17,3% / 3  ="</f>
        <v>= ,00 * 17,3% / 3  =</v>
      </c>
      <c r="R205" s="440" t="str">
        <f t="shared" si="389"/>
        <v>= ,00 * 17,3% / 3  =</v>
      </c>
      <c r="S205" s="440" t="str">
        <f t="shared" si="389"/>
        <v>= ,00 * 17,3% / 3  =</v>
      </c>
      <c r="T205" s="935" t="str">
        <f t="shared" ref="T205:AE205" si="390">"= "&amp;TEXT(T57,"#.###,00")&amp;" * 17,3% / 3  ="</f>
        <v>= ,00 * 17,3% / 3  =</v>
      </c>
      <c r="U205" s="440" t="str">
        <f t="shared" si="390"/>
        <v>= ,00 * 17,3% / 3  =</v>
      </c>
      <c r="V205" s="440" t="str">
        <f t="shared" si="390"/>
        <v>= ,00 * 17,3% / 3  =</v>
      </c>
      <c r="W205" s="440" t="str">
        <f t="shared" si="390"/>
        <v>= ,00 * 17,3% / 3  =</v>
      </c>
      <c r="X205" s="440" t="str">
        <f t="shared" si="390"/>
        <v>= ,00 * 17,3% / 3  =</v>
      </c>
      <c r="Y205" s="440" t="str">
        <f t="shared" si="390"/>
        <v>= ,00 * 17,3% / 3  =</v>
      </c>
      <c r="Z205" s="440" t="str">
        <f t="shared" si="390"/>
        <v>= ,00 * 17,3% / 3  =</v>
      </c>
      <c r="AA205" s="440" t="str">
        <f t="shared" si="390"/>
        <v>= ,00 * 17,3% / 3  =</v>
      </c>
      <c r="AB205" s="440" t="str">
        <f t="shared" si="390"/>
        <v>= ,00 * 17,3% / 3  =</v>
      </c>
      <c r="AC205" s="440" t="str">
        <f t="shared" si="390"/>
        <v>= ,00 * 17,3% / 3  =</v>
      </c>
      <c r="AD205" s="440" t="str">
        <f t="shared" si="390"/>
        <v>= ,00 * 17,3% / 3  =</v>
      </c>
      <c r="AE205" s="440" t="str">
        <f t="shared" si="390"/>
        <v>= ,00 * 17,3% / 3  =</v>
      </c>
      <c r="AF205" s="436"/>
      <c r="AG205" s="436"/>
    </row>
    <row r="206" spans="1:33" s="3" customFormat="1">
      <c r="A206" s="436"/>
      <c r="B206" s="623">
        <v>43</v>
      </c>
      <c r="C206" s="439"/>
      <c r="D206" s="439">
        <f t="shared" si="374"/>
        <v>88</v>
      </c>
      <c r="E206" s="439"/>
      <c r="F206" s="443" t="s">
        <v>191</v>
      </c>
      <c r="G206" s="440" t="str">
        <f t="shared" ref="G206" si="391">"= "&amp;TEXT(G58,"#.###,00")&amp;" * 17,3% / 3  ="</f>
        <v>= ,00 * 17,3% / 3  =</v>
      </c>
      <c r="H206" s="440" t="str">
        <f t="shared" ref="H206:P206" si="392">"= "&amp;TEXT(H58,"#.###,00")&amp;" * 17,3% / 3  ="</f>
        <v>= ,00 * 17,3% / 3  =</v>
      </c>
      <c r="I206" s="440" t="str">
        <f t="shared" si="392"/>
        <v>= ,00 * 17,3% / 3  =</v>
      </c>
      <c r="J206" s="440" t="str">
        <f t="shared" si="392"/>
        <v>= ,00 * 17,3% / 3  =</v>
      </c>
      <c r="K206" s="440" t="str">
        <f t="shared" si="392"/>
        <v>= ,00 * 17,3% / 3  =</v>
      </c>
      <c r="L206" s="440" t="str">
        <f t="shared" si="392"/>
        <v>= ,00 * 17,3% / 3  =</v>
      </c>
      <c r="M206" s="440" t="str">
        <f t="shared" si="392"/>
        <v>= ,00 * 17,3% / 3  =</v>
      </c>
      <c r="N206" s="440" t="str">
        <f t="shared" si="392"/>
        <v>= ,00 * 17,3% / 3  =</v>
      </c>
      <c r="O206" s="440" t="str">
        <f t="shared" si="392"/>
        <v>= ,00 * 17,3% / 3  =</v>
      </c>
      <c r="P206" s="440" t="str">
        <f t="shared" si="392"/>
        <v>= ,00 * 17,3% / 3  =</v>
      </c>
      <c r="Q206" s="440" t="str">
        <f t="shared" ref="Q206:S206" si="393">"= "&amp;TEXT(Q58,"#.###,00")&amp;" * 17,3% / 3  ="</f>
        <v>= ,00 * 17,3% / 3  =</v>
      </c>
      <c r="R206" s="440" t="str">
        <f t="shared" si="393"/>
        <v>= ,00 * 17,3% / 3  =</v>
      </c>
      <c r="S206" s="440" t="str">
        <f t="shared" si="393"/>
        <v>= ,00 * 17,3% / 3  =</v>
      </c>
      <c r="T206" s="935" t="str">
        <f t="shared" ref="T206:AE206" si="394">"= "&amp;TEXT(T58,"#.###,00")&amp;" * 17,3% / 3  ="</f>
        <v>= ,00 * 17,3% / 3  =</v>
      </c>
      <c r="U206" s="440" t="str">
        <f t="shared" si="394"/>
        <v>= ,00 * 17,3% / 3  =</v>
      </c>
      <c r="V206" s="440" t="str">
        <f t="shared" si="394"/>
        <v>= ,00 * 17,3% / 3  =</v>
      </c>
      <c r="W206" s="440" t="str">
        <f t="shared" si="394"/>
        <v>= ,00 * 17,3% / 3  =</v>
      </c>
      <c r="X206" s="440" t="str">
        <f t="shared" si="394"/>
        <v>= ,00 * 17,3% / 3  =</v>
      </c>
      <c r="Y206" s="440" t="str">
        <f t="shared" si="394"/>
        <v>= ,00 * 17,3% / 3  =</v>
      </c>
      <c r="Z206" s="440" t="str">
        <f t="shared" si="394"/>
        <v>= ,00 * 17,3% / 3  =</v>
      </c>
      <c r="AA206" s="440" t="str">
        <f t="shared" si="394"/>
        <v>= ,00 * 17,3% / 3  =</v>
      </c>
      <c r="AB206" s="440" t="str">
        <f t="shared" si="394"/>
        <v>= ,00 * 17,3% / 3  =</v>
      </c>
      <c r="AC206" s="440" t="str">
        <f t="shared" si="394"/>
        <v>= ,00 * 17,3% / 3  =</v>
      </c>
      <c r="AD206" s="440" t="str">
        <f t="shared" si="394"/>
        <v>= ,00 * 17,3% / 3  =</v>
      </c>
      <c r="AE206" s="440" t="str">
        <f t="shared" si="394"/>
        <v>= ,00 * 17,3% / 3  =</v>
      </c>
      <c r="AF206" s="436"/>
      <c r="AG206" s="436"/>
    </row>
    <row r="207" spans="1:33" s="3" customFormat="1">
      <c r="A207" s="436"/>
      <c r="B207" s="619">
        <v>44</v>
      </c>
      <c r="C207" s="439"/>
      <c r="D207" s="439">
        <f t="shared" si="374"/>
        <v>89</v>
      </c>
      <c r="E207" s="439"/>
      <c r="F207" s="443" t="s">
        <v>56</v>
      </c>
      <c r="G207" s="440" t="str">
        <f t="shared" ref="G207" si="395">"= "&amp;TEXT(G59,"#.###,00")&amp;" * 17,3% / 3  ="</f>
        <v>= ,00 * 17,3% / 3  =</v>
      </c>
      <c r="H207" s="440" t="str">
        <f t="shared" ref="H207:P207" si="396">"= "&amp;TEXT(H59,"#.###,00")&amp;" * 17,3% / 3  ="</f>
        <v>= ,00 * 17,3% / 3  =</v>
      </c>
      <c r="I207" s="440" t="str">
        <f t="shared" si="396"/>
        <v>= ,00 * 17,3% / 3  =</v>
      </c>
      <c r="J207" s="440" t="str">
        <f t="shared" si="396"/>
        <v>= ,00 * 17,3% / 3  =</v>
      </c>
      <c r="K207" s="440" t="str">
        <f t="shared" si="396"/>
        <v>= ,00 * 17,3% / 3  =</v>
      </c>
      <c r="L207" s="440" t="str">
        <f t="shared" si="396"/>
        <v>= ,00 * 17,3% / 3  =</v>
      </c>
      <c r="M207" s="440" t="str">
        <f t="shared" si="396"/>
        <v>= ,00 * 17,3% / 3  =</v>
      </c>
      <c r="N207" s="440" t="str">
        <f t="shared" si="396"/>
        <v>= ,00 * 17,3% / 3  =</v>
      </c>
      <c r="O207" s="440" t="str">
        <f t="shared" si="396"/>
        <v>= ,00 * 17,3% / 3  =</v>
      </c>
      <c r="P207" s="440" t="str">
        <f t="shared" si="396"/>
        <v>= ,00 * 17,3% / 3  =</v>
      </c>
      <c r="Q207" s="440" t="str">
        <f t="shared" ref="Q207:S207" si="397">"= "&amp;TEXT(Q59,"#.###,00")&amp;" * 17,3% / 3  ="</f>
        <v>= ,00 * 17,3% / 3  =</v>
      </c>
      <c r="R207" s="440" t="str">
        <f t="shared" si="397"/>
        <v>= ,00 * 17,3% / 3  =</v>
      </c>
      <c r="S207" s="440" t="str">
        <f t="shared" si="397"/>
        <v>= ,00 * 17,3% / 3  =</v>
      </c>
      <c r="T207" s="935" t="str">
        <f t="shared" ref="T207:AE207" si="398">"= "&amp;TEXT(T59,"#.###,00")&amp;" * 17,3% / 3  ="</f>
        <v>= ,00 * 17,3% / 3  =</v>
      </c>
      <c r="U207" s="440" t="str">
        <f t="shared" si="398"/>
        <v>= ,00 * 17,3% / 3  =</v>
      </c>
      <c r="V207" s="440" t="str">
        <f t="shared" si="398"/>
        <v>= ,00 * 17,3% / 3  =</v>
      </c>
      <c r="W207" s="440" t="str">
        <f t="shared" si="398"/>
        <v>= ,00 * 17,3% / 3  =</v>
      </c>
      <c r="X207" s="440" t="str">
        <f t="shared" si="398"/>
        <v>= ,00 * 17,3% / 3  =</v>
      </c>
      <c r="Y207" s="440" t="str">
        <f t="shared" si="398"/>
        <v>= ,00 * 17,3% / 3  =</v>
      </c>
      <c r="Z207" s="440" t="str">
        <f t="shared" si="398"/>
        <v>= ,00 * 17,3% / 3  =</v>
      </c>
      <c r="AA207" s="440" t="str">
        <f t="shared" si="398"/>
        <v>= ,00 * 17,3% / 3  =</v>
      </c>
      <c r="AB207" s="440" t="str">
        <f t="shared" si="398"/>
        <v>= ,00 * 17,3% / 3  =</v>
      </c>
      <c r="AC207" s="440" t="str">
        <f t="shared" si="398"/>
        <v>= ,00 * 17,3% / 3  =</v>
      </c>
      <c r="AD207" s="440" t="str">
        <f t="shared" si="398"/>
        <v>= ,00 * 17,3% / 3  =</v>
      </c>
      <c r="AE207" s="440" t="str">
        <f t="shared" si="398"/>
        <v>= ,00 * 17,3% / 3  =</v>
      </c>
      <c r="AF207" s="436"/>
      <c r="AG207" s="436"/>
    </row>
    <row r="208" spans="1:33" s="3" customFormat="1">
      <c r="A208" s="436"/>
      <c r="B208" s="623">
        <v>45</v>
      </c>
      <c r="C208" s="439"/>
      <c r="D208" s="439">
        <f t="shared" si="374"/>
        <v>90</v>
      </c>
      <c r="E208" s="439"/>
      <c r="F208" s="443" t="s">
        <v>57</v>
      </c>
      <c r="G208" s="440" t="str">
        <f t="shared" ref="G208" si="399">"= "&amp;TEXT(G60,"#.###,00")&amp;" * 17,3% / 3  ="</f>
        <v>= ,00 * 17,3% / 3  =</v>
      </c>
      <c r="H208" s="440" t="str">
        <f t="shared" ref="H208:P208" si="400">"= "&amp;TEXT(H60,"#.###,00")&amp;" * 17,3% / 3  ="</f>
        <v>= ,00 * 17,3% / 3  =</v>
      </c>
      <c r="I208" s="440" t="str">
        <f t="shared" si="400"/>
        <v>= ,00 * 17,3% / 3  =</v>
      </c>
      <c r="J208" s="440" t="str">
        <f t="shared" si="400"/>
        <v>= ,00 * 17,3% / 3  =</v>
      </c>
      <c r="K208" s="440" t="str">
        <f t="shared" si="400"/>
        <v>= ,00 * 17,3% / 3  =</v>
      </c>
      <c r="L208" s="440" t="str">
        <f t="shared" si="400"/>
        <v>= ,00 * 17,3% / 3  =</v>
      </c>
      <c r="M208" s="440" t="str">
        <f t="shared" si="400"/>
        <v>= ,00 * 17,3% / 3  =</v>
      </c>
      <c r="N208" s="440" t="str">
        <f t="shared" si="400"/>
        <v>= ,00 * 17,3% / 3  =</v>
      </c>
      <c r="O208" s="440" t="str">
        <f t="shared" si="400"/>
        <v>= ,00 * 17,3% / 3  =</v>
      </c>
      <c r="P208" s="440" t="str">
        <f t="shared" si="400"/>
        <v>= ,00 * 17,3% / 3  =</v>
      </c>
      <c r="Q208" s="440" t="str">
        <f t="shared" ref="Q208:S208" si="401">"= "&amp;TEXT(Q60,"#.###,00")&amp;" * 17,3% / 3  ="</f>
        <v>= ,00 * 17,3% / 3  =</v>
      </c>
      <c r="R208" s="440" t="str">
        <f t="shared" si="401"/>
        <v>= ,00 * 17,3% / 3  =</v>
      </c>
      <c r="S208" s="440" t="str">
        <f t="shared" si="401"/>
        <v>= ,00 * 17,3% / 3  =</v>
      </c>
      <c r="T208" s="935" t="str">
        <f t="shared" ref="T208:AE208" si="402">"= "&amp;TEXT(T60,"#.###,00")&amp;" * 17,3% / 3  ="</f>
        <v>= ,00 * 17,3% / 3  =</v>
      </c>
      <c r="U208" s="440" t="str">
        <f t="shared" si="402"/>
        <v>= ,00 * 17,3% / 3  =</v>
      </c>
      <c r="V208" s="440" t="str">
        <f t="shared" si="402"/>
        <v>= ,00 * 17,3% / 3  =</v>
      </c>
      <c r="W208" s="440" t="str">
        <f t="shared" si="402"/>
        <v>= ,00 * 17,3% / 3  =</v>
      </c>
      <c r="X208" s="440" t="str">
        <f t="shared" si="402"/>
        <v>= ,00 * 17,3% / 3  =</v>
      </c>
      <c r="Y208" s="440" t="str">
        <f t="shared" si="402"/>
        <v>= ,00 * 17,3% / 3  =</v>
      </c>
      <c r="Z208" s="440" t="str">
        <f t="shared" si="402"/>
        <v>= ,00 * 17,3% / 3  =</v>
      </c>
      <c r="AA208" s="440" t="str">
        <f t="shared" si="402"/>
        <v>= ,00 * 17,3% / 3  =</v>
      </c>
      <c r="AB208" s="440" t="str">
        <f t="shared" si="402"/>
        <v>= ,00 * 17,3% / 3  =</v>
      </c>
      <c r="AC208" s="440" t="str">
        <f t="shared" si="402"/>
        <v>= ,00 * 17,3% / 3  =</v>
      </c>
      <c r="AD208" s="440" t="str">
        <f t="shared" si="402"/>
        <v>= ,00 * 17,3% / 3  =</v>
      </c>
      <c r="AE208" s="440" t="str">
        <f t="shared" si="402"/>
        <v>= ,00 * 17,3% / 3  =</v>
      </c>
      <c r="AF208" s="436"/>
      <c r="AG208" s="436"/>
    </row>
    <row r="209" spans="1:33" s="3" customFormat="1">
      <c r="A209" s="436"/>
      <c r="B209" s="619">
        <v>46</v>
      </c>
      <c r="C209" s="439"/>
      <c r="D209" s="439">
        <f t="shared" si="374"/>
        <v>91</v>
      </c>
      <c r="E209" s="439"/>
      <c r="F209" s="443" t="s">
        <v>58</v>
      </c>
      <c r="G209" s="440" t="str">
        <f t="shared" ref="G209" si="403">"= "&amp;TEXT(G61,"#.###,00")&amp;" * 17,3% / 3  ="</f>
        <v>= ,00 * 17,3% / 3  =</v>
      </c>
      <c r="H209" s="440" t="str">
        <f t="shared" ref="H209:P209" si="404">"= "&amp;TEXT(H61,"#.###,00")&amp;" * 17,3% / 3  ="</f>
        <v>= ,00 * 17,3% / 3  =</v>
      </c>
      <c r="I209" s="440" t="str">
        <f t="shared" si="404"/>
        <v>= ,00 * 17,3% / 3  =</v>
      </c>
      <c r="J209" s="440" t="str">
        <f t="shared" si="404"/>
        <v>= ,00 * 17,3% / 3  =</v>
      </c>
      <c r="K209" s="440" t="str">
        <f t="shared" si="404"/>
        <v>= ,00 * 17,3% / 3  =</v>
      </c>
      <c r="L209" s="440" t="str">
        <f t="shared" si="404"/>
        <v>= ,00 * 17,3% / 3  =</v>
      </c>
      <c r="M209" s="440" t="str">
        <f t="shared" si="404"/>
        <v>= ,00 * 17,3% / 3  =</v>
      </c>
      <c r="N209" s="440" t="str">
        <f t="shared" si="404"/>
        <v>= ,00 * 17,3% / 3  =</v>
      </c>
      <c r="O209" s="440" t="str">
        <f t="shared" si="404"/>
        <v>= ,00 * 17,3% / 3  =</v>
      </c>
      <c r="P209" s="440" t="str">
        <f t="shared" si="404"/>
        <v>= ,00 * 17,3% / 3  =</v>
      </c>
      <c r="Q209" s="440" t="str">
        <f t="shared" ref="Q209:S209" si="405">"= "&amp;TEXT(Q61,"#.###,00")&amp;" * 17,3% / 3  ="</f>
        <v>= ,00 * 17,3% / 3  =</v>
      </c>
      <c r="R209" s="440" t="str">
        <f t="shared" si="405"/>
        <v>= ,00 * 17,3% / 3  =</v>
      </c>
      <c r="S209" s="440" t="str">
        <f t="shared" si="405"/>
        <v>= ,00 * 17,3% / 3  =</v>
      </c>
      <c r="T209" s="935" t="str">
        <f t="shared" ref="T209:AE209" si="406">"= "&amp;TEXT(T61,"#.###,00")&amp;" * 17,3% / 3  ="</f>
        <v>= ,00 * 17,3% / 3  =</v>
      </c>
      <c r="U209" s="440" t="str">
        <f t="shared" si="406"/>
        <v>= ,00 * 17,3% / 3  =</v>
      </c>
      <c r="V209" s="440" t="str">
        <f t="shared" si="406"/>
        <v>= ,00 * 17,3% / 3  =</v>
      </c>
      <c r="W209" s="440" t="str">
        <f t="shared" si="406"/>
        <v>= ,00 * 17,3% / 3  =</v>
      </c>
      <c r="X209" s="440" t="str">
        <f t="shared" si="406"/>
        <v>= ,00 * 17,3% / 3  =</v>
      </c>
      <c r="Y209" s="440" t="str">
        <f t="shared" si="406"/>
        <v>= ,00 * 17,3% / 3  =</v>
      </c>
      <c r="Z209" s="440" t="str">
        <f t="shared" si="406"/>
        <v>= ,00 * 17,3% / 3  =</v>
      </c>
      <c r="AA209" s="440" t="str">
        <f t="shared" si="406"/>
        <v>= ,00 * 17,3% / 3  =</v>
      </c>
      <c r="AB209" s="440" t="str">
        <f t="shared" si="406"/>
        <v>= ,00 * 17,3% / 3  =</v>
      </c>
      <c r="AC209" s="440" t="str">
        <f t="shared" si="406"/>
        <v>= ,00 * 17,3% / 3  =</v>
      </c>
      <c r="AD209" s="440" t="str">
        <f t="shared" si="406"/>
        <v>= ,00 * 17,3% / 3  =</v>
      </c>
      <c r="AE209" s="440" t="str">
        <f t="shared" si="406"/>
        <v>= ,00 * 17,3% / 3  =</v>
      </c>
      <c r="AF209" s="436"/>
      <c r="AG209" s="436"/>
    </row>
    <row r="210" spans="1:33" s="3" customFormat="1">
      <c r="A210" s="436"/>
      <c r="B210" s="623">
        <v>47</v>
      </c>
      <c r="C210" s="439"/>
      <c r="D210" s="439">
        <f t="shared" si="374"/>
        <v>92</v>
      </c>
      <c r="E210" s="439"/>
      <c r="F210" s="443" t="s">
        <v>59</v>
      </c>
      <c r="G210" s="440" t="str">
        <f t="shared" ref="G210" si="407">"= "&amp;TEXT(G62,"#.###,00")&amp;" * 17,3% / 3  ="</f>
        <v>= ,00 * 17,3% / 3  =</v>
      </c>
      <c r="H210" s="440" t="str">
        <f t="shared" ref="H210:P210" si="408">"= "&amp;TEXT(H62,"#.###,00")&amp;" * 17,3% / 3  ="</f>
        <v>= ,00 * 17,3% / 3  =</v>
      </c>
      <c r="I210" s="440" t="str">
        <f t="shared" si="408"/>
        <v>= ,00 * 17,3% / 3  =</v>
      </c>
      <c r="J210" s="440" t="str">
        <f t="shared" si="408"/>
        <v>= ,00 * 17,3% / 3  =</v>
      </c>
      <c r="K210" s="440" t="str">
        <f t="shared" si="408"/>
        <v>= ,00 * 17,3% / 3  =</v>
      </c>
      <c r="L210" s="440" t="str">
        <f t="shared" si="408"/>
        <v>= ,00 * 17,3% / 3  =</v>
      </c>
      <c r="M210" s="440" t="str">
        <f t="shared" si="408"/>
        <v>= ,00 * 17,3% / 3  =</v>
      </c>
      <c r="N210" s="440" t="str">
        <f t="shared" si="408"/>
        <v>= ,00 * 17,3% / 3  =</v>
      </c>
      <c r="O210" s="440" t="str">
        <f t="shared" si="408"/>
        <v>= ,00 * 17,3% / 3  =</v>
      </c>
      <c r="P210" s="440" t="str">
        <f t="shared" si="408"/>
        <v>= ,00 * 17,3% / 3  =</v>
      </c>
      <c r="Q210" s="440" t="str">
        <f t="shared" ref="Q210:S210" si="409">"= "&amp;TEXT(Q62,"#.###,00")&amp;" * 17,3% / 3  ="</f>
        <v>= ,00 * 17,3% / 3  =</v>
      </c>
      <c r="R210" s="440" t="str">
        <f t="shared" si="409"/>
        <v>= ,00 * 17,3% / 3  =</v>
      </c>
      <c r="S210" s="440" t="str">
        <f t="shared" si="409"/>
        <v>= ,00 * 17,3% / 3  =</v>
      </c>
      <c r="T210" s="935" t="str">
        <f t="shared" ref="T210:AE210" si="410">"= "&amp;TEXT(T62,"#.###,00")&amp;" * 17,3% / 3  ="</f>
        <v>= ,00 * 17,3% / 3  =</v>
      </c>
      <c r="U210" s="440" t="str">
        <f t="shared" si="410"/>
        <v>= ,00 * 17,3% / 3  =</v>
      </c>
      <c r="V210" s="440" t="str">
        <f t="shared" si="410"/>
        <v>= ,00 * 17,3% / 3  =</v>
      </c>
      <c r="W210" s="440" t="str">
        <f t="shared" si="410"/>
        <v>= ,00 * 17,3% / 3  =</v>
      </c>
      <c r="X210" s="440" t="str">
        <f t="shared" si="410"/>
        <v>= ,00 * 17,3% / 3  =</v>
      </c>
      <c r="Y210" s="440" t="str">
        <f t="shared" si="410"/>
        <v>= ,00 * 17,3% / 3  =</v>
      </c>
      <c r="Z210" s="440" t="str">
        <f t="shared" si="410"/>
        <v>= ,00 * 17,3% / 3  =</v>
      </c>
      <c r="AA210" s="440" t="str">
        <f t="shared" si="410"/>
        <v>= ,00 * 17,3% / 3  =</v>
      </c>
      <c r="AB210" s="440" t="str">
        <f t="shared" si="410"/>
        <v>= ,00 * 17,3% / 3  =</v>
      </c>
      <c r="AC210" s="440" t="str">
        <f t="shared" si="410"/>
        <v>= ,00 * 17,3% / 3  =</v>
      </c>
      <c r="AD210" s="440" t="str">
        <f t="shared" si="410"/>
        <v>= ,00 * 17,3% / 3  =</v>
      </c>
      <c r="AE210" s="440" t="str">
        <f t="shared" si="410"/>
        <v>= ,00 * 17,3% / 3  =</v>
      </c>
      <c r="AF210" s="436"/>
      <c r="AG210" s="436"/>
    </row>
    <row r="211" spans="1:33" s="3" customFormat="1">
      <c r="A211" s="436"/>
      <c r="B211" s="619">
        <v>48</v>
      </c>
      <c r="C211" s="439"/>
      <c r="D211" s="439">
        <f t="shared" si="374"/>
        <v>93</v>
      </c>
      <c r="E211" s="439"/>
      <c r="F211" s="443" t="s">
        <v>340</v>
      </c>
      <c r="G211" s="440" t="str">
        <f t="shared" ref="G211" si="411">"= "&amp;TEXT(G63,"#.###,00")&amp;" * 17,3% /3  ="</f>
        <v>= ,00 * 17,3% /3  =</v>
      </c>
      <c r="H211" s="440" t="str">
        <f t="shared" ref="H211:P211" si="412">"= "&amp;TEXT(H63,"#.###,00")&amp;" * 17,3% /3  ="</f>
        <v>= ,00 * 17,3% /3  =</v>
      </c>
      <c r="I211" s="440" t="str">
        <f t="shared" si="412"/>
        <v>= ,00 * 17,3% /3  =</v>
      </c>
      <c r="J211" s="440" t="str">
        <f t="shared" si="412"/>
        <v>= ,00 * 17,3% /3  =</v>
      </c>
      <c r="K211" s="440" t="str">
        <f t="shared" si="412"/>
        <v>= ,00 * 17,3% /3  =</v>
      </c>
      <c r="L211" s="440" t="str">
        <f t="shared" si="412"/>
        <v>= ,00 * 17,3% /3  =</v>
      </c>
      <c r="M211" s="440" t="str">
        <f t="shared" si="412"/>
        <v>= ,00 * 17,3% /3  =</v>
      </c>
      <c r="N211" s="440" t="str">
        <f t="shared" si="412"/>
        <v>= ,00 * 17,3% /3  =</v>
      </c>
      <c r="O211" s="440" t="str">
        <f t="shared" si="412"/>
        <v>= ,00 * 17,3% /3  =</v>
      </c>
      <c r="P211" s="440" t="str">
        <f t="shared" si="412"/>
        <v>= ,00 * 17,3% /3  =</v>
      </c>
      <c r="Q211" s="440" t="str">
        <f t="shared" ref="Q211:S211" si="413">"= "&amp;TEXT(Q63,"#.###,00")&amp;" * 17,3% /3  ="</f>
        <v>= ,00 * 17,3% /3  =</v>
      </c>
      <c r="R211" s="440" t="str">
        <f t="shared" si="413"/>
        <v>= ,00 * 17,3% /3  =</v>
      </c>
      <c r="S211" s="440" t="str">
        <f t="shared" si="413"/>
        <v>= ,00 * 17,3% /3  =</v>
      </c>
      <c r="T211" s="935" t="str">
        <f t="shared" ref="T211:AE211" si="414">"= "&amp;TEXT(T63,"#.###,00")&amp;" * 17,3% /3  ="</f>
        <v>= ,00 * 17,3% /3  =</v>
      </c>
      <c r="U211" s="440" t="str">
        <f t="shared" si="414"/>
        <v>= ,00 * 17,3% /3  =</v>
      </c>
      <c r="V211" s="440" t="str">
        <f t="shared" si="414"/>
        <v>= ,00 * 17,3% /3  =</v>
      </c>
      <c r="W211" s="440" t="str">
        <f t="shared" si="414"/>
        <v>= ,00 * 17,3% /3  =</v>
      </c>
      <c r="X211" s="440" t="str">
        <f t="shared" si="414"/>
        <v>= ,00 * 17,3% /3  =</v>
      </c>
      <c r="Y211" s="440" t="str">
        <f t="shared" si="414"/>
        <v>= ,00 * 17,3% /3  =</v>
      </c>
      <c r="Z211" s="440" t="str">
        <f t="shared" si="414"/>
        <v>= ,00 * 17,3% /3  =</v>
      </c>
      <c r="AA211" s="440" t="str">
        <f t="shared" si="414"/>
        <v>= ,00 * 17,3% /3  =</v>
      </c>
      <c r="AB211" s="440" t="str">
        <f t="shared" si="414"/>
        <v>= ,00 * 17,3% /3  =</v>
      </c>
      <c r="AC211" s="440" t="str">
        <f t="shared" si="414"/>
        <v>= ,00 * 17,3% /3  =</v>
      </c>
      <c r="AD211" s="440" t="str">
        <f t="shared" si="414"/>
        <v>= ,00 * 17,3% /3  =</v>
      </c>
      <c r="AE211" s="440" t="str">
        <f t="shared" si="414"/>
        <v>= ,00 * 17,3% /3  =</v>
      </c>
      <c r="AF211" s="436"/>
      <c r="AG211" s="436"/>
    </row>
    <row r="212" spans="1:33" s="3" customFormat="1">
      <c r="A212" s="436"/>
      <c r="B212" s="623">
        <v>49</v>
      </c>
      <c r="C212" s="439"/>
      <c r="D212" s="439">
        <f t="shared" si="374"/>
        <v>94</v>
      </c>
      <c r="E212" s="439"/>
      <c r="F212" s="443" t="s">
        <v>14</v>
      </c>
      <c r="G212" s="440" t="str">
        <f t="shared" ref="G212" si="415">"= "&amp;TEXT(G64,"#.###,00")&amp;" * 17,3% / 3  ="</f>
        <v>= ,00 * 17,3% / 3  =</v>
      </c>
      <c r="H212" s="440" t="str">
        <f t="shared" ref="H212:P212" si="416">"= "&amp;TEXT(H64,"#.###,00")&amp;" * 17,3% / 3  ="</f>
        <v>= ,00 * 17,3% / 3  =</v>
      </c>
      <c r="I212" s="440" t="str">
        <f t="shared" si="416"/>
        <v>= ,00 * 17,3% / 3  =</v>
      </c>
      <c r="J212" s="440" t="str">
        <f t="shared" si="416"/>
        <v>= ,00 * 17,3% / 3  =</v>
      </c>
      <c r="K212" s="440" t="str">
        <f t="shared" si="416"/>
        <v>= ,00 * 17,3% / 3  =</v>
      </c>
      <c r="L212" s="440" t="str">
        <f t="shared" si="416"/>
        <v>= ,00 * 17,3% / 3  =</v>
      </c>
      <c r="M212" s="440" t="str">
        <f t="shared" si="416"/>
        <v>= ,00 * 17,3% / 3  =</v>
      </c>
      <c r="N212" s="440" t="str">
        <f t="shared" si="416"/>
        <v>= ,00 * 17,3% / 3  =</v>
      </c>
      <c r="O212" s="440" t="str">
        <f t="shared" si="416"/>
        <v>= ,00 * 17,3% / 3  =</v>
      </c>
      <c r="P212" s="440" t="str">
        <f t="shared" si="416"/>
        <v>= ,00 * 17,3% / 3  =</v>
      </c>
      <c r="Q212" s="440" t="str">
        <f t="shared" ref="Q212:S212" si="417">"= "&amp;TEXT(Q64,"#.###,00")&amp;" * 17,3% / 3  ="</f>
        <v>= ,00 * 17,3% / 3  =</v>
      </c>
      <c r="R212" s="440" t="str">
        <f t="shared" si="417"/>
        <v>= ,00 * 17,3% / 3  =</v>
      </c>
      <c r="S212" s="440" t="str">
        <f t="shared" si="417"/>
        <v>= ,00 * 17,3% / 3  =</v>
      </c>
      <c r="T212" s="935" t="str">
        <f t="shared" ref="T212:AE212" si="418">"= "&amp;TEXT(T64,"#.###,00")&amp;" * 17,3% / 3  ="</f>
        <v>= ,00 * 17,3% / 3  =</v>
      </c>
      <c r="U212" s="440" t="str">
        <f t="shared" si="418"/>
        <v>= ,00 * 17,3% / 3  =</v>
      </c>
      <c r="V212" s="440" t="str">
        <f t="shared" si="418"/>
        <v>= ,00 * 17,3% / 3  =</v>
      </c>
      <c r="W212" s="440" t="str">
        <f t="shared" si="418"/>
        <v>= ,00 * 17,3% / 3  =</v>
      </c>
      <c r="X212" s="440" t="str">
        <f t="shared" si="418"/>
        <v>= ,00 * 17,3% / 3  =</v>
      </c>
      <c r="Y212" s="440" t="str">
        <f t="shared" si="418"/>
        <v>= ,00 * 17,3% / 3  =</v>
      </c>
      <c r="Z212" s="440" t="str">
        <f t="shared" si="418"/>
        <v>= ,00 * 17,3% / 3  =</v>
      </c>
      <c r="AA212" s="440" t="str">
        <f t="shared" si="418"/>
        <v>= ,00 * 17,3% / 3  =</v>
      </c>
      <c r="AB212" s="440" t="str">
        <f t="shared" si="418"/>
        <v>= ,00 * 17,3% / 3  =</v>
      </c>
      <c r="AC212" s="440" t="str">
        <f t="shared" si="418"/>
        <v>= ,00 * 17,3% / 3  =</v>
      </c>
      <c r="AD212" s="440" t="str">
        <f t="shared" si="418"/>
        <v>= ,00 * 17,3% / 3  =</v>
      </c>
      <c r="AE212" s="440" t="str">
        <f t="shared" si="418"/>
        <v>= ,00 * 17,3% / 3  =</v>
      </c>
      <c r="AF212" s="436"/>
      <c r="AG212" s="436"/>
    </row>
    <row r="213" spans="1:33" s="3" customFormat="1">
      <c r="A213" s="436"/>
      <c r="B213" s="619">
        <v>50</v>
      </c>
      <c r="C213" s="439"/>
      <c r="D213" s="439">
        <f t="shared" si="374"/>
        <v>95</v>
      </c>
      <c r="E213" s="439"/>
      <c r="F213" s="443" t="s">
        <v>349</v>
      </c>
      <c r="G213" s="440" t="str">
        <f t="shared" ref="G213" si="419">"= "&amp;TEXT(G66,"#.###,00")&amp;" * 17,3% / 3  ="</f>
        <v>= ,00 * 17,3% / 3  =</v>
      </c>
      <c r="H213" s="440" t="str">
        <f t="shared" ref="H213:P213" si="420">"= "&amp;TEXT(H66,"#.###,00")&amp;" * 17,3% / 3  ="</f>
        <v>= ,00 * 17,3% / 3  =</v>
      </c>
      <c r="I213" s="440" t="str">
        <f t="shared" si="420"/>
        <v>= ,00 * 17,3% / 3  =</v>
      </c>
      <c r="J213" s="440" t="str">
        <f t="shared" si="420"/>
        <v>= ,00 * 17,3% / 3  =</v>
      </c>
      <c r="K213" s="440" t="str">
        <f t="shared" si="420"/>
        <v>= ,00 * 17,3% / 3  =</v>
      </c>
      <c r="L213" s="440" t="str">
        <f t="shared" si="420"/>
        <v>= ,00 * 17,3% / 3  =</v>
      </c>
      <c r="M213" s="440" t="str">
        <f t="shared" si="420"/>
        <v>= ,00 * 17,3% / 3  =</v>
      </c>
      <c r="N213" s="440" t="str">
        <f t="shared" si="420"/>
        <v>= ,00 * 17,3% / 3  =</v>
      </c>
      <c r="O213" s="440" t="str">
        <f t="shared" si="420"/>
        <v>= ,00 * 17,3% / 3  =</v>
      </c>
      <c r="P213" s="440" t="str">
        <f t="shared" si="420"/>
        <v>= ,00 * 17,3% / 3  =</v>
      </c>
      <c r="Q213" s="440" t="str">
        <f t="shared" ref="Q213:S213" si="421">"= "&amp;TEXT(Q66,"#.###,00")&amp;" * 17,3% / 3  ="</f>
        <v>= ,00 * 17,3% / 3  =</v>
      </c>
      <c r="R213" s="440" t="str">
        <f t="shared" si="421"/>
        <v>= ,00 * 17,3% / 3  =</v>
      </c>
      <c r="S213" s="440" t="str">
        <f t="shared" si="421"/>
        <v>= ,00 * 17,3% / 3  =</v>
      </c>
      <c r="T213" s="935" t="str">
        <f t="shared" ref="T213:AE213" si="422">"= "&amp;TEXT(T66,"#.###,00")&amp;" * 17,3% / 3  ="</f>
        <v>= ,00 * 17,3% / 3  =</v>
      </c>
      <c r="U213" s="440" t="str">
        <f t="shared" si="422"/>
        <v>= ,00 * 17,3% / 3  =</v>
      </c>
      <c r="V213" s="440" t="str">
        <f t="shared" si="422"/>
        <v>= ,00 * 17,3% / 3  =</v>
      </c>
      <c r="W213" s="440" t="str">
        <f t="shared" si="422"/>
        <v>= ,00 * 17,3% / 3  =</v>
      </c>
      <c r="X213" s="440" t="str">
        <f t="shared" si="422"/>
        <v>= ,00 * 17,3% / 3  =</v>
      </c>
      <c r="Y213" s="440" t="str">
        <f t="shared" si="422"/>
        <v>= ,00 * 17,3% / 3  =</v>
      </c>
      <c r="Z213" s="440" t="str">
        <f t="shared" si="422"/>
        <v>= ,00 * 17,3% / 3  =</v>
      </c>
      <c r="AA213" s="440" t="str">
        <f t="shared" si="422"/>
        <v>= ,00 * 17,3% / 3  =</v>
      </c>
      <c r="AB213" s="440" t="str">
        <f t="shared" si="422"/>
        <v>= ,00 * 17,3% / 3  =</v>
      </c>
      <c r="AC213" s="440" t="str">
        <f t="shared" si="422"/>
        <v>= ,00 * 17,3% / 3  =</v>
      </c>
      <c r="AD213" s="440" t="str">
        <f t="shared" si="422"/>
        <v>= ,00 * 17,3% / 3  =</v>
      </c>
      <c r="AE213" s="440" t="str">
        <f t="shared" si="422"/>
        <v>= ,00 * 17,3% / 3  =</v>
      </c>
      <c r="AF213" s="436"/>
      <c r="AG213" s="436"/>
    </row>
    <row r="214" spans="1:33" s="3" customFormat="1">
      <c r="A214" s="436"/>
      <c r="B214" s="623">
        <v>51</v>
      </c>
      <c r="C214" s="439"/>
      <c r="D214" s="439">
        <f t="shared" si="374"/>
        <v>96</v>
      </c>
      <c r="E214" s="439"/>
      <c r="F214" s="443" t="s">
        <v>576</v>
      </c>
      <c r="G214" s="440" t="str">
        <f t="shared" ref="G214" si="423">"= "&amp;TEXT(G67,"#.###,00")&amp;" * 17,3% / 3  ="</f>
        <v>= ,00 * 17,3% / 3  =</v>
      </c>
      <c r="H214" s="440" t="str">
        <f t="shared" ref="H214:P214" si="424">"= "&amp;TEXT(H67,"#.###,00")&amp;" * 17,3% / 3  ="</f>
        <v>= ,00 * 17,3% / 3  =</v>
      </c>
      <c r="I214" s="440" t="str">
        <f t="shared" si="424"/>
        <v>= ,00 * 17,3% / 3  =</v>
      </c>
      <c r="J214" s="440" t="str">
        <f t="shared" si="424"/>
        <v>= ,00 * 17,3% / 3  =</v>
      </c>
      <c r="K214" s="440" t="str">
        <f t="shared" si="424"/>
        <v>= ,00 * 17,3% / 3  =</v>
      </c>
      <c r="L214" s="440" t="str">
        <f t="shared" si="424"/>
        <v>= ,00 * 17,3% / 3  =</v>
      </c>
      <c r="M214" s="440" t="str">
        <f t="shared" si="424"/>
        <v>= ,00 * 17,3% / 3  =</v>
      </c>
      <c r="N214" s="440" t="str">
        <f t="shared" si="424"/>
        <v>= ,00 * 17,3% / 3  =</v>
      </c>
      <c r="O214" s="440" t="str">
        <f t="shared" si="424"/>
        <v>= ,00 * 17,3% / 3  =</v>
      </c>
      <c r="P214" s="440" t="str">
        <f t="shared" si="424"/>
        <v>= ,00 * 17,3% / 3  =</v>
      </c>
      <c r="Q214" s="440" t="str">
        <f t="shared" ref="Q214:S214" si="425">"= "&amp;TEXT(Q67,"#.###,00")&amp;" * 17,3% / 3  ="</f>
        <v>= ,00 * 17,3% / 3  =</v>
      </c>
      <c r="R214" s="440" t="str">
        <f t="shared" si="425"/>
        <v>= ,00 * 17,3% / 3  =</v>
      </c>
      <c r="S214" s="440" t="str">
        <f t="shared" si="425"/>
        <v>= ,00 * 17,3% / 3  =</v>
      </c>
      <c r="T214" s="935" t="str">
        <f t="shared" ref="T214:AE214" si="426">"= "&amp;TEXT(T67,"#.###,00")&amp;" * 17,3% / 3  ="</f>
        <v>= ,00 * 17,3% / 3  =</v>
      </c>
      <c r="U214" s="440" t="str">
        <f t="shared" si="426"/>
        <v>= ,00 * 17,3% / 3  =</v>
      </c>
      <c r="V214" s="440" t="str">
        <f t="shared" si="426"/>
        <v>= ,00 * 17,3% / 3  =</v>
      </c>
      <c r="W214" s="440" t="str">
        <f t="shared" si="426"/>
        <v>= ,00 * 17,3% / 3  =</v>
      </c>
      <c r="X214" s="440" t="str">
        <f t="shared" si="426"/>
        <v>= ,00 * 17,3% / 3  =</v>
      </c>
      <c r="Y214" s="440" t="str">
        <f t="shared" si="426"/>
        <v>= ,00 * 17,3% / 3  =</v>
      </c>
      <c r="Z214" s="440" t="str">
        <f t="shared" si="426"/>
        <v>= ,00 * 17,3% / 3  =</v>
      </c>
      <c r="AA214" s="440" t="str">
        <f t="shared" si="426"/>
        <v>= ,00 * 17,3% / 3  =</v>
      </c>
      <c r="AB214" s="440" t="str">
        <f t="shared" si="426"/>
        <v>= ,00 * 17,3% / 3  =</v>
      </c>
      <c r="AC214" s="440" t="str">
        <f t="shared" si="426"/>
        <v>= ,00 * 17,3% / 3  =</v>
      </c>
      <c r="AD214" s="440" t="str">
        <f t="shared" si="426"/>
        <v>= ,00 * 17,3% / 3  =</v>
      </c>
      <c r="AE214" s="440" t="str">
        <f t="shared" si="426"/>
        <v>= ,00 * 17,3% / 3  =</v>
      </c>
      <c r="AF214" s="436"/>
      <c r="AG214" s="436"/>
    </row>
    <row r="215" spans="1:33" s="3" customFormat="1">
      <c r="A215" s="436"/>
      <c r="B215" s="619">
        <v>52</v>
      </c>
      <c r="C215" s="439"/>
      <c r="D215" s="439">
        <f t="shared" si="374"/>
        <v>97</v>
      </c>
      <c r="E215" s="439"/>
      <c r="F215" s="443" t="s">
        <v>547</v>
      </c>
      <c r="G215" s="440" t="str">
        <f t="shared" ref="G215" si="427">"= "&amp;TEXT(G68,"#.###,00")&amp;" * 17,3% / 3  ="</f>
        <v>= ,00 * 17,3% / 3  =</v>
      </c>
      <c r="H215" s="440" t="str">
        <f t="shared" ref="H215:P215" si="428">"= "&amp;TEXT(H68,"#.###,00")&amp;" * 17,3% / 3  ="</f>
        <v>= ,00 * 17,3% / 3  =</v>
      </c>
      <c r="I215" s="440" t="str">
        <f t="shared" si="428"/>
        <v>= ,00 * 17,3% / 3  =</v>
      </c>
      <c r="J215" s="440" t="str">
        <f t="shared" si="428"/>
        <v>= ,00 * 17,3% / 3  =</v>
      </c>
      <c r="K215" s="440" t="str">
        <f t="shared" si="428"/>
        <v>= ,00 * 17,3% / 3  =</v>
      </c>
      <c r="L215" s="440" t="str">
        <f t="shared" si="428"/>
        <v>= ,00 * 17,3% / 3  =</v>
      </c>
      <c r="M215" s="440" t="str">
        <f t="shared" si="428"/>
        <v>= ,00 * 17,3% / 3  =</v>
      </c>
      <c r="N215" s="440" t="str">
        <f t="shared" si="428"/>
        <v>= ,00 * 17,3% / 3  =</v>
      </c>
      <c r="O215" s="440" t="str">
        <f t="shared" si="428"/>
        <v>= ,00 * 17,3% / 3  =</v>
      </c>
      <c r="P215" s="440" t="str">
        <f t="shared" si="428"/>
        <v>= ,00 * 17,3% / 3  =</v>
      </c>
      <c r="Q215" s="440" t="str">
        <f t="shared" ref="Q215:S215" si="429">"= "&amp;TEXT(Q68,"#.###,00")&amp;" * 17,3% / 3  ="</f>
        <v>= ,00 * 17,3% / 3  =</v>
      </c>
      <c r="R215" s="440" t="str">
        <f t="shared" si="429"/>
        <v>= ,00 * 17,3% / 3  =</v>
      </c>
      <c r="S215" s="440" t="str">
        <f t="shared" si="429"/>
        <v>= ,00 * 17,3% / 3  =</v>
      </c>
      <c r="T215" s="935" t="str">
        <f t="shared" ref="T215:AE215" si="430">"= "&amp;TEXT(T68,"#.###,00")&amp;" * 17,3% / 3  ="</f>
        <v>= ,00 * 17,3% / 3  =</v>
      </c>
      <c r="U215" s="440" t="str">
        <f t="shared" si="430"/>
        <v>= ,00 * 17,3% / 3  =</v>
      </c>
      <c r="V215" s="440" t="str">
        <f t="shared" si="430"/>
        <v>= ,00 * 17,3% / 3  =</v>
      </c>
      <c r="W215" s="440" t="str">
        <f t="shared" si="430"/>
        <v>= ,00 * 17,3% / 3  =</v>
      </c>
      <c r="X215" s="440" t="str">
        <f t="shared" si="430"/>
        <v>= ,00 * 17,3% / 3  =</v>
      </c>
      <c r="Y215" s="440" t="str">
        <f t="shared" si="430"/>
        <v>= ,00 * 17,3% / 3  =</v>
      </c>
      <c r="Z215" s="440" t="str">
        <f t="shared" si="430"/>
        <v>= ,00 * 17,3% / 3  =</v>
      </c>
      <c r="AA215" s="440" t="str">
        <f t="shared" si="430"/>
        <v>= ,00 * 17,3% / 3  =</v>
      </c>
      <c r="AB215" s="440" t="str">
        <f t="shared" si="430"/>
        <v>= ,00 * 17,3% / 3  =</v>
      </c>
      <c r="AC215" s="440" t="str">
        <f t="shared" si="430"/>
        <v>= ,00 * 17,3% / 3  =</v>
      </c>
      <c r="AD215" s="440" t="str">
        <f t="shared" si="430"/>
        <v>= ,00 * 17,3% / 3  =</v>
      </c>
      <c r="AE215" s="440" t="str">
        <f t="shared" si="430"/>
        <v>= ,00 * 17,3% / 3  =</v>
      </c>
      <c r="AF215" s="436"/>
      <c r="AG215" s="436"/>
    </row>
    <row r="216" spans="1:33" s="481" customFormat="1">
      <c r="B216" s="623">
        <v>53</v>
      </c>
      <c r="C216" s="439"/>
      <c r="D216" s="439">
        <f t="shared" si="374"/>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374"/>
        <v>99</v>
      </c>
      <c r="E217" s="439"/>
      <c r="F217" s="443" t="s">
        <v>108</v>
      </c>
      <c r="G217" s="444" t="str">
        <f t="shared" ref="G217" si="431">"=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ref="H217:P217" si="432">"= de pensionsgivende løndele der overstiger slut skalatrin"&amp;" - ("&amp;TEXT(ROUND(ROUND(VLOOKUP(IF(LEFT(H4)="B",33,42),Skalalontabel12,7,0)*H6,0)/12,2),"#.###,00")&amp;" * "&amp;TEXT(H10,"0,0000")&amp;"] * "&amp;TEXT(H3,"#0/#0")&amp;" * 18% / 3 ="</f>
        <v>= de pensionsgivende løndele der overstiger slut skalatrin - (37.163,33 * 0,0000] * 1/1 * 18% / 3 =</v>
      </c>
      <c r="I217" s="444" t="str">
        <f t="shared" si="432"/>
        <v>= de pensionsgivende løndele der overstiger slut skalatrin - (37.163,33 * 0,0000] * 1/1 * 18% / 3 =</v>
      </c>
      <c r="J217" s="444" t="str">
        <f t="shared" si="432"/>
        <v>= de pensionsgivende løndele der overstiger slut skalatrin - (,00 * 0,0000] * 1/1 * 18% / 3 =</v>
      </c>
      <c r="K217" s="444" t="str">
        <f t="shared" si="432"/>
        <v>= de pensionsgivende løndele der overstiger slut skalatrin - (,00 * 0,0000] * 1/1 * 18% / 3 =</v>
      </c>
      <c r="L217" s="444" t="str">
        <f t="shared" si="432"/>
        <v>= de pensionsgivende løndele der overstiger slut skalatrin - (,00 * 0,0000] * 1/1 * 18% / 3 =</v>
      </c>
      <c r="M217" s="444" t="str">
        <f t="shared" si="432"/>
        <v>= de pensionsgivende løndele der overstiger slut skalatrin - (,00 * 0,0000] * 1/1 * 18% / 3 =</v>
      </c>
      <c r="N217" s="444" t="str">
        <f t="shared" si="432"/>
        <v>= de pensionsgivende løndele der overstiger slut skalatrin - (,00 * 0,0000] * 1/1 * 18% / 3 =</v>
      </c>
      <c r="O217" s="444" t="str">
        <f t="shared" si="432"/>
        <v>= de pensionsgivende løndele der overstiger slut skalatrin - (,00 * 0,0000] * 1/1 * 18% / 3 =</v>
      </c>
      <c r="P217" s="444" t="str">
        <f t="shared" si="432"/>
        <v>= de pensionsgivende løndele der overstiger slut skalatrin - (,00 * 0,0000] * 1/1 * 18% / 3 =</v>
      </c>
      <c r="Q217" s="444" t="str">
        <f t="shared" ref="Q217:S217" si="433">"= de pensionsgivende løndele der overstiger slut skalatrin"&amp;" - ("&amp;TEXT(ROUND(ROUND(VLOOKUP(IF(LEFT(Q4)="B",33,42),Skalalontabel12,7,0)*Q6,0)/12,2),"#.###,00")&amp;" * "&amp;TEXT(Q10,"0,0000")&amp;"] * "&amp;TEXT(Q3,"#0/#0")&amp;" * 18% / 3 ="</f>
        <v>= de pensionsgivende løndele der overstiger slut skalatrin - (,00 * 0,0000] * 1/1 * 18% / 3 =</v>
      </c>
      <c r="R217" s="444" t="str">
        <f t="shared" si="433"/>
        <v>= de pensionsgivende løndele der overstiger slut skalatrin - (,00 * 0,0000] * 1/1 * 18% / 3 =</v>
      </c>
      <c r="S217" s="444" t="str">
        <f t="shared" si="433"/>
        <v>= de pensionsgivende løndele der overstiger slut skalatrin - (,00 * 0,0000] * 0/1 * 18% / 3 =</v>
      </c>
      <c r="T217" s="935" t="str">
        <f t="shared" ref="T217:AE217" si="434">"=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434"/>
        <v>= [(lin.1 + sum(lin.3 - lin.12) + lin. 14 + lin. 15 + lin. 19) - 37.163,33 * 0,0000] * 1/1 * 18% / 3 =</v>
      </c>
      <c r="V217" s="444" t="str">
        <f t="shared" si="434"/>
        <v>= [(lin.1 + sum(lin.3 - lin.12) + lin. 14 + lin. 15 + lin. 19) - 37.163,33 * 0,0000] * 1/1 * 18% / 3 =</v>
      </c>
      <c r="W217" s="444" t="str">
        <f t="shared" si="434"/>
        <v>= [(lin.1 + sum(lin.3 - lin.12) + lin. 14 + lin. 15 + lin. 19) - ,00 * 0,0000] * 1/1 * 18% / 3 =</v>
      </c>
      <c r="X217" s="444" t="str">
        <f t="shared" si="434"/>
        <v>= [(lin.1 + sum(lin.3 - lin.12) + lin. 14 + lin. 15 + lin. 19) - ,00 * 0,0000] * 1/1 * 18% / 3 =</v>
      </c>
      <c r="Y217" s="444" t="str">
        <f t="shared" si="434"/>
        <v>= [(lin.1 + sum(lin.3 - lin.12) + lin. 14 + lin. 15 + lin. 19) - ,00 * 0,0000] * 1/1 * 18% / 3 =</v>
      </c>
      <c r="Z217" s="444" t="str">
        <f t="shared" si="434"/>
        <v>= [(lin.1 + sum(lin.3 - lin.12) + lin. 14 + lin. 15 + lin. 19) - ,00 * 0,0000] * 1/1 * 18% / 3 =</v>
      </c>
      <c r="AA217" s="444" t="str">
        <f t="shared" si="434"/>
        <v>= [(lin.1 + sum(lin.3 - lin.12) + lin. 14 + lin. 15 + lin. 19) - ,00 * 0,0000] * 1/1 * 18% / 3 =</v>
      </c>
      <c r="AB217" s="444" t="str">
        <f t="shared" si="434"/>
        <v>= [(lin.1 + sum(lin.3 - lin.12) + lin. 14 + lin. 15 + lin. 19) - ,00 * 0,0000] * 1/1 * 18% / 3 =</v>
      </c>
      <c r="AC217" s="444" t="str">
        <f t="shared" si="434"/>
        <v>= [(lin.1 + sum(lin.3 - lin.12) + lin. 14 + lin. 15 + lin. 19) - ,00 * 0,0000] * 1/1 * 18% / 3 =</v>
      </c>
      <c r="AD217" s="444" t="str">
        <f t="shared" si="434"/>
        <v>= [(lin.1 + sum(lin.3 - lin.12) + lin. 14 + lin. 15 + lin. 19) - ,00 * 0,0000] * 1/1 * 18% / 3 =</v>
      </c>
      <c r="AE217" s="444" t="str">
        <f t="shared" si="434"/>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435">"= (sum(lin.4 - lin.12) + lin.14"&amp;IF(AND($C45="x",G45&gt;0)," + "&amp;TEXT(G45,"#.###,00"),"")&amp;IF(AND($C46="x",G46&gt;0)," + "&amp;TEXT(G46,"#.###,00"),"")&amp;IF($C$23="x"," + lin. 15","")&amp;IF(G105&lt;&gt;0," - "&amp;TEXT(G105,"#.###,00")&amp;" / 6% ) ",")")&amp;" * 17,3% / 3 ="</f>
        <v>= (sum(lin.4 - lin.12) + lin.14 + lin. 15) * 17,3% / 3 =</v>
      </c>
      <c r="H218" s="444" t="str">
        <f t="shared" ref="H218:P218" si="436">"= (sum(lin.4 - lin.12) + lin.14"&amp;IF(AND($C45="x",H45&gt;0)," + "&amp;TEXT(H45,"#.###,00"),"")&amp;IF(AND($C46="x",H46&gt;0)," + "&amp;TEXT(H46,"#.###,00"),"")&amp;IF($C$23="x"," + lin. 15","")&amp;IF(H105&lt;&gt;0," - "&amp;TEXT(H105,"#.###,00")&amp;" / 6% ) ",")")&amp;" * 17,3% / 3 ="</f>
        <v>= (sum(lin.4 - lin.12) + lin.14 + lin. 15) * 17,3% / 3 =</v>
      </c>
      <c r="I218" s="444" t="str">
        <f t="shared" si="436"/>
        <v>= (sum(lin.4 - lin.12) + lin.14 + lin. 15) * 17,3% / 3 =</v>
      </c>
      <c r="J218" s="444" t="str">
        <f t="shared" si="436"/>
        <v>= (sum(lin.4 - lin.12) + lin.14 + lin. 15) * 17,3% / 3 =</v>
      </c>
      <c r="K218" s="444" t="str">
        <f t="shared" si="436"/>
        <v>= (sum(lin.4 - lin.12) + lin.14 + lin. 15) * 17,3% / 3 =</v>
      </c>
      <c r="L218" s="444" t="str">
        <f t="shared" si="436"/>
        <v>= (sum(lin.4 - lin.12) + lin.14 + lin. 15) * 17,3% / 3 =</v>
      </c>
      <c r="M218" s="444" t="str">
        <f t="shared" si="436"/>
        <v>= (sum(lin.4 - lin.12) + lin.14 + lin. 15) * 17,3% / 3 =</v>
      </c>
      <c r="N218" s="444" t="str">
        <f t="shared" si="436"/>
        <v>= (sum(lin.4 - lin.12) + lin.14 + lin. 15) * 17,3% / 3 =</v>
      </c>
      <c r="O218" s="444" t="str">
        <f t="shared" si="436"/>
        <v>= (sum(lin.4 - lin.12) + lin.14 + lin. 15) * 17,3% / 3 =</v>
      </c>
      <c r="P218" s="444" t="str">
        <f t="shared" si="436"/>
        <v>= (sum(lin.4 - lin.12) + lin.14 + lin. 15) * 17,3% / 3 =</v>
      </c>
      <c r="Q218" s="444" t="str">
        <f t="shared" ref="Q218:S218" si="437">"= (sum(lin.4 - lin.12) + lin.14"&amp;IF(AND($C45="x",Q45&gt;0)," + "&amp;TEXT(Q45,"#.###,00"),"")&amp;IF(AND($C46="x",Q46&gt;0)," + "&amp;TEXT(Q46,"#.###,00"),"")&amp;IF($C$23="x"," + lin. 15","")&amp;IF(Q105&lt;&gt;0," - "&amp;TEXT(Q105,"#.###,00")&amp;" / 6% ) ",")")&amp;" * 17,3% / 3 ="</f>
        <v>= (sum(lin.4 - lin.12) + lin.14 + lin. 15) * 17,3% / 3 =</v>
      </c>
      <c r="R218" s="444" t="str">
        <f t="shared" si="437"/>
        <v>= (sum(lin.4 - lin.12) + lin.14 + lin. 15) * 17,3% / 3 =</v>
      </c>
      <c r="S218" s="444" t="str">
        <f t="shared" si="437"/>
        <v>= (sum(lin.4 - lin.12) + lin.14 + lin. 15) * 17,3% / 3 =</v>
      </c>
      <c r="T218" s="935" t="str">
        <f t="shared" si="435"/>
        <v>= (sum(lin.4 - lin.12) + lin.14 + lin. 15) * 17,3% / 3 =</v>
      </c>
      <c r="U218" s="444" t="str">
        <f t="shared" si="435"/>
        <v>= (sum(lin.4 - lin.12) + lin.14 + lin. 15) * 17,3% / 3 =</v>
      </c>
      <c r="V218" s="444" t="str">
        <f t="shared" si="435"/>
        <v>= (sum(lin.4 - lin.12) + lin.14 + lin. 15) * 17,3% / 3 =</v>
      </c>
      <c r="W218" s="444" t="str">
        <f t="shared" si="435"/>
        <v>= (sum(lin.4 - lin.12) + lin.14 + lin. 15) * 17,3% / 3 =</v>
      </c>
      <c r="X218" s="444" t="str">
        <f t="shared" si="435"/>
        <v>= (sum(lin.4 - lin.12) + lin.14 + lin. 15) * 17,3% / 3 =</v>
      </c>
      <c r="Y218" s="444" t="str">
        <f t="shared" si="435"/>
        <v>= (sum(lin.4 - lin.12) + lin.14 + lin. 15) * 17,3% / 3 =</v>
      </c>
      <c r="Z218" s="444" t="str">
        <f t="shared" si="435"/>
        <v>= (sum(lin.4 - lin.12) + lin.14 + lin. 15) * 17,3% / 3 =</v>
      </c>
      <c r="AA218" s="444" t="str">
        <f t="shared" si="435"/>
        <v>= (sum(lin.4 - lin.12) + lin.14 + lin. 15) * 17,3% / 3 =</v>
      </c>
      <c r="AB218" s="444" t="str">
        <f t="shared" si="435"/>
        <v>= (sum(lin.4 - lin.12) + lin.14 + lin. 15) * 17,3% / 3 =</v>
      </c>
      <c r="AC218" s="444" t="str">
        <f t="shared" si="435"/>
        <v>= (sum(lin.4 - lin.12) + lin.14 + lin. 15) * 17,3% / 3 =</v>
      </c>
      <c r="AD218" s="444" t="str">
        <f t="shared" si="435"/>
        <v>= (sum(lin.4 - lin.12) + lin.14 + lin. 15) * 17,3% / 3 =</v>
      </c>
      <c r="AE218" s="444" t="str">
        <f t="shared" si="435"/>
        <v>= (sum(lin.4 - lin.12) + lin.14 + lin. 15) * 17,3% / 3 =</v>
      </c>
      <c r="AF218" s="436"/>
      <c r="AG218" s="436"/>
    </row>
    <row r="219" spans="1:33" s="3" customFormat="1">
      <c r="A219" s="436"/>
      <c r="B219" s="619">
        <v>56</v>
      </c>
      <c r="C219" s="439"/>
      <c r="D219" s="439">
        <f>B106</f>
        <v>96</v>
      </c>
      <c r="E219" s="439"/>
      <c r="F219" s="443" t="s">
        <v>247</v>
      </c>
      <c r="G219" s="440" t="str">
        <f t="shared" ref="G219" si="438">"= "&amp;TEXT(G70,"#.###,00")&amp;" * 17,3% / 3  ="</f>
        <v>= ,00 * 17,3% / 3  =</v>
      </c>
      <c r="H219" s="440" t="str">
        <f t="shared" ref="H219:P219" si="439">"= "&amp;TEXT(H70,"#.###,00")&amp;" * 17,3% / 3  ="</f>
        <v>= ,00 * 17,3% / 3  =</v>
      </c>
      <c r="I219" s="440" t="str">
        <f t="shared" si="439"/>
        <v>= ,00 * 17,3% / 3  =</v>
      </c>
      <c r="J219" s="440" t="str">
        <f t="shared" si="439"/>
        <v>= ,00 * 17,3% / 3  =</v>
      </c>
      <c r="K219" s="440" t="str">
        <f t="shared" si="439"/>
        <v>= ,00 * 17,3% / 3  =</v>
      </c>
      <c r="L219" s="440" t="str">
        <f t="shared" si="439"/>
        <v>= ,00 * 17,3% / 3  =</v>
      </c>
      <c r="M219" s="440" t="str">
        <f t="shared" si="439"/>
        <v>= ,00 * 17,3% / 3  =</v>
      </c>
      <c r="N219" s="440" t="str">
        <f t="shared" si="439"/>
        <v>= ,00 * 17,3% / 3  =</v>
      </c>
      <c r="O219" s="440" t="str">
        <f t="shared" si="439"/>
        <v>= ,00 * 17,3% / 3  =</v>
      </c>
      <c r="P219" s="440" t="str">
        <f t="shared" si="439"/>
        <v>= ,00 * 17,3% / 3  =</v>
      </c>
      <c r="Q219" s="440" t="str">
        <f t="shared" ref="Q219:S219" si="440">"= "&amp;TEXT(Q70,"#.###,00")&amp;" * 17,3% / 3  ="</f>
        <v>= ,00 * 17,3% / 3  =</v>
      </c>
      <c r="R219" s="440" t="str">
        <f t="shared" si="440"/>
        <v>= ,00 * 17,3% / 3  =</v>
      </c>
      <c r="S219" s="440" t="str">
        <f t="shared" si="440"/>
        <v>= ,00 * 17,3% / 3  =</v>
      </c>
      <c r="T219" s="935" t="str">
        <f t="shared" ref="T219:AE219" si="441">"= "&amp;TEXT(T70,"#.###,00")&amp;" * 17,3% / 3  ="</f>
        <v>= ,00 * 17,3% / 3  =</v>
      </c>
      <c r="U219" s="440" t="str">
        <f t="shared" si="441"/>
        <v>= ,00 * 17,3% / 3  =</v>
      </c>
      <c r="V219" s="440" t="str">
        <f t="shared" si="441"/>
        <v>= ,00 * 17,3% / 3  =</v>
      </c>
      <c r="W219" s="440" t="str">
        <f t="shared" si="441"/>
        <v>= ,00 * 17,3% / 3  =</v>
      </c>
      <c r="X219" s="440" t="str">
        <f t="shared" si="441"/>
        <v>= ,00 * 17,3% / 3  =</v>
      </c>
      <c r="Y219" s="440" t="str">
        <f t="shared" si="441"/>
        <v>= ,00 * 17,3% / 3  =</v>
      </c>
      <c r="Z219" s="440" t="str">
        <f t="shared" si="441"/>
        <v>= ,00 * 17,3% / 3  =</v>
      </c>
      <c r="AA219" s="440" t="str">
        <f t="shared" si="441"/>
        <v>= ,00 * 17,3% / 3  =</v>
      </c>
      <c r="AB219" s="440" t="str">
        <f t="shared" si="441"/>
        <v>= ,00 * 17,3% / 3  =</v>
      </c>
      <c r="AC219" s="440" t="str">
        <f t="shared" si="441"/>
        <v>= ,00 * 17,3% / 3  =</v>
      </c>
      <c r="AD219" s="440" t="str">
        <f t="shared" si="441"/>
        <v>= ,00 * 17,3% / 3  =</v>
      </c>
      <c r="AE219" s="440" t="str">
        <f t="shared" si="441"/>
        <v>= ,00 * 17,3% / 3  =</v>
      </c>
      <c r="AF219" s="436"/>
      <c r="AG219" s="436"/>
    </row>
    <row r="220" spans="1:33" s="3" customFormat="1">
      <c r="A220" s="436"/>
      <c r="B220" s="623">
        <v>57</v>
      </c>
      <c r="C220" s="439"/>
      <c r="D220" s="439">
        <f>B107</f>
        <v>97</v>
      </c>
      <c r="E220" s="439"/>
      <c r="F220" s="445" t="s">
        <v>35</v>
      </c>
      <c r="G220" s="440" t="str">
        <f t="shared" ref="G220" si="442">"= "&amp;TEXT(G72,"#.###,00")&amp;" * 17,3% / 3  ="</f>
        <v>= ,00 * 17,3% / 3  =</v>
      </c>
      <c r="H220" s="440" t="str">
        <f t="shared" ref="H220:P220" si="443">"= "&amp;TEXT(H72,"#.###,00")&amp;" * 17,3% / 3  ="</f>
        <v>= ,00 * 17,3% / 3  =</v>
      </c>
      <c r="I220" s="440" t="str">
        <f t="shared" si="443"/>
        <v>= ,00 * 17,3% / 3  =</v>
      </c>
      <c r="J220" s="440" t="str">
        <f t="shared" si="443"/>
        <v>= ,00 * 17,3% / 3  =</v>
      </c>
      <c r="K220" s="440" t="str">
        <f t="shared" si="443"/>
        <v>= ,00 * 17,3% / 3  =</v>
      </c>
      <c r="L220" s="440" t="str">
        <f t="shared" si="443"/>
        <v>= ,00 * 17,3% / 3  =</v>
      </c>
      <c r="M220" s="440" t="str">
        <f t="shared" si="443"/>
        <v>= ,00 * 17,3% / 3  =</v>
      </c>
      <c r="N220" s="440" t="str">
        <f t="shared" si="443"/>
        <v>= ,00 * 17,3% / 3  =</v>
      </c>
      <c r="O220" s="440" t="str">
        <f t="shared" si="443"/>
        <v>= ,00 * 17,3% / 3  =</v>
      </c>
      <c r="P220" s="440" t="str">
        <f t="shared" si="443"/>
        <v>= ,00 * 17,3% / 3  =</v>
      </c>
      <c r="Q220" s="440" t="str">
        <f t="shared" ref="Q220:S220" si="444">"= "&amp;TEXT(Q72,"#.###,00")&amp;" * 17,3% / 3  ="</f>
        <v>= ,00 * 17,3% / 3  =</v>
      </c>
      <c r="R220" s="440" t="str">
        <f t="shared" si="444"/>
        <v>= ,00 * 17,3% / 3  =</v>
      </c>
      <c r="S220" s="440" t="str">
        <f t="shared" si="444"/>
        <v>= ,00 * 17,3% / 3  =</v>
      </c>
      <c r="T220" s="935" t="str">
        <f t="shared" ref="T220:AE220" si="445">"= "&amp;TEXT(T72,"#.###,00")&amp;" * 17,3% / 3  ="</f>
        <v>= ,00 * 17,3% / 3  =</v>
      </c>
      <c r="U220" s="440" t="str">
        <f t="shared" si="445"/>
        <v>= ,00 * 17,3% / 3  =</v>
      </c>
      <c r="V220" s="440" t="str">
        <f t="shared" si="445"/>
        <v>= ,00 * 17,3% / 3  =</v>
      </c>
      <c r="W220" s="440" t="str">
        <f t="shared" si="445"/>
        <v>= ,00 * 17,3% / 3  =</v>
      </c>
      <c r="X220" s="440" t="str">
        <f t="shared" si="445"/>
        <v>= ,00 * 17,3% / 3  =</v>
      </c>
      <c r="Y220" s="440" t="str">
        <f t="shared" si="445"/>
        <v>= ,00 * 17,3% / 3  =</v>
      </c>
      <c r="Z220" s="440" t="str">
        <f t="shared" si="445"/>
        <v>= ,00 * 17,3% / 3  =</v>
      </c>
      <c r="AA220" s="440" t="str">
        <f t="shared" si="445"/>
        <v>= ,00 * 17,3% / 3  =</v>
      </c>
      <c r="AB220" s="440" t="str">
        <f t="shared" si="445"/>
        <v>= ,00 * 17,3% / 3  =</v>
      </c>
      <c r="AC220" s="440" t="str">
        <f t="shared" si="445"/>
        <v>= ,00 * 17,3% / 3  =</v>
      </c>
      <c r="AD220" s="440" t="str">
        <f t="shared" si="445"/>
        <v>= ,00 * 17,3% / 3  =</v>
      </c>
      <c r="AE220" s="440" t="str">
        <f t="shared" si="445"/>
        <v>= ,00 * 17,3% / 3  =</v>
      </c>
      <c r="AF220" s="436"/>
      <c r="AG220" s="436"/>
    </row>
    <row r="221" spans="1:33" s="3" customFormat="1">
      <c r="A221" s="436"/>
      <c r="B221" s="623"/>
      <c r="C221" s="439"/>
      <c r="D221" s="439"/>
      <c r="E221" s="439"/>
      <c r="F221" s="436" t="s">
        <v>693</v>
      </c>
      <c r="G221" s="440" t="str">
        <f>"= "&amp;TEXT(G88,"#.###,00")&amp;" * 17,3% / 3  ="</f>
        <v>= ,00 * 17,3% / 3  =</v>
      </c>
      <c r="H221" s="440" t="str">
        <f t="shared" ref="H221:O221" si="446">"= "&amp;TEXT(H88,"#.###,00")&amp;" * 17,3% / 3  ="</f>
        <v>= ,00 * 17,3% / 3  =</v>
      </c>
      <c r="I221" s="440" t="str">
        <f t="shared" si="446"/>
        <v>= ,00 * 17,3% / 3  =</v>
      </c>
      <c r="J221" s="440" t="str">
        <f t="shared" si="446"/>
        <v>= ,00 * 17,3% / 3  =</v>
      </c>
      <c r="K221" s="440" t="str">
        <f t="shared" si="446"/>
        <v>= ,00 * 17,3% / 3  =</v>
      </c>
      <c r="L221" s="440" t="str">
        <f t="shared" si="446"/>
        <v>= ,00 * 17,3% / 3  =</v>
      </c>
      <c r="M221" s="440" t="str">
        <f t="shared" si="446"/>
        <v>= ,00 * 17,3% / 3  =</v>
      </c>
      <c r="N221" s="440" t="str">
        <f t="shared" si="446"/>
        <v>= ,00 * 17,3% / 3  =</v>
      </c>
      <c r="O221" s="440" t="str">
        <f t="shared" si="446"/>
        <v>= ,00 * 17,3% / 3  =</v>
      </c>
      <c r="P221" s="440" t="str">
        <f>"= "&amp;TEXT(P88,"#.###,00")&amp;" * 17,3% / 3  ="</f>
        <v>= ,00 * 17,3% / 3  =</v>
      </c>
      <c r="Q221" s="440" t="str">
        <f t="shared" ref="Q221:S221" si="447">"= "&amp;TEXT(Q88,"#.###,00")&amp;" * 17,3% / 3  ="</f>
        <v>= ,00 * 17,3% / 3  =</v>
      </c>
      <c r="R221" s="440" t="str">
        <f t="shared" si="447"/>
        <v>= ,00 * 17,3% / 3  =</v>
      </c>
      <c r="S221" s="440" t="str">
        <f t="shared" si="447"/>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448">"1/3 af den samlede indbetaling (lin. 72) iflg. A-satser"</f>
        <v>1/3 af den samlede indbetaling (lin. 72) iflg. A-satser</v>
      </c>
      <c r="I223" s="440" t="str">
        <f t="shared" si="448"/>
        <v>1/3 af den samlede indbetaling (lin. 72) iflg. A-satser</v>
      </c>
      <c r="J223" s="440" t="str">
        <f t="shared" si="448"/>
        <v>1/3 af den samlede indbetaling (lin. 72) iflg. A-satser</v>
      </c>
      <c r="K223" s="440" t="str">
        <f t="shared" si="448"/>
        <v>1/3 af den samlede indbetaling (lin. 72) iflg. A-satser</v>
      </c>
      <c r="L223" s="440" t="str">
        <f t="shared" si="448"/>
        <v>1/3 af den samlede indbetaling (lin. 72) iflg. A-satser</v>
      </c>
      <c r="M223" s="440" t="str">
        <f t="shared" si="448"/>
        <v>1/3 af den samlede indbetaling (lin. 72) iflg. A-satser</v>
      </c>
      <c r="N223" s="440" t="str">
        <f t="shared" si="448"/>
        <v>1/3 af den samlede indbetaling (lin. 72) iflg. A-satser</v>
      </c>
      <c r="O223" s="440" t="str">
        <f t="shared" si="448"/>
        <v>1/3 af den samlede indbetaling (lin. 72) iflg. A-satser</v>
      </c>
      <c r="P223" s="440" t="str">
        <f>"1/3 af den samlede indbetaling (lin. 72) iflg. A-satser"</f>
        <v>1/3 af den samlede indbetaling (lin. 72) iflg. A-satser</v>
      </c>
      <c r="Q223" s="440" t="str">
        <f t="shared" si="448"/>
        <v>1/3 af den samlede indbetaling (lin. 72) iflg. A-satser</v>
      </c>
      <c r="R223" s="440" t="str">
        <f t="shared" si="448"/>
        <v>1/3 af den samlede indbetaling (lin. 72) iflg. A-satser</v>
      </c>
      <c r="S223" s="440" t="str">
        <f t="shared" si="448"/>
        <v>1/3 af den samlede indbetaling (lin. 72) iflg. A-satser</v>
      </c>
      <c r="T223" s="935" t="str">
        <f>"1/3 af den samlede indbetaling (lin. 72) iflg. A-satser"</f>
        <v>1/3 af den samlede indbetaling (lin. 72) iflg. A-satser</v>
      </c>
      <c r="U223" s="440" t="str">
        <f t="shared" ref="U223:AE223" si="449">"1/3 af den samlede indbetaling (lin. 72) iflg. A-satser"</f>
        <v>1/3 af den samlede indbetaling (lin. 72) iflg. A-satser</v>
      </c>
      <c r="V223" s="440" t="str">
        <f t="shared" si="449"/>
        <v>1/3 af den samlede indbetaling (lin. 72) iflg. A-satser</v>
      </c>
      <c r="W223" s="440" t="str">
        <f t="shared" si="449"/>
        <v>1/3 af den samlede indbetaling (lin. 72) iflg. A-satser</v>
      </c>
      <c r="X223" s="440" t="str">
        <f t="shared" si="449"/>
        <v>1/3 af den samlede indbetaling (lin. 72) iflg. A-satser</v>
      </c>
      <c r="Y223" s="440" t="str">
        <f t="shared" si="449"/>
        <v>1/3 af den samlede indbetaling (lin. 72) iflg. A-satser</v>
      </c>
      <c r="Z223" s="440" t="str">
        <f t="shared" si="449"/>
        <v>1/3 af den samlede indbetaling (lin. 72) iflg. A-satser</v>
      </c>
      <c r="AA223" s="440" t="str">
        <f t="shared" si="449"/>
        <v>1/3 af den samlede indbetaling (lin. 72) iflg. A-satser</v>
      </c>
      <c r="AB223" s="440" t="str">
        <f t="shared" si="449"/>
        <v>1/3 af den samlede indbetaling (lin. 72) iflg. A-satser</v>
      </c>
      <c r="AC223" s="440" t="str">
        <f t="shared" si="449"/>
        <v>1/3 af den samlede indbetaling (lin. 72) iflg. A-satser</v>
      </c>
      <c r="AD223" s="440" t="str">
        <f t="shared" si="449"/>
        <v>1/3 af den samlede indbetaling (lin. 72) iflg. A-satser</v>
      </c>
      <c r="AE223" s="440" t="str">
        <f t="shared" si="449"/>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450">"= SUM(lin. 1 - 21) + sum(lin. 26 - 36) - lin. 59 ="</f>
        <v>= SUM(lin. 1 - 21) + sum(lin. 26 - 36) - lin. 59 =</v>
      </c>
      <c r="I224" s="440" t="str">
        <f t="shared" si="450"/>
        <v>= SUM(lin. 1 - 21) + sum(lin. 26 - 36) - lin. 59 =</v>
      </c>
      <c r="J224" s="440" t="str">
        <f t="shared" si="450"/>
        <v>= SUM(lin. 1 - 21) + sum(lin. 26 - 36) - lin. 59 =</v>
      </c>
      <c r="K224" s="440" t="str">
        <f t="shared" si="450"/>
        <v>= SUM(lin. 1 - 21) + sum(lin. 26 - 36) - lin. 59 =</v>
      </c>
      <c r="L224" s="440" t="str">
        <f t="shared" si="450"/>
        <v>= SUM(lin. 1 - 21) + sum(lin. 26 - 36) - lin. 59 =</v>
      </c>
      <c r="M224" s="440" t="str">
        <f t="shared" si="450"/>
        <v>= SUM(lin. 1 - 21) + sum(lin. 26 - 36) - lin. 59 =</v>
      </c>
      <c r="N224" s="440" t="str">
        <f t="shared" si="450"/>
        <v>= SUM(lin. 1 - 21) + sum(lin. 26 - 36) - lin. 59 =</v>
      </c>
      <c r="O224" s="440" t="str">
        <f t="shared" si="450"/>
        <v>= SUM(lin. 1 - 21) + sum(lin. 26 - 36) - lin. 59 =</v>
      </c>
      <c r="P224" s="440" t="str">
        <f>"= SUM(lin. 1 - 21) + sum(lin. 26 - 36) - lin. 59 ="</f>
        <v>= SUM(lin. 1 - 21) + sum(lin. 26 - 36) - lin. 59 =</v>
      </c>
      <c r="Q224" s="440" t="str">
        <f t="shared" si="450"/>
        <v>= SUM(lin. 1 - 21) + sum(lin. 26 - 36) - lin. 59 =</v>
      </c>
      <c r="R224" s="440" t="str">
        <f t="shared" si="450"/>
        <v>= SUM(lin. 1 - 21) + sum(lin. 26 - 36) - lin. 59 =</v>
      </c>
      <c r="S224" s="440" t="str">
        <f t="shared" si="450"/>
        <v>= SUM(lin. 1 - 21) + sum(lin. 26 - 36) - lin. 59 =</v>
      </c>
      <c r="T224" s="935" t="str">
        <f>"= SUM(lin. 1 - 21) + sum(lin. 26 - 38) - lin. 60 ="</f>
        <v>= SUM(lin. 1 - 21) + sum(lin. 26 - 38) - lin. 60 =</v>
      </c>
      <c r="U224" s="440" t="str">
        <f t="shared" ref="U224:AE224" si="451">"= SUM(lin. 1 - 21) + sum(lin. 26 - 38) - lin. 60 ="</f>
        <v>= SUM(lin. 1 - 21) + sum(lin. 26 - 38) - lin. 60 =</v>
      </c>
      <c r="V224" s="440" t="str">
        <f t="shared" si="451"/>
        <v>= SUM(lin. 1 - 21) + sum(lin. 26 - 38) - lin. 60 =</v>
      </c>
      <c r="W224" s="440" t="str">
        <f t="shared" si="451"/>
        <v>= SUM(lin. 1 - 21) + sum(lin. 26 - 38) - lin. 60 =</v>
      </c>
      <c r="X224" s="440" t="str">
        <f t="shared" si="451"/>
        <v>= SUM(lin. 1 - 21) + sum(lin. 26 - 38) - lin. 60 =</v>
      </c>
      <c r="Y224" s="440" t="str">
        <f t="shared" si="451"/>
        <v>= SUM(lin. 1 - 21) + sum(lin. 26 - 38) - lin. 60 =</v>
      </c>
      <c r="Z224" s="440" t="str">
        <f t="shared" si="451"/>
        <v>= SUM(lin. 1 - 21) + sum(lin. 26 - 38) - lin. 60 =</v>
      </c>
      <c r="AA224" s="440" t="str">
        <f t="shared" si="451"/>
        <v>= SUM(lin. 1 - 21) + sum(lin. 26 - 38) - lin. 60 =</v>
      </c>
      <c r="AB224" s="440" t="str">
        <f t="shared" si="451"/>
        <v>= SUM(lin. 1 - 21) + sum(lin. 26 - 38) - lin. 60 =</v>
      </c>
      <c r="AC224" s="440" t="str">
        <f t="shared" si="451"/>
        <v>= SUM(lin. 1 - 21) + sum(lin. 26 - 38) - lin. 60 =</v>
      </c>
      <c r="AD224" s="440" t="str">
        <f t="shared" si="451"/>
        <v>= SUM(lin. 1 - 21) + sum(lin. 26 - 38) - lin. 60 =</v>
      </c>
      <c r="AE224" s="440" t="str">
        <f t="shared" si="451"/>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452">"= "&amp;TEXT(H112,"#.###,00")&amp;" * 8% (afrundet) ="</f>
        <v>= ,00 * 8% (afrundet) =</v>
      </c>
      <c r="I225" s="440" t="str">
        <f t="shared" si="452"/>
        <v>= ,00 * 8% (afrundet) =</v>
      </c>
      <c r="J225" s="440" t="str">
        <f t="shared" si="452"/>
        <v>= ,00 * 8% (afrundet) =</v>
      </c>
      <c r="K225" s="440" t="str">
        <f t="shared" si="452"/>
        <v>= ,00 * 8% (afrundet) =</v>
      </c>
      <c r="L225" s="440" t="str">
        <f t="shared" si="452"/>
        <v>= ,00 * 8% (afrundet) =</v>
      </c>
      <c r="M225" s="440" t="str">
        <f t="shared" si="452"/>
        <v>= ,00 * 8% (afrundet) =</v>
      </c>
      <c r="N225" s="440" t="str">
        <f t="shared" si="452"/>
        <v>= ,00 * 8% (afrundet) =</v>
      </c>
      <c r="O225" s="440" t="str">
        <f t="shared" si="452"/>
        <v>= ,00 * 8% (afrundet) =</v>
      </c>
      <c r="P225" s="440" t="str">
        <f>"= "&amp;TEXT(P112,"#.###,00")&amp;" * 8% (afrundet) ="</f>
        <v>= ,00 * 8% (afrundet) =</v>
      </c>
      <c r="Q225" s="440" t="str">
        <f t="shared" ref="Q225:S225" si="453">"= "&amp;TEXT(Q112,"#.###,00")&amp;" * 8% (afrundet) ="</f>
        <v>= ,00 * 8% (afrundet) =</v>
      </c>
      <c r="R225" s="440" t="str">
        <f t="shared" si="453"/>
        <v>= ,00 * 8% (afrundet) =</v>
      </c>
      <c r="S225" s="440" t="str">
        <f t="shared" si="453"/>
        <v>= ,00 * 8% (afrundet) =</v>
      </c>
      <c r="T225" s="935" t="str">
        <f>"= "&amp;TEXT(T112,"#.###,00")&amp;" * 8% (afrundet) ="</f>
        <v>= ,00 * 8% (afrundet) =</v>
      </c>
      <c r="U225" s="440" t="str">
        <f t="shared" ref="U225:AE225" si="454">"= "&amp;TEXT(U113,"#.###,00")&amp;" * 8% (afrundet) ="</f>
        <v>= ,00 * 8% (afrundet) =</v>
      </c>
      <c r="V225" s="440" t="str">
        <f t="shared" si="454"/>
        <v>= ,00 * 8% (afrundet) =</v>
      </c>
      <c r="W225" s="440" t="str">
        <f t="shared" si="454"/>
        <v>= ,00 * 8% (afrundet) =</v>
      </c>
      <c r="X225" s="440" t="str">
        <f t="shared" si="454"/>
        <v>= ,00 * 8% (afrundet) =</v>
      </c>
      <c r="Y225" s="440" t="str">
        <f t="shared" si="454"/>
        <v>= ,00 * 8% (afrundet) =</v>
      </c>
      <c r="Z225" s="440" t="str">
        <f t="shared" si="454"/>
        <v>= ,00 * 8% (afrundet) =</v>
      </c>
      <c r="AA225" s="440" t="str">
        <f t="shared" si="454"/>
        <v>= ,00 * 8% (afrundet) =</v>
      </c>
      <c r="AB225" s="440" t="str">
        <f t="shared" si="454"/>
        <v>= ,00 * 8% (afrundet) =</v>
      </c>
      <c r="AC225" s="440" t="str">
        <f t="shared" si="454"/>
        <v>= ,00 * 8% (afrundet) =</v>
      </c>
      <c r="AD225" s="440" t="str">
        <f t="shared" si="454"/>
        <v>= ,00 * 8% (afrundet) =</v>
      </c>
      <c r="AE225" s="440" t="str">
        <f t="shared" si="454"/>
        <v>= ,00 * 8% (afrundet) =</v>
      </c>
      <c r="AF225" s="436"/>
      <c r="AG225" s="436"/>
    </row>
    <row r="226" spans="1:33" s="3" customFormat="1">
      <c r="A226" s="436"/>
      <c r="B226" s="631">
        <v>62</v>
      </c>
      <c r="C226" s="439"/>
      <c r="D226" s="439">
        <f t="shared" ref="D226:D238" si="455">B114</f>
        <v>104</v>
      </c>
      <c r="E226" s="439"/>
      <c r="F226" s="450" t="s">
        <v>93</v>
      </c>
      <c r="G226" s="440" t="str">
        <f>"= lin. 60 - lin. 61 ="</f>
        <v>= lin. 60 - lin. 61 =</v>
      </c>
      <c r="H226" s="440" t="str">
        <f t="shared" ref="H226:S226" si="456">"= lin. 60 - lin. 61 ="</f>
        <v>= lin. 60 - lin. 61 =</v>
      </c>
      <c r="I226" s="440" t="str">
        <f t="shared" si="456"/>
        <v>= lin. 60 - lin. 61 =</v>
      </c>
      <c r="J226" s="440" t="str">
        <f t="shared" si="456"/>
        <v>= lin. 60 - lin. 61 =</v>
      </c>
      <c r="K226" s="440" t="str">
        <f t="shared" si="456"/>
        <v>= lin. 60 - lin. 61 =</v>
      </c>
      <c r="L226" s="440" t="str">
        <f t="shared" si="456"/>
        <v>= lin. 60 - lin. 61 =</v>
      </c>
      <c r="M226" s="440" t="str">
        <f t="shared" si="456"/>
        <v>= lin. 60 - lin. 61 =</v>
      </c>
      <c r="N226" s="440" t="str">
        <f t="shared" si="456"/>
        <v>= lin. 60 - lin. 61 =</v>
      </c>
      <c r="O226" s="440" t="str">
        <f t="shared" si="456"/>
        <v>= lin. 60 - lin. 61 =</v>
      </c>
      <c r="P226" s="440" t="str">
        <f>"= lin. 60 - lin. 61 ="</f>
        <v>= lin. 60 - lin. 61 =</v>
      </c>
      <c r="Q226" s="440" t="str">
        <f t="shared" si="456"/>
        <v>= lin. 60 - lin. 61 =</v>
      </c>
      <c r="R226" s="440" t="str">
        <f t="shared" si="456"/>
        <v>= lin. 60 - lin. 61 =</v>
      </c>
      <c r="S226" s="440" t="str">
        <f t="shared" si="456"/>
        <v>= lin. 60 - lin. 61 =</v>
      </c>
      <c r="T226" s="935" t="str">
        <f>"= lin. 61 - lin. 62 ="</f>
        <v>= lin. 61 - lin. 62 =</v>
      </c>
      <c r="U226" s="440" t="str">
        <f t="shared" ref="U226:AE226" si="457">"= lin. 61 - lin. 62 ="</f>
        <v>= lin. 61 - lin. 62 =</v>
      </c>
      <c r="V226" s="440" t="str">
        <f t="shared" si="457"/>
        <v>= lin. 61 - lin. 62 =</v>
      </c>
      <c r="W226" s="440" t="str">
        <f t="shared" si="457"/>
        <v>= lin. 61 - lin. 62 =</v>
      </c>
      <c r="X226" s="440" t="str">
        <f t="shared" si="457"/>
        <v>= lin. 61 - lin. 62 =</v>
      </c>
      <c r="Y226" s="440" t="str">
        <f t="shared" si="457"/>
        <v>= lin. 61 - lin. 62 =</v>
      </c>
      <c r="Z226" s="440" t="str">
        <f t="shared" si="457"/>
        <v>= lin. 61 - lin. 62 =</v>
      </c>
      <c r="AA226" s="440" t="str">
        <f t="shared" si="457"/>
        <v>= lin. 61 - lin. 62 =</v>
      </c>
      <c r="AB226" s="440" t="str">
        <f t="shared" si="457"/>
        <v>= lin. 61 - lin. 62 =</v>
      </c>
      <c r="AC226" s="440" t="str">
        <f t="shared" si="457"/>
        <v>= lin. 61 - lin. 62 =</v>
      </c>
      <c r="AD226" s="440" t="str">
        <f t="shared" si="457"/>
        <v>= lin. 61 - lin. 62 =</v>
      </c>
      <c r="AE226" s="440" t="str">
        <f t="shared" si="457"/>
        <v>= lin. 61 - lin. 62 =</v>
      </c>
      <c r="AF226" s="436"/>
      <c r="AG226" s="436"/>
    </row>
    <row r="227" spans="1:33" s="3" customFormat="1">
      <c r="A227" s="436"/>
      <c r="B227" s="627">
        <v>63</v>
      </c>
      <c r="C227" s="439"/>
      <c r="D227" s="439">
        <f t="shared" si="455"/>
        <v>105</v>
      </c>
      <c r="E227" s="439"/>
      <c r="F227" s="450" t="s">
        <v>105</v>
      </c>
      <c r="G227" s="440" t="str">
        <f>"= lin. 62-64 (nedrundet til hele 10er) ="</f>
        <v>= lin. 62-64 (nedrundet til hele 10er) =</v>
      </c>
      <c r="H227" s="440" t="str">
        <f t="shared" ref="H227:S227" si="458">"= lin. 62-64 (nedrundet til hele 10er) ="</f>
        <v>= lin. 62-64 (nedrundet til hele 10er) =</v>
      </c>
      <c r="I227" s="440" t="str">
        <f t="shared" si="458"/>
        <v>= lin. 62-64 (nedrundet til hele 10er) =</v>
      </c>
      <c r="J227" s="440" t="str">
        <f t="shared" si="458"/>
        <v>= lin. 62-64 (nedrundet til hele 10er) =</v>
      </c>
      <c r="K227" s="440" t="str">
        <f t="shared" si="458"/>
        <v>= lin. 62-64 (nedrundet til hele 10er) =</v>
      </c>
      <c r="L227" s="440" t="str">
        <f t="shared" si="458"/>
        <v>= lin. 62-64 (nedrundet til hele 10er) =</v>
      </c>
      <c r="M227" s="440" t="str">
        <f t="shared" si="458"/>
        <v>= lin. 62-64 (nedrundet til hele 10er) =</v>
      </c>
      <c r="N227" s="440" t="str">
        <f t="shared" si="458"/>
        <v>= lin. 62-64 (nedrundet til hele 10er) =</v>
      </c>
      <c r="O227" s="440" t="str">
        <f t="shared" si="458"/>
        <v>= lin. 62-64 (nedrundet til hele 10er) =</v>
      </c>
      <c r="P227" s="440" t="str">
        <f>"= lin. 62-64 (nedrundet til hele 10er) ="</f>
        <v>= lin. 62-64 (nedrundet til hele 10er) =</v>
      </c>
      <c r="Q227" s="440" t="str">
        <f t="shared" si="458"/>
        <v>= lin. 62-64 (nedrundet til hele 10er) =</v>
      </c>
      <c r="R227" s="440" t="str">
        <f t="shared" si="458"/>
        <v>= lin. 62-64 (nedrundet til hele 10er) =</v>
      </c>
      <c r="S227" s="440" t="str">
        <f t="shared" si="458"/>
        <v>= lin. 62-64 (nedrundet til hele 10er) =</v>
      </c>
      <c r="T227" s="935" t="str">
        <f>"= lin. 65-63 (nedrundet til hele 10er) ="</f>
        <v>= lin. 65-63 (nedrundet til hele 10er) =</v>
      </c>
      <c r="U227" s="440" t="str">
        <f t="shared" ref="U227:AE227" si="459">"= lin. 65-63 (nedrundet til hele 10er) ="</f>
        <v>= lin. 65-63 (nedrundet til hele 10er) =</v>
      </c>
      <c r="V227" s="440" t="str">
        <f t="shared" si="459"/>
        <v>= lin. 65-63 (nedrundet til hele 10er) =</v>
      </c>
      <c r="W227" s="440" t="str">
        <f t="shared" si="459"/>
        <v>= lin. 65-63 (nedrundet til hele 10er) =</v>
      </c>
      <c r="X227" s="440" t="str">
        <f t="shared" si="459"/>
        <v>= lin. 65-63 (nedrundet til hele 10er) =</v>
      </c>
      <c r="Y227" s="440" t="str">
        <f t="shared" si="459"/>
        <v>= lin. 65-63 (nedrundet til hele 10er) =</v>
      </c>
      <c r="Z227" s="440" t="str">
        <f t="shared" si="459"/>
        <v>= lin. 65-63 (nedrundet til hele 10er) =</v>
      </c>
      <c r="AA227" s="440" t="str">
        <f t="shared" si="459"/>
        <v>= lin. 65-63 (nedrundet til hele 10er) =</v>
      </c>
      <c r="AB227" s="440" t="str">
        <f t="shared" si="459"/>
        <v>= lin. 65-63 (nedrundet til hele 10er) =</v>
      </c>
      <c r="AC227" s="440" t="str">
        <f t="shared" si="459"/>
        <v>= lin. 65-63 (nedrundet til hele 10er) =</v>
      </c>
      <c r="AD227" s="440" t="str">
        <f t="shared" si="459"/>
        <v>= lin. 65-63 (nedrundet til hele 10er) =</v>
      </c>
      <c r="AE227" s="440" t="str">
        <f t="shared" si="459"/>
        <v>= lin. 65-63 (nedrundet til hele 10er) =</v>
      </c>
      <c r="AF227" s="436"/>
      <c r="AG227" s="436"/>
    </row>
    <row r="228" spans="1:33" s="3" customFormat="1">
      <c r="A228" s="436"/>
      <c r="B228" s="631">
        <v>64</v>
      </c>
      <c r="C228" s="439"/>
      <c r="D228" s="439">
        <f t="shared" si="455"/>
        <v>106</v>
      </c>
      <c r="E228" s="439"/>
      <c r="F228" s="450" t="s">
        <v>94</v>
      </c>
      <c r="G228" s="440" t="str">
        <f>"= lin. 65 * "&amp;G29&amp;"% (nedrundet) ="</f>
        <v>= lin. 65 * % (nedrundet) =</v>
      </c>
      <c r="H228" s="440" t="str">
        <f t="shared" ref="H228:O228" si="460">"= lin. 65 * "&amp;H29&amp;"% (nedrundet) ="</f>
        <v>= lin. 65 * 0% (nedrundet) =</v>
      </c>
      <c r="I228" s="440" t="str">
        <f t="shared" si="460"/>
        <v>= lin. 65 * 0% (nedrundet) =</v>
      </c>
      <c r="J228" s="440" t="str">
        <f t="shared" si="460"/>
        <v>= lin. 65 * 0% (nedrundet) =</v>
      </c>
      <c r="K228" s="440" t="str">
        <f t="shared" si="460"/>
        <v>= lin. 65 * 0% (nedrundet) =</v>
      </c>
      <c r="L228" s="440" t="str">
        <f t="shared" si="460"/>
        <v>= lin. 65 * % (nedrundet) =</v>
      </c>
      <c r="M228" s="440" t="str">
        <f t="shared" si="460"/>
        <v>= lin. 65 * 0% (nedrundet) =</v>
      </c>
      <c r="N228" s="440" t="str">
        <f t="shared" si="460"/>
        <v>= lin. 65 * 0% (nedrundet) =</v>
      </c>
      <c r="O228" s="440" t="str">
        <f t="shared" si="460"/>
        <v>= lin. 65 * 0% (nedrundet) =</v>
      </c>
      <c r="P228" s="440" t="str">
        <f>"= lin. 65 * "&amp;P29&amp;"% (nedrundet) ="</f>
        <v>= lin. 65 * 0% (nedrundet) =</v>
      </c>
      <c r="Q228" s="440" t="str">
        <f t="shared" ref="Q228:S228" si="461">"= lin. 65 * "&amp;Q29&amp;"% (nedrundet) ="</f>
        <v>= lin. 65 * 0% (nedrundet) =</v>
      </c>
      <c r="R228" s="440" t="str">
        <f t="shared" si="461"/>
        <v>= lin. 65 * 0% (nedrundet) =</v>
      </c>
      <c r="S228" s="440" t="str">
        <f t="shared" si="461"/>
        <v>= lin. 65 * % (nedrundet) =</v>
      </c>
      <c r="T228" s="935" t="str">
        <f t="shared" ref="T228:AE228" si="462">"= lin. 66 * "&amp;T29&amp;"% (nedrundet) ="</f>
        <v>= lin. 66 * 0% (nedrundet) =</v>
      </c>
      <c r="U228" s="440" t="str">
        <f t="shared" si="462"/>
        <v>= lin. 66 * 0% (nedrundet) =</v>
      </c>
      <c r="V228" s="440" t="str">
        <f t="shared" si="462"/>
        <v>= lin. 66 * 0% (nedrundet) =</v>
      </c>
      <c r="W228" s="440" t="str">
        <f t="shared" si="462"/>
        <v>= lin. 66 * 0% (nedrundet) =</v>
      </c>
      <c r="X228" s="440" t="str">
        <f t="shared" si="462"/>
        <v>= lin. 66 * 0% (nedrundet) =</v>
      </c>
      <c r="Y228" s="440" t="str">
        <f t="shared" si="462"/>
        <v>= lin. 66 * 0% (nedrundet) =</v>
      </c>
      <c r="Z228" s="440" t="str">
        <f t="shared" si="462"/>
        <v>= lin. 66 * 0% (nedrundet) =</v>
      </c>
      <c r="AA228" s="440" t="str">
        <f t="shared" si="462"/>
        <v>= lin. 66 * 0% (nedrundet) =</v>
      </c>
      <c r="AB228" s="440" t="str">
        <f t="shared" si="462"/>
        <v>= lin. 66 * 0% (nedrundet) =</v>
      </c>
      <c r="AC228" s="440" t="str">
        <f t="shared" si="462"/>
        <v>= lin. 66 * 0% (nedrundet) =</v>
      </c>
      <c r="AD228" s="440" t="str">
        <f t="shared" si="462"/>
        <v>= lin. 66 * 0% (nedrundet) =</v>
      </c>
      <c r="AE228" s="440" t="str">
        <f t="shared" si="462"/>
        <v>= lin. 66 * 0% (nedrundet) =</v>
      </c>
      <c r="AF228" s="436"/>
      <c r="AG228" s="436"/>
    </row>
    <row r="229" spans="1:33" s="3" customFormat="1">
      <c r="A229" s="436"/>
      <c r="B229" s="627">
        <v>65</v>
      </c>
      <c r="C229" s="451"/>
      <c r="D229" s="451">
        <f t="shared" si="455"/>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455"/>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455"/>
        <v>109</v>
      </c>
      <c r="E231" s="439"/>
      <c r="F231" s="450" t="s">
        <v>180</v>
      </c>
      <c r="G231" s="440" t="str">
        <f>"= lin. 58 ="</f>
        <v>= lin. 58 =</v>
      </c>
      <c r="H231" s="440" t="str">
        <f t="shared" ref="H231:S231" si="463">"= lin. 58 ="</f>
        <v>= lin. 58 =</v>
      </c>
      <c r="I231" s="440" t="str">
        <f t="shared" si="463"/>
        <v>= lin. 58 =</v>
      </c>
      <c r="J231" s="440" t="str">
        <f t="shared" si="463"/>
        <v>= lin. 58 =</v>
      </c>
      <c r="K231" s="440" t="str">
        <f t="shared" si="463"/>
        <v>= lin. 58 =</v>
      </c>
      <c r="L231" s="440" t="str">
        <f t="shared" si="463"/>
        <v>= lin. 58 =</v>
      </c>
      <c r="M231" s="440" t="str">
        <f t="shared" si="463"/>
        <v>= lin. 58 =</v>
      </c>
      <c r="N231" s="440" t="str">
        <f t="shared" si="463"/>
        <v>= lin. 58 =</v>
      </c>
      <c r="O231" s="440" t="str">
        <f t="shared" si="463"/>
        <v>= lin. 58 =</v>
      </c>
      <c r="P231" s="440" t="str">
        <f>"= lin. 58 ="</f>
        <v>= lin. 58 =</v>
      </c>
      <c r="Q231" s="440" t="str">
        <f t="shared" si="463"/>
        <v>= lin. 58 =</v>
      </c>
      <c r="R231" s="440" t="str">
        <f t="shared" si="463"/>
        <v>= lin. 58 =</v>
      </c>
      <c r="S231" s="440" t="str">
        <f t="shared" si="463"/>
        <v>= lin. 58 =</v>
      </c>
      <c r="T231" s="935" t="str">
        <f>"= lin. 59 ="</f>
        <v>= lin. 59 =</v>
      </c>
      <c r="U231" s="440" t="str">
        <f t="shared" ref="U231:AE231" si="464">"= lin. 59 ="</f>
        <v>= lin. 59 =</v>
      </c>
      <c r="V231" s="440" t="str">
        <f t="shared" si="464"/>
        <v>= lin. 59 =</v>
      </c>
      <c r="W231" s="440" t="str">
        <f t="shared" si="464"/>
        <v>= lin. 59 =</v>
      </c>
      <c r="X231" s="440" t="str">
        <f t="shared" si="464"/>
        <v>= lin. 59 =</v>
      </c>
      <c r="Y231" s="440" t="str">
        <f t="shared" si="464"/>
        <v>= lin. 59 =</v>
      </c>
      <c r="Z231" s="440" t="str">
        <f t="shared" si="464"/>
        <v>= lin. 59 =</v>
      </c>
      <c r="AA231" s="440" t="str">
        <f t="shared" si="464"/>
        <v>= lin. 59 =</v>
      </c>
      <c r="AB231" s="440" t="str">
        <f t="shared" si="464"/>
        <v>= lin. 59 =</v>
      </c>
      <c r="AC231" s="440" t="str">
        <f t="shared" si="464"/>
        <v>= lin. 59 =</v>
      </c>
      <c r="AD231" s="440" t="str">
        <f t="shared" si="464"/>
        <v>= lin. 59 =</v>
      </c>
      <c r="AE231" s="440" t="str">
        <f t="shared" si="464"/>
        <v>= lin. 59 =</v>
      </c>
      <c r="AF231" s="436"/>
      <c r="AG231" s="436"/>
    </row>
    <row r="232" spans="1:33" s="3" customFormat="1">
      <c r="A232" s="436"/>
      <c r="B232" s="631">
        <f t="shared" ref="B232:B237" si="465">B231+1</f>
        <v>68</v>
      </c>
      <c r="C232" s="439"/>
      <c r="D232" s="439">
        <f t="shared" si="455"/>
        <v>110</v>
      </c>
      <c r="E232" s="439"/>
      <c r="F232" s="450" t="s">
        <v>184</v>
      </c>
      <c r="G232" s="440" t="str">
        <f>"= lin. 58 * 2 ="</f>
        <v>= lin. 58 * 2 =</v>
      </c>
      <c r="H232" s="440" t="str">
        <f t="shared" ref="H232:S232" si="466">"= lin. 58 * 2 ="</f>
        <v>= lin. 58 * 2 =</v>
      </c>
      <c r="I232" s="440" t="str">
        <f t="shared" si="466"/>
        <v>= lin. 58 * 2 =</v>
      </c>
      <c r="J232" s="440" t="str">
        <f t="shared" si="466"/>
        <v>= lin. 58 * 2 =</v>
      </c>
      <c r="K232" s="440" t="str">
        <f t="shared" si="466"/>
        <v>= lin. 58 * 2 =</v>
      </c>
      <c r="L232" s="440" t="str">
        <f t="shared" si="466"/>
        <v>= lin. 58 * 2 =</v>
      </c>
      <c r="M232" s="440" t="str">
        <f t="shared" si="466"/>
        <v>= lin. 58 * 2 =</v>
      </c>
      <c r="N232" s="440" t="str">
        <f t="shared" si="466"/>
        <v>= lin. 58 * 2 =</v>
      </c>
      <c r="O232" s="440" t="str">
        <f t="shared" si="466"/>
        <v>= lin. 58 * 2 =</v>
      </c>
      <c r="P232" s="440" t="str">
        <f>"= lin. 58 * 2 ="</f>
        <v>= lin. 58 * 2 =</v>
      </c>
      <c r="Q232" s="440" t="str">
        <f t="shared" si="466"/>
        <v>= lin. 58 * 2 =</v>
      </c>
      <c r="R232" s="440" t="str">
        <f t="shared" si="466"/>
        <v>= lin. 58 * 2 =</v>
      </c>
      <c r="S232" s="440" t="str">
        <f t="shared" si="466"/>
        <v>= lin. 58 * 2 =</v>
      </c>
      <c r="T232" s="935" t="str">
        <f>"= lin. 59 * 2 ="</f>
        <v>= lin. 59 * 2 =</v>
      </c>
      <c r="U232" s="440" t="str">
        <f t="shared" ref="U232:AE232" si="467">"= lin. 59 * 2 ="</f>
        <v>= lin. 59 * 2 =</v>
      </c>
      <c r="V232" s="440" t="str">
        <f t="shared" si="467"/>
        <v>= lin. 59 * 2 =</v>
      </c>
      <c r="W232" s="440" t="str">
        <f t="shared" si="467"/>
        <v>= lin. 59 * 2 =</v>
      </c>
      <c r="X232" s="440" t="str">
        <f t="shared" si="467"/>
        <v>= lin. 59 * 2 =</v>
      </c>
      <c r="Y232" s="440" t="str">
        <f t="shared" si="467"/>
        <v>= lin. 59 * 2 =</v>
      </c>
      <c r="Z232" s="440" t="str">
        <f t="shared" si="467"/>
        <v>= lin. 59 * 2 =</v>
      </c>
      <c r="AA232" s="440" t="str">
        <f t="shared" si="467"/>
        <v>= lin. 59 * 2 =</v>
      </c>
      <c r="AB232" s="440" t="str">
        <f t="shared" si="467"/>
        <v>= lin. 59 * 2 =</v>
      </c>
      <c r="AC232" s="440" t="str">
        <f t="shared" si="467"/>
        <v>= lin. 59 * 2 =</v>
      </c>
      <c r="AD232" s="440" t="str">
        <f t="shared" si="467"/>
        <v>= lin. 59 * 2 =</v>
      </c>
      <c r="AE232" s="440" t="str">
        <f t="shared" si="467"/>
        <v>= lin. 59 * 2 =</v>
      </c>
      <c r="AF232" s="436"/>
      <c r="AG232" s="436"/>
    </row>
    <row r="233" spans="1:33" s="3" customFormat="1">
      <c r="A233" s="436"/>
      <c r="B233" s="627">
        <f t="shared" si="465"/>
        <v>69</v>
      </c>
      <c r="C233" s="439"/>
      <c r="D233" s="439">
        <f t="shared" si="455"/>
        <v>111</v>
      </c>
      <c r="E233" s="439"/>
      <c r="F233" s="450" t="s">
        <v>38</v>
      </c>
      <c r="G233" s="440" t="str">
        <f>"2/3 af den samlede indbetaling (lin. 72) iflg. A-satser"</f>
        <v>2/3 af den samlede indbetaling (lin. 72) iflg. A-satser</v>
      </c>
      <c r="H233" s="440" t="str">
        <f t="shared" ref="H233:S233" si="468">"2/3 af den samlede indbetaling (lin. 72) iflg. A-satser"</f>
        <v>2/3 af den samlede indbetaling (lin. 72) iflg. A-satser</v>
      </c>
      <c r="I233" s="440" t="str">
        <f t="shared" si="468"/>
        <v>2/3 af den samlede indbetaling (lin. 72) iflg. A-satser</v>
      </c>
      <c r="J233" s="440" t="str">
        <f t="shared" si="468"/>
        <v>2/3 af den samlede indbetaling (lin. 72) iflg. A-satser</v>
      </c>
      <c r="K233" s="440" t="str">
        <f t="shared" si="468"/>
        <v>2/3 af den samlede indbetaling (lin. 72) iflg. A-satser</v>
      </c>
      <c r="L233" s="440" t="str">
        <f t="shared" si="468"/>
        <v>2/3 af den samlede indbetaling (lin. 72) iflg. A-satser</v>
      </c>
      <c r="M233" s="440" t="str">
        <f t="shared" si="468"/>
        <v>2/3 af den samlede indbetaling (lin. 72) iflg. A-satser</v>
      </c>
      <c r="N233" s="440" t="str">
        <f t="shared" si="468"/>
        <v>2/3 af den samlede indbetaling (lin. 72) iflg. A-satser</v>
      </c>
      <c r="O233" s="440" t="str">
        <f t="shared" si="468"/>
        <v>2/3 af den samlede indbetaling (lin. 72) iflg. A-satser</v>
      </c>
      <c r="P233" s="440" t="str">
        <f>"2/3 af den samlede indbetaling (lin. 72) iflg. A-satser"</f>
        <v>2/3 af den samlede indbetaling (lin. 72) iflg. A-satser</v>
      </c>
      <c r="Q233" s="440" t="str">
        <f t="shared" si="468"/>
        <v>2/3 af den samlede indbetaling (lin. 72) iflg. A-satser</v>
      </c>
      <c r="R233" s="440" t="str">
        <f t="shared" si="468"/>
        <v>2/3 af den samlede indbetaling (lin. 72) iflg. A-satser</v>
      </c>
      <c r="S233" s="440" t="str">
        <f t="shared" si="468"/>
        <v>2/3 af den samlede indbetaling (lin. 72) iflg. A-satser</v>
      </c>
      <c r="T233" s="935" t="str">
        <f>"2/3 af den samlede indbetaling (lin. 71) iflg. A-satser"</f>
        <v>2/3 af den samlede indbetaling (lin. 71) iflg. A-satser</v>
      </c>
      <c r="U233" s="440" t="str">
        <f t="shared" ref="U233:AE233" si="469">"2/3 af den samlede indbetaling (lin. 71) iflg. A-satser"</f>
        <v>2/3 af den samlede indbetaling (lin. 71) iflg. A-satser</v>
      </c>
      <c r="V233" s="440" t="str">
        <f t="shared" si="469"/>
        <v>2/3 af den samlede indbetaling (lin. 71) iflg. A-satser</v>
      </c>
      <c r="W233" s="440" t="str">
        <f t="shared" si="469"/>
        <v>2/3 af den samlede indbetaling (lin. 71) iflg. A-satser</v>
      </c>
      <c r="X233" s="440" t="str">
        <f t="shared" si="469"/>
        <v>2/3 af den samlede indbetaling (lin. 71) iflg. A-satser</v>
      </c>
      <c r="Y233" s="440" t="str">
        <f t="shared" si="469"/>
        <v>2/3 af den samlede indbetaling (lin. 71) iflg. A-satser</v>
      </c>
      <c r="Z233" s="440" t="str">
        <f t="shared" si="469"/>
        <v>2/3 af den samlede indbetaling (lin. 71) iflg. A-satser</v>
      </c>
      <c r="AA233" s="440" t="str">
        <f t="shared" si="469"/>
        <v>2/3 af den samlede indbetaling (lin. 71) iflg. A-satser</v>
      </c>
      <c r="AB233" s="440" t="str">
        <f t="shared" si="469"/>
        <v>2/3 af den samlede indbetaling (lin. 71) iflg. A-satser</v>
      </c>
      <c r="AC233" s="440" t="str">
        <f t="shared" si="469"/>
        <v>2/3 af den samlede indbetaling (lin. 71) iflg. A-satser</v>
      </c>
      <c r="AD233" s="440" t="str">
        <f t="shared" si="469"/>
        <v>2/3 af den samlede indbetaling (lin. 71) iflg. A-satser</v>
      </c>
      <c r="AE233" s="440" t="str">
        <f t="shared" si="469"/>
        <v>2/3 af den samlede indbetaling (lin. 71) iflg. A-satser</v>
      </c>
      <c r="AF233" s="436"/>
      <c r="AG233" s="436"/>
    </row>
    <row r="234" spans="1:33" s="3" customFormat="1">
      <c r="A234" s="436"/>
      <c r="B234" s="631">
        <f t="shared" si="465"/>
        <v>70</v>
      </c>
      <c r="C234" s="439"/>
      <c r="D234" s="439">
        <f t="shared" si="455"/>
        <v>112</v>
      </c>
      <c r="E234" s="439"/>
      <c r="F234" s="450" t="s">
        <v>109</v>
      </c>
      <c r="G234" s="440" t="str">
        <f>"= lin. 69 + lin. 70 ="</f>
        <v>= lin. 69 + lin. 70 =</v>
      </c>
      <c r="H234" s="440" t="str">
        <f t="shared" ref="H234:S234" si="470">"= lin. 69 + lin. 70 ="</f>
        <v>= lin. 69 + lin. 70 =</v>
      </c>
      <c r="I234" s="440" t="str">
        <f t="shared" si="470"/>
        <v>= lin. 69 + lin. 70 =</v>
      </c>
      <c r="J234" s="440" t="str">
        <f t="shared" si="470"/>
        <v>= lin. 69 + lin. 70 =</v>
      </c>
      <c r="K234" s="440" t="str">
        <f t="shared" si="470"/>
        <v>= lin. 69 + lin. 70 =</v>
      </c>
      <c r="L234" s="440" t="str">
        <f t="shared" si="470"/>
        <v>= lin. 69 + lin. 70 =</v>
      </c>
      <c r="M234" s="440" t="str">
        <f t="shared" si="470"/>
        <v>= lin. 69 + lin. 70 =</v>
      </c>
      <c r="N234" s="440" t="str">
        <f t="shared" si="470"/>
        <v>= lin. 69 + lin. 70 =</v>
      </c>
      <c r="O234" s="440" t="str">
        <f t="shared" si="470"/>
        <v>= lin. 69 + lin. 70 =</v>
      </c>
      <c r="P234" s="440" t="str">
        <f>"= lin. 69 + lin. 70 ="</f>
        <v>= lin. 69 + lin. 70 =</v>
      </c>
      <c r="Q234" s="440" t="str">
        <f t="shared" si="470"/>
        <v>= lin. 69 + lin. 70 =</v>
      </c>
      <c r="R234" s="440" t="str">
        <f t="shared" si="470"/>
        <v>= lin. 69 + lin. 70 =</v>
      </c>
      <c r="S234" s="440" t="str">
        <f t="shared" si="470"/>
        <v>= lin. 69 + lin. 70 =</v>
      </c>
      <c r="T234" s="935" t="str">
        <f>"= lin. 67 + lin. 68 ="</f>
        <v>= lin. 67 + lin. 68 =</v>
      </c>
      <c r="U234" s="440" t="str">
        <f>"= lin. 67 + lin. 68 ="</f>
        <v>= lin. 67 + lin. 68 =</v>
      </c>
      <c r="V234" s="440" t="str">
        <f t="shared" ref="V234:AE234" si="471">"= lin. 67 + lin. 68 ="</f>
        <v>= lin. 67 + lin. 68 =</v>
      </c>
      <c r="W234" s="440" t="str">
        <f t="shared" si="471"/>
        <v>= lin. 67 + lin. 68 =</v>
      </c>
      <c r="X234" s="440" t="str">
        <f t="shared" si="471"/>
        <v>= lin. 67 + lin. 68 =</v>
      </c>
      <c r="Y234" s="440" t="str">
        <f t="shared" si="471"/>
        <v>= lin. 67 + lin. 68 =</v>
      </c>
      <c r="Z234" s="440" t="str">
        <f t="shared" si="471"/>
        <v>= lin. 67 + lin. 68 =</v>
      </c>
      <c r="AA234" s="440" t="str">
        <f t="shared" si="471"/>
        <v>= lin. 67 + lin. 68 =</v>
      </c>
      <c r="AB234" s="440" t="str">
        <f t="shared" si="471"/>
        <v>= lin. 67 + lin. 68 =</v>
      </c>
      <c r="AC234" s="440" t="str">
        <f t="shared" si="471"/>
        <v>= lin. 67 + lin. 68 =</v>
      </c>
      <c r="AD234" s="440" t="str">
        <f t="shared" si="471"/>
        <v>= lin. 67 + lin. 68 =</v>
      </c>
      <c r="AE234" s="440" t="str">
        <f t="shared" si="471"/>
        <v>= lin. 67 + lin. 68 =</v>
      </c>
      <c r="AF234" s="436"/>
      <c r="AG234" s="436"/>
    </row>
    <row r="235" spans="1:33" s="3" customFormat="1">
      <c r="A235" s="436"/>
      <c r="B235" s="627">
        <f t="shared" si="465"/>
        <v>71</v>
      </c>
      <c r="C235" s="439"/>
      <c r="D235" s="439">
        <f t="shared" si="455"/>
        <v>113</v>
      </c>
      <c r="E235" s="439"/>
      <c r="F235" s="450" t="s">
        <v>110</v>
      </c>
      <c r="G235" s="440" t="str">
        <f>"iflg. ATP's satser (afhængig af beskæftigelsesgraden)"</f>
        <v>iflg. ATP's satser (afhængig af beskæftigelsesgraden)</v>
      </c>
      <c r="H235" s="440" t="str">
        <f t="shared" ref="H235:S235" si="472">"iflg. ATP's satser (afhængig af beskæftigelsesgraden)"</f>
        <v>iflg. ATP's satser (afhængig af beskæftigelsesgraden)</v>
      </c>
      <c r="I235" s="440" t="str">
        <f t="shared" si="472"/>
        <v>iflg. ATP's satser (afhængig af beskæftigelsesgraden)</v>
      </c>
      <c r="J235" s="440" t="str">
        <f t="shared" si="472"/>
        <v>iflg. ATP's satser (afhængig af beskæftigelsesgraden)</v>
      </c>
      <c r="K235" s="440" t="str">
        <f t="shared" si="472"/>
        <v>iflg. ATP's satser (afhængig af beskæftigelsesgraden)</v>
      </c>
      <c r="L235" s="440" t="str">
        <f t="shared" si="472"/>
        <v>iflg. ATP's satser (afhængig af beskæftigelsesgraden)</v>
      </c>
      <c r="M235" s="440" t="str">
        <f t="shared" si="472"/>
        <v>iflg. ATP's satser (afhængig af beskæftigelsesgraden)</v>
      </c>
      <c r="N235" s="440" t="str">
        <f t="shared" si="472"/>
        <v>iflg. ATP's satser (afhængig af beskæftigelsesgraden)</v>
      </c>
      <c r="O235" s="440" t="str">
        <f t="shared" si="472"/>
        <v>iflg. ATP's satser (afhængig af beskæftigelsesgraden)</v>
      </c>
      <c r="P235" s="440" t="str">
        <f>"iflg. ATP's satser (afhængig af beskæftigelsesgraden)"</f>
        <v>iflg. ATP's satser (afhængig af beskæftigelsesgraden)</v>
      </c>
      <c r="Q235" s="440" t="str">
        <f t="shared" si="472"/>
        <v>iflg. ATP's satser (afhængig af beskæftigelsesgraden)</v>
      </c>
      <c r="R235" s="440" t="str">
        <f t="shared" si="472"/>
        <v>iflg. ATP's satser (afhængig af beskæftigelsesgraden)</v>
      </c>
      <c r="S235" s="440" t="str">
        <f t="shared" si="472"/>
        <v>iflg. ATP's satser (afhængig af beskæftigelsesgraden)</v>
      </c>
      <c r="T235" s="935" t="str">
        <f>"iflg. ATP's satser (afhængig af beskæftigelsesgraden)"</f>
        <v>iflg. ATP's satser (afhængig af beskæftigelsesgraden)</v>
      </c>
      <c r="U235" s="440" t="str">
        <f t="shared" ref="U235:AE235" si="473">"iflg. ATP's satser (afhængig af beskæftigelsesgraden)"</f>
        <v>iflg. ATP's satser (afhængig af beskæftigelsesgraden)</v>
      </c>
      <c r="V235" s="440" t="str">
        <f t="shared" si="473"/>
        <v>iflg. ATP's satser (afhængig af beskæftigelsesgraden)</v>
      </c>
      <c r="W235" s="440" t="str">
        <f t="shared" si="473"/>
        <v>iflg. ATP's satser (afhængig af beskæftigelsesgraden)</v>
      </c>
      <c r="X235" s="440" t="str">
        <f t="shared" si="473"/>
        <v>iflg. ATP's satser (afhængig af beskæftigelsesgraden)</v>
      </c>
      <c r="Y235" s="440" t="str">
        <f t="shared" si="473"/>
        <v>iflg. ATP's satser (afhængig af beskæftigelsesgraden)</v>
      </c>
      <c r="Z235" s="440" t="str">
        <f t="shared" si="473"/>
        <v>iflg. ATP's satser (afhængig af beskæftigelsesgraden)</v>
      </c>
      <c r="AA235" s="440" t="str">
        <f t="shared" si="473"/>
        <v>iflg. ATP's satser (afhængig af beskæftigelsesgraden)</v>
      </c>
      <c r="AB235" s="440" t="str">
        <f t="shared" si="473"/>
        <v>iflg. ATP's satser (afhængig af beskæftigelsesgraden)</v>
      </c>
      <c r="AC235" s="440" t="str">
        <f t="shared" si="473"/>
        <v>iflg. ATP's satser (afhængig af beskæftigelsesgraden)</v>
      </c>
      <c r="AD235" s="440" t="str">
        <f t="shared" si="473"/>
        <v>iflg. ATP's satser (afhængig af beskæftigelsesgraden)</v>
      </c>
      <c r="AE235" s="440" t="str">
        <f t="shared" si="473"/>
        <v>iflg. ATP's satser (afhængig af beskæftigelsesgraden)</v>
      </c>
      <c r="AF235" s="436"/>
      <c r="AG235" s="436"/>
    </row>
    <row r="236" spans="1:33" s="3" customFormat="1">
      <c r="A236" s="436"/>
      <c r="B236" s="631">
        <f t="shared" si="465"/>
        <v>72</v>
      </c>
      <c r="C236" s="439"/>
      <c r="D236" s="439">
        <f t="shared" si="455"/>
        <v>114</v>
      </c>
      <c r="E236" s="439"/>
      <c r="F236" s="450" t="s">
        <v>132</v>
      </c>
      <c r="G236" s="440" t="e">
        <f t="shared" ref="G236:S236" si="474">"= "&amp;TEXT(ROUND(ROUND(VLOOKUP(VALUE(MID(G5,2,2)),Skalalontabel12,7,0)*G6,0)/12,2),"#.###,00")&amp;" * 15% * "&amp;TEXT(MIN(1,G11),"0,0000")&amp;" * "&amp;TEXT(G$3,"#0/#0")&amp;" ="</f>
        <v>#VALUE!</v>
      </c>
      <c r="H236" s="440" t="e">
        <f t="shared" si="474"/>
        <v>#VALUE!</v>
      </c>
      <c r="I236" s="440" t="e">
        <f t="shared" si="474"/>
        <v>#VALUE!</v>
      </c>
      <c r="J236" s="440" t="e">
        <f t="shared" si="474"/>
        <v>#VALUE!</v>
      </c>
      <c r="K236" s="440" t="e">
        <f t="shared" si="474"/>
        <v>#VALUE!</v>
      </c>
      <c r="L236" s="440" t="e">
        <f t="shared" si="474"/>
        <v>#VALUE!</v>
      </c>
      <c r="M236" s="440" t="e">
        <f t="shared" si="474"/>
        <v>#VALUE!</v>
      </c>
      <c r="N236" s="440" t="e">
        <f t="shared" si="474"/>
        <v>#VALUE!</v>
      </c>
      <c r="O236" s="440" t="e">
        <f t="shared" si="474"/>
        <v>#VALUE!</v>
      </c>
      <c r="P236" s="440" t="e">
        <f t="shared" si="474"/>
        <v>#VALUE!</v>
      </c>
      <c r="Q236" s="440" t="e">
        <f t="shared" si="474"/>
        <v>#VALUE!</v>
      </c>
      <c r="R236" s="440" t="e">
        <f t="shared" si="474"/>
        <v>#VALUE!</v>
      </c>
      <c r="S236" s="440" t="e">
        <f t="shared" si="474"/>
        <v>#VALUE!</v>
      </c>
      <c r="T236" s="935" t="e">
        <f t="shared" ref="T236:AE236" si="475">"= "&amp;TEXT(ROUND(ROUND(VLOOKUP(VALUE(MID(T5,2,2)),Skalalontabel12,7,0)*T6,0)/12,2),"#.###,00")&amp;" * 15% * "&amp;TEXT(MIN(1,T10),"0,0000")&amp;" * "&amp;TEXT(T$3,"#0/#0")&amp;" ="</f>
        <v>#VALUE!</v>
      </c>
      <c r="U236" s="440" t="e">
        <f t="shared" si="475"/>
        <v>#VALUE!</v>
      </c>
      <c r="V236" s="440" t="e">
        <f t="shared" si="475"/>
        <v>#VALUE!</v>
      </c>
      <c r="W236" s="440" t="e">
        <f t="shared" si="475"/>
        <v>#VALUE!</v>
      </c>
      <c r="X236" s="440" t="e">
        <f t="shared" si="475"/>
        <v>#VALUE!</v>
      </c>
      <c r="Y236" s="440" t="e">
        <f t="shared" si="475"/>
        <v>#VALUE!</v>
      </c>
      <c r="Z236" s="440" t="e">
        <f t="shared" si="475"/>
        <v>#VALUE!</v>
      </c>
      <c r="AA236" s="440" t="e">
        <f t="shared" si="475"/>
        <v>#VALUE!</v>
      </c>
      <c r="AB236" s="440" t="e">
        <f t="shared" si="475"/>
        <v>#VALUE!</v>
      </c>
      <c r="AC236" s="440" t="e">
        <f t="shared" si="475"/>
        <v>#VALUE!</v>
      </c>
      <c r="AD236" s="440" t="e">
        <f t="shared" si="475"/>
        <v>#VALUE!</v>
      </c>
      <c r="AE236" s="440" t="e">
        <f t="shared" si="475"/>
        <v>#VALUE!</v>
      </c>
      <c r="AF236" s="436"/>
      <c r="AG236" s="436"/>
    </row>
    <row r="237" spans="1:33" s="3" customFormat="1">
      <c r="A237" s="436"/>
      <c r="B237" s="627">
        <f t="shared" si="465"/>
        <v>73</v>
      </c>
      <c r="C237" s="451"/>
      <c r="D237" s="451">
        <f t="shared" si="455"/>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455"/>
        <v>116</v>
      </c>
      <c r="E238" s="439"/>
      <c r="F238" s="455" t="s">
        <v>215</v>
      </c>
      <c r="G238" s="440" t="str">
        <f>"= lin. 40 - lin. 61 - lin. 63 - lin. 67 - sum(lin. 74- 79) ="</f>
        <v>= lin. 40 - lin. 61 - lin. 63 - lin. 67 - sum(lin. 74- 79) =</v>
      </c>
      <c r="H238" s="440" t="str">
        <f t="shared" ref="H238:S238" si="476">"= lin. 40 - lin. 61 - lin. 63 - lin. 67 - sum(lin. 74- 79) ="</f>
        <v>= lin. 40 - lin. 61 - lin. 63 - lin. 67 - sum(lin. 74- 79) =</v>
      </c>
      <c r="I238" s="440" t="str">
        <f t="shared" si="476"/>
        <v>= lin. 40 - lin. 61 - lin. 63 - lin. 67 - sum(lin. 74- 79) =</v>
      </c>
      <c r="J238" s="440" t="str">
        <f t="shared" si="476"/>
        <v>= lin. 40 - lin. 61 - lin. 63 - lin. 67 - sum(lin. 74- 79) =</v>
      </c>
      <c r="K238" s="440" t="str">
        <f t="shared" si="476"/>
        <v>= lin. 40 - lin. 61 - lin. 63 - lin. 67 - sum(lin. 74- 79) =</v>
      </c>
      <c r="L238" s="440" t="str">
        <f t="shared" si="476"/>
        <v>= lin. 40 - lin. 61 - lin. 63 - lin. 67 - sum(lin. 74- 79) =</v>
      </c>
      <c r="M238" s="440" t="str">
        <f t="shared" si="476"/>
        <v>= lin. 40 - lin. 61 - lin. 63 - lin. 67 - sum(lin. 74- 79) =</v>
      </c>
      <c r="N238" s="440" t="str">
        <f t="shared" si="476"/>
        <v>= lin. 40 - lin. 61 - lin. 63 - lin. 67 - sum(lin. 74- 79) =</v>
      </c>
      <c r="O238" s="440" t="str">
        <f t="shared" si="476"/>
        <v>= lin. 40 - lin. 61 - lin. 63 - lin. 67 - sum(lin. 74- 79) =</v>
      </c>
      <c r="P238" s="440" t="str">
        <f>"= lin. 40 - lin. 61 - lin. 63 - lin. 67 - sum(lin. 74- 79) ="</f>
        <v>= lin. 40 - lin. 61 - lin. 63 - lin. 67 - sum(lin. 74- 79) =</v>
      </c>
      <c r="Q238" s="440" t="str">
        <f t="shared" si="476"/>
        <v>= lin. 40 - lin. 61 - lin. 63 - lin. 67 - sum(lin. 74- 79) =</v>
      </c>
      <c r="R238" s="440" t="str">
        <f t="shared" si="476"/>
        <v>= lin. 40 - lin. 61 - lin. 63 - lin. 67 - sum(lin. 74- 79) =</v>
      </c>
      <c r="S238" s="440" t="str">
        <f t="shared" si="476"/>
        <v>= lin. 40 - lin. 61 - lin. 63 - lin. 67 - sum(lin. 74- 79) =</v>
      </c>
      <c r="T238" s="935" t="str">
        <f>"= lin. 40 - lin. 61 - lin. 63 - lin. 67 - sum(lin. 74- 79) ="</f>
        <v>= lin. 40 - lin. 61 - lin. 63 - lin. 67 - sum(lin. 74- 79) =</v>
      </c>
      <c r="U238" s="440" t="str">
        <f t="shared" ref="U238:AE238" si="477">"= lin. 40 - lin. 61 - lin. 63 - lin. 67 - sum(lin. 74- 79) ="</f>
        <v>= lin. 40 - lin. 61 - lin. 63 - lin. 67 - sum(lin. 74- 79) =</v>
      </c>
      <c r="V238" s="440" t="str">
        <f t="shared" si="477"/>
        <v>= lin. 40 - lin. 61 - lin. 63 - lin. 67 - sum(lin. 74- 79) =</v>
      </c>
      <c r="W238" s="440" t="str">
        <f t="shared" si="477"/>
        <v>= lin. 40 - lin. 61 - lin. 63 - lin. 67 - sum(lin. 74- 79) =</v>
      </c>
      <c r="X238" s="440" t="str">
        <f t="shared" si="477"/>
        <v>= lin. 40 - lin. 61 - lin. 63 - lin. 67 - sum(lin. 74- 79) =</v>
      </c>
      <c r="Y238" s="440" t="str">
        <f t="shared" si="477"/>
        <v>= lin. 40 - lin. 61 - lin. 63 - lin. 67 - sum(lin. 74- 79) =</v>
      </c>
      <c r="Z238" s="440" t="str">
        <f t="shared" si="477"/>
        <v>= lin. 40 - lin. 61 - lin. 63 - lin. 67 - sum(lin. 74- 79) =</v>
      </c>
      <c r="AA238" s="440" t="str">
        <f t="shared" si="477"/>
        <v>= lin. 40 - lin. 61 - lin. 63 - lin. 67 - sum(lin. 74- 79) =</v>
      </c>
      <c r="AB238" s="440" t="str">
        <f t="shared" si="477"/>
        <v>= lin. 40 - lin. 61 - lin. 63 - lin. 67 - sum(lin. 74- 79) =</v>
      </c>
      <c r="AC238" s="440" t="str">
        <f t="shared" si="477"/>
        <v>= lin. 40 - lin. 61 - lin. 63 - lin. 67 - sum(lin. 74- 79) =</v>
      </c>
      <c r="AD238" s="440" t="str">
        <f t="shared" si="477"/>
        <v>= lin. 40 - lin. 61 - lin. 63 - lin. 67 - sum(lin. 74- 79) =</v>
      </c>
      <c r="AE238" s="440" t="str">
        <f t="shared" si="477"/>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A3:A51"/>
    <mergeCell ref="C49:E51"/>
    <mergeCell ref="C1:C3"/>
    <mergeCell ref="D1:D3"/>
    <mergeCell ref="E1:E3"/>
    <mergeCell ref="C30:C32"/>
  </mergeCells>
  <phoneticPr fontId="12" type="noConversion"/>
  <dataValidations count="7">
    <dataValidation type="whole" allowBlank="1" showInputMessage="1" showErrorMessage="1" sqref="G28" xr:uid="{00000000-0002-0000-0800-000000000000}">
      <formula1>0</formula1>
      <formula2>20</formula2>
    </dataValidation>
    <dataValidation type="decimal" allowBlank="1" showInputMessage="1" showErrorMessage="1" sqref="G25:S25" xr:uid="{00000000-0002-0000-0800-000001000000}">
      <formula1>0</formula1>
      <formula2>G24</formula2>
    </dataValidation>
    <dataValidation type="whole" allowBlank="1" showInputMessage="1" showErrorMessage="1" sqref="G29" xr:uid="{00000000-0002-0000-0800-000002000000}">
      <formula1>0</formula1>
      <formula2>60</formula2>
    </dataValidation>
    <dataValidation type="whole" allowBlank="1" showInputMessage="1" showErrorMessage="1" sqref="G30" xr:uid="{00000000-0002-0000-0800-000003000000}">
      <formula1>0</formula1>
      <formula2>20000</formula2>
    </dataValidation>
    <dataValidation type="decimal" allowBlank="1" showInputMessage="1" showErrorMessage="1" sqref="G12:S12" xr:uid="{00000000-0002-0000-0800-000004000000}">
      <formula1>0</formula1>
      <formula2>1100</formula2>
    </dataValidation>
    <dataValidation type="decimal" allowBlank="1" showInputMessage="1" showErrorMessage="1" sqref="G10:G11 H11:S11" xr:uid="{00000000-0002-0000-0800-000005000000}">
      <formula1>0</formula1>
      <formula2>1.136</formula2>
    </dataValidation>
    <dataValidation type="list" allowBlank="1" showInputMessage="1" showErrorMessage="1" sqref="G8:S9 T9:AE9" xr:uid="{E4BEC921-39DE-1240-AD20-F45FD8936BF8}">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800-000006000000}">
          <x14:formula1>
            <xm:f>Grundlon12!$B$124:$B$157</xm:f>
          </x14:formula1>
          <xm:sqref>G5 T13:AE51 T11:AE11 T5:AE8</xm:sqref>
        </x14:dataValidation>
        <x14:dataValidation type="list" allowBlank="1" showInputMessage="1" showErrorMessage="1" xr:uid="{00000000-0002-0000-0800-000007000000}">
          <x14:formula1>
            <xm:f>Grundlon12!$C$124:$C$125</xm:f>
          </x14:formula1>
          <xm:sqref>G13</xm:sqref>
        </x14:dataValidation>
        <x14:dataValidation type="list" allowBlank="1" showInputMessage="1" showErrorMessage="1" xr:uid="{00000000-0002-0000-0800-000008000000}">
          <x14:formula1>
            <xm:f>Grundlon12!$D$124:$D$125</xm:f>
          </x14:formula1>
          <xm:sqref>G22</xm:sqref>
        </x14:dataValidation>
        <x14:dataValidation type="list" allowBlank="1" showInputMessage="1" showErrorMessage="1" xr:uid="{00000000-0002-0000-0800-000009000000}">
          <x14:formula1>
            <xm:f>Grundlon12!$E$124:$E$125</xm:f>
          </x14:formula1>
          <xm:sqref>C23:E23 C45:C46 D14:E19</xm:sqref>
        </x14:dataValidation>
        <x14:dataValidation type="list" allowBlank="1" showInputMessage="1" showErrorMessage="1" xr:uid="{00000000-0002-0000-0800-00000A000000}">
          <x14:formula1>
            <xm:f>Grundlon12!$F$124:$F$127</xm:f>
          </x14:formula1>
          <xm:sqref>G34:S34</xm:sqref>
        </x14:dataValidation>
        <x14:dataValidation type="list" allowBlank="1" showInputMessage="1" showErrorMessage="1" xr:uid="{00000000-0002-0000-0800-00000B000000}">
          <x14:formula1>
            <xm:f>Grundlon12!A124:A131</xm:f>
          </x14:formula1>
          <xm:sqref>G4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38">
    <tabColor rgb="FFFFFF00"/>
  </sheetPr>
  <dimension ref="A1"/>
  <sheetViews>
    <sheetView workbookViewId="0"/>
  </sheetViews>
  <sheetFormatPr baseColWidth="10" defaultColWidth="11.42578125" defaultRowHeight="14"/>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39"/>
  <dimension ref="A1"/>
  <sheetViews>
    <sheetView workbookViewId="0"/>
  </sheetViews>
  <sheetFormatPr baseColWidth="10" defaultColWidth="11.42578125" defaultRowHeight="14"/>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40"/>
  <dimension ref="A1"/>
  <sheetViews>
    <sheetView workbookViewId="0"/>
  </sheetViews>
  <sheetFormatPr baseColWidth="10" defaultColWidth="11.42578125" defaultRowHeight="14"/>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41"/>
  <dimension ref="A1"/>
  <sheetViews>
    <sheetView workbookViewId="0"/>
  </sheetViews>
  <sheetFormatPr baseColWidth="10" defaultColWidth="11.42578125" defaultRowHeight="14"/>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8A58F-A927-3547-A1FA-8C56141A2EC1}">
  <sheetPr codeName="Ark10">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624</v>
      </c>
      <c r="H1" s="77" t="str">
        <f>G1</f>
        <v>B</v>
      </c>
      <c r="I1" s="77" t="str">
        <f t="shared" ref="I1:R1" si="0">H1</f>
        <v>B</v>
      </c>
      <c r="J1" s="77" t="str">
        <f t="shared" si="0"/>
        <v>B</v>
      </c>
      <c r="K1" s="77" t="str">
        <f t="shared" si="0"/>
        <v>B</v>
      </c>
      <c r="L1" s="77" t="str">
        <f t="shared" si="0"/>
        <v>B</v>
      </c>
      <c r="M1" s="77" t="str">
        <f t="shared" si="0"/>
        <v>B</v>
      </c>
      <c r="N1" s="77" t="str">
        <f t="shared" si="0"/>
        <v>B</v>
      </c>
      <c r="O1" s="77" t="str">
        <f t="shared" si="0"/>
        <v>B</v>
      </c>
      <c r="P1" s="77" t="str">
        <f t="shared" si="0"/>
        <v>B</v>
      </c>
      <c r="Q1" s="77" t="str">
        <f t="shared" si="0"/>
        <v>B</v>
      </c>
      <c r="R1" s="77" t="str">
        <f t="shared" si="0"/>
        <v>B</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277CC6A8-C979-534B-B25A-3060D16863AD}">
      <formula1>$AG$8:$AG$10</formula1>
    </dataValidation>
    <dataValidation type="decimal" allowBlank="1" showInputMessage="1" showErrorMessage="1" sqref="G10:G11 H11:S11" xr:uid="{D7125AD9-BB75-B64D-AB4C-DF2FF09024EA}">
      <formula1>0</formula1>
      <formula2>1.136</formula2>
    </dataValidation>
    <dataValidation type="decimal" allowBlank="1" showInputMessage="1" showErrorMessage="1" sqref="G12:S12" xr:uid="{56234C36-4F6F-9344-9AE1-6351D2AD68D9}">
      <formula1>0</formula1>
      <formula2>1100</formula2>
    </dataValidation>
    <dataValidation type="whole" allowBlank="1" showInputMessage="1" showErrorMessage="1" sqref="G30" xr:uid="{054D1632-DA8C-A242-8842-5346A26C54DF}">
      <formula1>0</formula1>
      <formula2>20000</formula2>
    </dataValidation>
    <dataValidation type="whole" allowBlank="1" showInputMessage="1" showErrorMessage="1" sqref="G29" xr:uid="{77144A4E-DC28-F846-AD64-FB51C9E2E586}">
      <formula1>0</formula1>
      <formula2>60</formula2>
    </dataValidation>
    <dataValidation type="decimal" allowBlank="1" showInputMessage="1" showErrorMessage="1" sqref="G25:S25" xr:uid="{276D7958-9E6B-8249-A016-461D7428900C}">
      <formula1>0</formula1>
      <formula2>G24</formula2>
    </dataValidation>
    <dataValidation type="whole" allowBlank="1" showInputMessage="1" showErrorMessage="1" sqref="G28" xr:uid="{242C7C61-4714-D94B-AF93-91147728B27F}">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46585C6-191E-8740-ADC6-03DECBE4D9C5}">
          <x14:formula1>
            <xm:f>Grundlon12!A124:A131</xm:f>
          </x14:formula1>
          <xm:sqref>G4</xm:sqref>
        </x14:dataValidation>
        <x14:dataValidation type="list" allowBlank="1" showInputMessage="1" showErrorMessage="1" xr:uid="{AA6247BD-BF65-8846-87F2-5A4D2E52F575}">
          <x14:formula1>
            <xm:f>Grundlon12!$F$124:$F$127</xm:f>
          </x14:formula1>
          <xm:sqref>G34:S34</xm:sqref>
        </x14:dataValidation>
        <x14:dataValidation type="list" allowBlank="1" showInputMessage="1" showErrorMessage="1" xr:uid="{EE715535-A8FA-EB4F-8202-C8D30FF09243}">
          <x14:formula1>
            <xm:f>Grundlon12!$E$124:$E$125</xm:f>
          </x14:formula1>
          <xm:sqref>C23:E23 C45:C46 D14:E19</xm:sqref>
        </x14:dataValidation>
        <x14:dataValidation type="list" allowBlank="1" showInputMessage="1" showErrorMessage="1" xr:uid="{D5807858-5BF0-BE44-93A5-996DDE5F4885}">
          <x14:formula1>
            <xm:f>Grundlon12!$D$124:$D$125</xm:f>
          </x14:formula1>
          <xm:sqref>G22</xm:sqref>
        </x14:dataValidation>
        <x14:dataValidation type="list" allowBlank="1" showInputMessage="1" showErrorMessage="1" xr:uid="{585D4A7B-C7EA-4B4E-9DC9-B0DF1709CDDC}">
          <x14:formula1>
            <xm:f>Grundlon12!$C$124:$C$125</xm:f>
          </x14:formula1>
          <xm:sqref>G13</xm:sqref>
        </x14:dataValidation>
        <x14:dataValidation type="list" allowBlank="1" showInputMessage="1" showErrorMessage="1" xr:uid="{2D526738-8616-A944-8C1F-7E8CA77FFF6F}">
          <x14:formula1>
            <xm:f>Grundlon12!$B$124:$B$157</xm:f>
          </x14:formula1>
          <xm:sqref>G5 T13:AE51 T11:AE11 T5:AE8</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9D6A6-F307-AA4E-9B42-3A07F8A0C4B1}">
  <sheetPr codeName="Ark11">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625</v>
      </c>
      <c r="H1" s="77" t="str">
        <f>G1</f>
        <v>C</v>
      </c>
      <c r="I1" s="77" t="str">
        <f t="shared" ref="I1:R1" si="0">H1</f>
        <v>C</v>
      </c>
      <c r="J1" s="77" t="str">
        <f t="shared" si="0"/>
        <v>C</v>
      </c>
      <c r="K1" s="77" t="str">
        <f t="shared" si="0"/>
        <v>C</v>
      </c>
      <c r="L1" s="77" t="str">
        <f t="shared" si="0"/>
        <v>C</v>
      </c>
      <c r="M1" s="77" t="str">
        <f t="shared" si="0"/>
        <v>C</v>
      </c>
      <c r="N1" s="77" t="str">
        <f t="shared" si="0"/>
        <v>C</v>
      </c>
      <c r="O1" s="77" t="str">
        <f t="shared" si="0"/>
        <v>C</v>
      </c>
      <c r="P1" s="77" t="str">
        <f t="shared" si="0"/>
        <v>C</v>
      </c>
      <c r="Q1" s="77" t="str">
        <f t="shared" si="0"/>
        <v>C</v>
      </c>
      <c r="R1" s="77" t="str">
        <f t="shared" si="0"/>
        <v>C</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52AE494D-DF1E-FF41-BD96-2BB66D4B1AC4}">
      <formula1>$AG$8:$AG$10</formula1>
    </dataValidation>
    <dataValidation type="decimal" allowBlank="1" showInputMessage="1" showErrorMessage="1" sqref="G10:G11 H11:S11" xr:uid="{351CECE2-1EE2-F749-9884-D993CD8FC703}">
      <formula1>0</formula1>
      <formula2>1.136</formula2>
    </dataValidation>
    <dataValidation type="decimal" allowBlank="1" showInputMessage="1" showErrorMessage="1" sqref="G12:S12" xr:uid="{32F4DCBD-372A-C744-9989-A68AF8B91A4D}">
      <formula1>0</formula1>
      <formula2>1100</formula2>
    </dataValidation>
    <dataValidation type="whole" allowBlank="1" showInputMessage="1" showErrorMessage="1" sqref="G30" xr:uid="{55706BB6-1B28-4D46-A35C-A0CD22CFBD57}">
      <formula1>0</formula1>
      <formula2>20000</formula2>
    </dataValidation>
    <dataValidation type="whole" allowBlank="1" showInputMessage="1" showErrorMessage="1" sqref="G29" xr:uid="{09446181-06B0-6C4F-A88F-3BBAC4EF3ED4}">
      <formula1>0</formula1>
      <formula2>60</formula2>
    </dataValidation>
    <dataValidation type="decimal" allowBlank="1" showInputMessage="1" showErrorMessage="1" sqref="G25:S25" xr:uid="{2854C4CB-EA18-ED48-8B5F-71731BB05E5D}">
      <formula1>0</formula1>
      <formula2>G24</formula2>
    </dataValidation>
    <dataValidation type="whole" allowBlank="1" showInputMessage="1" showErrorMessage="1" sqref="G28" xr:uid="{339BC58C-3227-374E-9D2C-2F204BCA0280}">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45D5E8F2-2F1F-B94B-A2AA-385F5B9C3033}">
          <x14:formula1>
            <xm:f>Grundlon12!A124:A131</xm:f>
          </x14:formula1>
          <xm:sqref>G4</xm:sqref>
        </x14:dataValidation>
        <x14:dataValidation type="list" allowBlank="1" showInputMessage="1" showErrorMessage="1" xr:uid="{9B542D60-EE09-3442-8A4C-3D2BB73CA6B8}">
          <x14:formula1>
            <xm:f>Grundlon12!$F$124:$F$127</xm:f>
          </x14:formula1>
          <xm:sqref>G34:S34</xm:sqref>
        </x14:dataValidation>
        <x14:dataValidation type="list" allowBlank="1" showInputMessage="1" showErrorMessage="1" xr:uid="{B1F1DA09-5E46-8440-BCE0-30D027A73361}">
          <x14:formula1>
            <xm:f>Grundlon12!$E$124:$E$125</xm:f>
          </x14:formula1>
          <xm:sqref>C23:E23 C45:C46 D14:E19</xm:sqref>
        </x14:dataValidation>
        <x14:dataValidation type="list" allowBlank="1" showInputMessage="1" showErrorMessage="1" xr:uid="{466B5DC5-FD65-794E-A074-C490C0744357}">
          <x14:formula1>
            <xm:f>Grundlon12!$D$124:$D$125</xm:f>
          </x14:formula1>
          <xm:sqref>G22</xm:sqref>
        </x14:dataValidation>
        <x14:dataValidation type="list" allowBlank="1" showInputMessage="1" showErrorMessage="1" xr:uid="{50A49BFE-E98C-734B-BF80-B5782186395A}">
          <x14:formula1>
            <xm:f>Grundlon12!$C$124:$C$125</xm:f>
          </x14:formula1>
          <xm:sqref>G13</xm:sqref>
        </x14:dataValidation>
        <x14:dataValidation type="list" allowBlank="1" showInputMessage="1" showErrorMessage="1" xr:uid="{33D41CBA-0957-A844-953C-D1833B2A351B}">
          <x14:formula1>
            <xm:f>Grundlon12!$B$124:$B$157</xm:f>
          </x14:formula1>
          <xm:sqref>G5 T13:AE51 T11:AE11 T5:AE8</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0F71A-09B7-C74D-B825-68CFDFD84E7E}">
  <sheetPr codeName="Ark12">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626</v>
      </c>
      <c r="H1" s="77" t="str">
        <f>G1</f>
        <v>D</v>
      </c>
      <c r="I1" s="77" t="str">
        <f t="shared" ref="I1:R1" si="0">H1</f>
        <v>D</v>
      </c>
      <c r="J1" s="77" t="str">
        <f t="shared" si="0"/>
        <v>D</v>
      </c>
      <c r="K1" s="77" t="str">
        <f t="shared" si="0"/>
        <v>D</v>
      </c>
      <c r="L1" s="77" t="str">
        <f t="shared" si="0"/>
        <v>D</v>
      </c>
      <c r="M1" s="77" t="str">
        <f t="shared" si="0"/>
        <v>D</v>
      </c>
      <c r="N1" s="77" t="str">
        <f t="shared" si="0"/>
        <v>D</v>
      </c>
      <c r="O1" s="77" t="str">
        <f t="shared" si="0"/>
        <v>D</v>
      </c>
      <c r="P1" s="77" t="str">
        <f t="shared" si="0"/>
        <v>D</v>
      </c>
      <c r="Q1" s="77" t="str">
        <f t="shared" si="0"/>
        <v>D</v>
      </c>
      <c r="R1" s="77" t="str">
        <f t="shared" si="0"/>
        <v>D</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B9963340-3E85-FB4F-8C8A-2CE27BE9488A}">
      <formula1>0</formula1>
      <formula2>20</formula2>
    </dataValidation>
    <dataValidation type="decimal" allowBlank="1" showInputMessage="1" showErrorMessage="1" sqref="G25:S25" xr:uid="{382FBB93-0C03-F547-8F94-D8D0CBED015F}">
      <formula1>0</formula1>
      <formula2>G24</formula2>
    </dataValidation>
    <dataValidation type="whole" allowBlank="1" showInputMessage="1" showErrorMessage="1" sqref="G29" xr:uid="{0008FFCF-33EC-9842-840E-8D5DCE10D302}">
      <formula1>0</formula1>
      <formula2>60</formula2>
    </dataValidation>
    <dataValidation type="whole" allowBlank="1" showInputMessage="1" showErrorMessage="1" sqref="G30" xr:uid="{6DD9244F-B9D4-EE48-BF09-18216D20F180}">
      <formula1>0</formula1>
      <formula2>20000</formula2>
    </dataValidation>
    <dataValidation type="decimal" allowBlank="1" showInputMessage="1" showErrorMessage="1" sqref="G12:S12" xr:uid="{D6292D1E-4556-8746-AB62-20F8EB7C2A6D}">
      <formula1>0</formula1>
      <formula2>1100</formula2>
    </dataValidation>
    <dataValidation type="decimal" allowBlank="1" showInputMessage="1" showErrorMessage="1" sqref="G10:G11 H11:S11" xr:uid="{4C743D5E-92BE-C441-AEF2-28FC53BBEF78}">
      <formula1>0</formula1>
      <formula2>1.136</formula2>
    </dataValidation>
    <dataValidation type="list" allowBlank="1" showInputMessage="1" showErrorMessage="1" sqref="G8:S9 T9:AE9" xr:uid="{B68CAAE3-E245-BE4B-8EDD-1AC65CD82491}">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3617420-A59A-8F44-B5AB-C63CF9174154}">
          <x14:formula1>
            <xm:f>Grundlon12!$B$124:$B$157</xm:f>
          </x14:formula1>
          <xm:sqref>G5 T13:AE51 T11:AE11 T5:AE8</xm:sqref>
        </x14:dataValidation>
        <x14:dataValidation type="list" allowBlank="1" showInputMessage="1" showErrorMessage="1" xr:uid="{E5A50D70-A70C-B641-A2C2-0C00326CFC0F}">
          <x14:formula1>
            <xm:f>Grundlon12!$C$124:$C$125</xm:f>
          </x14:formula1>
          <xm:sqref>G13</xm:sqref>
        </x14:dataValidation>
        <x14:dataValidation type="list" allowBlank="1" showInputMessage="1" showErrorMessage="1" xr:uid="{13AA7297-FFD9-1E49-A206-7108D0BE7D39}">
          <x14:formula1>
            <xm:f>Grundlon12!$D$124:$D$125</xm:f>
          </x14:formula1>
          <xm:sqref>G22</xm:sqref>
        </x14:dataValidation>
        <x14:dataValidation type="list" allowBlank="1" showInputMessage="1" showErrorMessage="1" xr:uid="{CA93E054-BD3B-AC48-99DE-28D91EED420A}">
          <x14:formula1>
            <xm:f>Grundlon12!$E$124:$E$125</xm:f>
          </x14:formula1>
          <xm:sqref>C23:E23 C45:C46 D14:E19</xm:sqref>
        </x14:dataValidation>
        <x14:dataValidation type="list" allowBlank="1" showInputMessage="1" showErrorMessage="1" xr:uid="{D111C18B-6EAF-5C4D-99EF-A48393F6F6A1}">
          <x14:formula1>
            <xm:f>Grundlon12!$F$124:$F$127</xm:f>
          </x14:formula1>
          <xm:sqref>G34:S34</xm:sqref>
        </x14:dataValidation>
        <x14:dataValidation type="list" allowBlank="1" showInputMessage="1" showErrorMessage="1" xr:uid="{18605119-952D-BB42-99F7-80D1E3129A5B}">
          <x14:formula1>
            <xm:f>Grundlon12!A124:A131</xm:f>
          </x14:formula1>
          <xm:sqref>G4</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1203-9A14-F245-AF1E-802C402AC181}">
  <sheetPr codeName="Ark13">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627</v>
      </c>
      <c r="H1" s="77" t="str">
        <f>G1</f>
        <v>E</v>
      </c>
      <c r="I1" s="77" t="str">
        <f t="shared" ref="I1:R1" si="0">H1</f>
        <v>E</v>
      </c>
      <c r="J1" s="77" t="str">
        <f t="shared" si="0"/>
        <v>E</v>
      </c>
      <c r="K1" s="77" t="str">
        <f t="shared" si="0"/>
        <v>E</v>
      </c>
      <c r="L1" s="77" t="str">
        <f t="shared" si="0"/>
        <v>E</v>
      </c>
      <c r="M1" s="77" t="str">
        <f t="shared" si="0"/>
        <v>E</v>
      </c>
      <c r="N1" s="77" t="str">
        <f t="shared" si="0"/>
        <v>E</v>
      </c>
      <c r="O1" s="77" t="str">
        <f t="shared" si="0"/>
        <v>E</v>
      </c>
      <c r="P1" s="77" t="str">
        <f t="shared" si="0"/>
        <v>E</v>
      </c>
      <c r="Q1" s="77" t="str">
        <f t="shared" si="0"/>
        <v>E</v>
      </c>
      <c r="R1" s="77" t="str">
        <f t="shared" si="0"/>
        <v>E</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E2D47031-CD9D-B14B-8728-238B9553013D}">
      <formula1>$AG$8:$AG$10</formula1>
    </dataValidation>
    <dataValidation type="decimal" allowBlank="1" showInputMessage="1" showErrorMessage="1" sqref="G10:G11 H11:S11" xr:uid="{31C2D057-79F6-1340-8180-074A1AB00795}">
      <formula1>0</formula1>
      <formula2>1.136</formula2>
    </dataValidation>
    <dataValidation type="decimal" allowBlank="1" showInputMessage="1" showErrorMessage="1" sqref="G12:S12" xr:uid="{FBD4C40F-57DA-2149-A7F5-B2CA1A1D82C9}">
      <formula1>0</formula1>
      <formula2>1100</formula2>
    </dataValidation>
    <dataValidation type="whole" allowBlank="1" showInputMessage="1" showErrorMessage="1" sqref="G30" xr:uid="{A570607E-18B5-E440-8F35-468FBA0F6AB7}">
      <formula1>0</formula1>
      <formula2>20000</formula2>
    </dataValidation>
    <dataValidation type="whole" allowBlank="1" showInputMessage="1" showErrorMessage="1" sqref="G29" xr:uid="{A5996169-95B2-2048-8DD4-DCE784CB82A8}">
      <formula1>0</formula1>
      <formula2>60</formula2>
    </dataValidation>
    <dataValidation type="decimal" allowBlank="1" showInputMessage="1" showErrorMessage="1" sqref="G25:S25" xr:uid="{BB6F6EB7-3032-1649-8F94-A0E018C6340E}">
      <formula1>0</formula1>
      <formula2>G24</formula2>
    </dataValidation>
    <dataValidation type="whole" allowBlank="1" showInputMessage="1" showErrorMessage="1" sqref="G28" xr:uid="{F603EEB7-A351-3F49-808F-10B6706D61FE}">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486E86F-6677-1F48-9DCB-7AE7F5CCD91A}">
          <x14:formula1>
            <xm:f>Grundlon12!A124:A131</xm:f>
          </x14:formula1>
          <xm:sqref>G4</xm:sqref>
        </x14:dataValidation>
        <x14:dataValidation type="list" allowBlank="1" showInputMessage="1" showErrorMessage="1" xr:uid="{19242296-6A69-D34C-8236-D8D07FD580AB}">
          <x14:formula1>
            <xm:f>Grundlon12!$F$124:$F$127</xm:f>
          </x14:formula1>
          <xm:sqref>G34:S34</xm:sqref>
        </x14:dataValidation>
        <x14:dataValidation type="list" allowBlank="1" showInputMessage="1" showErrorMessage="1" xr:uid="{A2D182A1-768E-934E-A019-2058AF9E3C18}">
          <x14:formula1>
            <xm:f>Grundlon12!$E$124:$E$125</xm:f>
          </x14:formula1>
          <xm:sqref>C23:E23 C45:C46 D14:E19</xm:sqref>
        </x14:dataValidation>
        <x14:dataValidation type="list" allowBlank="1" showInputMessage="1" showErrorMessage="1" xr:uid="{F329D727-FB8A-1643-83EF-4186348698EF}">
          <x14:formula1>
            <xm:f>Grundlon12!$D$124:$D$125</xm:f>
          </x14:formula1>
          <xm:sqref>G22</xm:sqref>
        </x14:dataValidation>
        <x14:dataValidation type="list" allowBlank="1" showInputMessage="1" showErrorMessage="1" xr:uid="{50848188-EBAC-F34D-874B-E94757F3A8C3}">
          <x14:formula1>
            <xm:f>Grundlon12!$C$124:$C$125</xm:f>
          </x14:formula1>
          <xm:sqref>G13</xm:sqref>
        </x14:dataValidation>
        <x14:dataValidation type="list" allowBlank="1" showInputMessage="1" showErrorMessage="1" xr:uid="{FE95F0BD-9162-B94C-94B6-6A29D36D5BEE}">
          <x14:formula1>
            <xm:f>Grundlon12!$B$124:$B$157</xm:f>
          </x14:formula1>
          <xm:sqref>G5 T13:AE51 T11:AE11 T5:AE8</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0FD2F-AAAB-BB4A-B0BF-4D58CBBBFF89}">
  <sheetPr codeName="Ark14">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264</v>
      </c>
      <c r="H1" s="77" t="str">
        <f>G1</f>
        <v>F</v>
      </c>
      <c r="I1" s="77" t="str">
        <f t="shared" ref="I1:R1" si="0">H1</f>
        <v>F</v>
      </c>
      <c r="J1" s="77" t="str">
        <f t="shared" si="0"/>
        <v>F</v>
      </c>
      <c r="K1" s="77" t="str">
        <f t="shared" si="0"/>
        <v>F</v>
      </c>
      <c r="L1" s="77" t="str">
        <f t="shared" si="0"/>
        <v>F</v>
      </c>
      <c r="M1" s="77" t="str">
        <f t="shared" si="0"/>
        <v>F</v>
      </c>
      <c r="N1" s="77" t="str">
        <f t="shared" si="0"/>
        <v>F</v>
      </c>
      <c r="O1" s="77" t="str">
        <f t="shared" si="0"/>
        <v>F</v>
      </c>
      <c r="P1" s="77" t="str">
        <f t="shared" si="0"/>
        <v>F</v>
      </c>
      <c r="Q1" s="77" t="str">
        <f t="shared" si="0"/>
        <v>F</v>
      </c>
      <c r="R1" s="77" t="str">
        <f t="shared" si="0"/>
        <v>F</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99BCBB64-6EE7-DF40-B2E2-A0463221AC3F}">
      <formula1>0</formula1>
      <formula2>20</formula2>
    </dataValidation>
    <dataValidation type="decimal" allowBlank="1" showInputMessage="1" showErrorMessage="1" sqref="G25:S25" xr:uid="{0E5BC690-7E14-FE44-8B89-C3AEAFD9A4E5}">
      <formula1>0</formula1>
      <formula2>G24</formula2>
    </dataValidation>
    <dataValidation type="whole" allowBlank="1" showInputMessage="1" showErrorMessage="1" sqref="G29" xr:uid="{32E44311-8D2B-3643-8940-FD486310DC05}">
      <formula1>0</formula1>
      <formula2>60</formula2>
    </dataValidation>
    <dataValidation type="whole" allowBlank="1" showInputMessage="1" showErrorMessage="1" sqref="G30" xr:uid="{8836C316-2B6F-2C46-B215-CB525A698DA0}">
      <formula1>0</formula1>
      <formula2>20000</formula2>
    </dataValidation>
    <dataValidation type="decimal" allowBlank="1" showInputMessage="1" showErrorMessage="1" sqref="G12:S12" xr:uid="{8536E8DE-6D2A-EF45-829A-39B11CD623B1}">
      <formula1>0</formula1>
      <formula2>1100</formula2>
    </dataValidation>
    <dataValidation type="decimal" allowBlank="1" showInputMessage="1" showErrorMessage="1" sqref="G10:G11 H11:S11" xr:uid="{D8B1E7D6-7348-2846-8B23-3761BE1D4B65}">
      <formula1>0</formula1>
      <formula2>1.136</formula2>
    </dataValidation>
    <dataValidation type="list" allowBlank="1" showInputMessage="1" showErrorMessage="1" sqref="G8:S9 T9:AE9" xr:uid="{44CE6AD6-E837-5C48-88F3-F6DC188E140B}">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2A5DDA97-FBC3-1946-BCA7-00C3B7D45D79}">
          <x14:formula1>
            <xm:f>Grundlon12!$B$124:$B$157</xm:f>
          </x14:formula1>
          <xm:sqref>G5 T13:AE51 T11:AE11 T5:AE8</xm:sqref>
        </x14:dataValidation>
        <x14:dataValidation type="list" allowBlank="1" showInputMessage="1" showErrorMessage="1" xr:uid="{25DCD200-0850-DB47-B822-D5E9F4D6817E}">
          <x14:formula1>
            <xm:f>Grundlon12!$C$124:$C$125</xm:f>
          </x14:formula1>
          <xm:sqref>G13</xm:sqref>
        </x14:dataValidation>
        <x14:dataValidation type="list" allowBlank="1" showInputMessage="1" showErrorMessage="1" xr:uid="{94019125-FAE3-D540-9C68-A2E55BF2299C}">
          <x14:formula1>
            <xm:f>Grundlon12!$D$124:$D$125</xm:f>
          </x14:formula1>
          <xm:sqref>G22</xm:sqref>
        </x14:dataValidation>
        <x14:dataValidation type="list" allowBlank="1" showInputMessage="1" showErrorMessage="1" xr:uid="{7F7CEC94-9C35-F94C-84FB-457F413E8372}">
          <x14:formula1>
            <xm:f>Grundlon12!$E$124:$E$125</xm:f>
          </x14:formula1>
          <xm:sqref>C23:E23 C45:C46 D14:E19</xm:sqref>
        </x14:dataValidation>
        <x14:dataValidation type="list" allowBlank="1" showInputMessage="1" showErrorMessage="1" xr:uid="{8BB1F830-895C-8B44-83E1-B7D7F0FB694D}">
          <x14:formula1>
            <xm:f>Grundlon12!$F$124:$F$127</xm:f>
          </x14:formula1>
          <xm:sqref>G34:S34</xm:sqref>
        </x14:dataValidation>
        <x14:dataValidation type="list" allowBlank="1" showInputMessage="1" showErrorMessage="1" xr:uid="{54594CE8-DB92-6447-9F3A-EE068B603019}">
          <x14:formula1>
            <xm:f>Grundlon12!A124:A131</xm:f>
          </x14:formula1>
          <xm:sqref>G4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pageSetUpPr fitToPage="1"/>
  </sheetPr>
  <dimension ref="A1:D19"/>
  <sheetViews>
    <sheetView workbookViewId="0">
      <selection activeCell="G1" sqref="G1"/>
    </sheetView>
  </sheetViews>
  <sheetFormatPr baseColWidth="10" defaultColWidth="11.42578125" defaultRowHeight="14"/>
  <cols>
    <col min="1" max="1" width="5.7109375" customWidth="1"/>
    <col min="2" max="2" width="66.5703125" customWidth="1"/>
  </cols>
  <sheetData>
    <row r="1" spans="1:4" ht="16">
      <c r="A1" s="373" t="s">
        <v>508</v>
      </c>
      <c r="B1" s="90"/>
    </row>
    <row r="2" spans="1:4" ht="48" customHeight="1">
      <c r="A2" s="91" t="s">
        <v>157</v>
      </c>
      <c r="B2" s="92" t="s">
        <v>509</v>
      </c>
    </row>
    <row r="3" spans="1:4" ht="8" customHeight="1">
      <c r="A3" s="91"/>
      <c r="B3" s="92"/>
    </row>
    <row r="4" spans="1:4" ht="39" customHeight="1">
      <c r="A4" s="91" t="s">
        <v>157</v>
      </c>
      <c r="B4" s="92" t="s">
        <v>510</v>
      </c>
    </row>
    <row r="5" spans="1:4" ht="8" customHeight="1">
      <c r="A5" s="91"/>
      <c r="B5" s="92"/>
    </row>
    <row r="6" spans="1:4" ht="30" customHeight="1">
      <c r="A6" s="91" t="s">
        <v>157</v>
      </c>
      <c r="B6" s="92" t="s">
        <v>511</v>
      </c>
    </row>
    <row r="7" spans="1:4" ht="8" customHeight="1">
      <c r="A7" s="93"/>
      <c r="B7" s="94"/>
    </row>
    <row r="8" spans="1:4" ht="36" customHeight="1">
      <c r="A8" s="91" t="s">
        <v>157</v>
      </c>
      <c r="B8" s="92" t="s">
        <v>532</v>
      </c>
    </row>
    <row r="9" spans="1:4">
      <c r="B9" s="66"/>
    </row>
    <row r="10" spans="1:4" ht="36" customHeight="1">
      <c r="A10" s="91" t="s">
        <v>157</v>
      </c>
      <c r="B10" s="92" t="s">
        <v>533</v>
      </c>
    </row>
    <row r="11" spans="1:4">
      <c r="B11" s="66"/>
    </row>
    <row r="12" spans="1:4" ht="86" customHeight="1">
      <c r="A12" s="543" t="s">
        <v>522</v>
      </c>
      <c r="B12" s="544" t="s">
        <v>528</v>
      </c>
    </row>
    <row r="13" spans="1:4" ht="39" customHeight="1">
      <c r="A13" s="545"/>
      <c r="B13" s="546" t="s">
        <v>523</v>
      </c>
    </row>
    <row r="14" spans="1:4">
      <c r="B14" s="66"/>
    </row>
    <row r="15" spans="1:4" ht="15" thickBot="1">
      <c r="B15" s="555" t="s">
        <v>529</v>
      </c>
      <c r="C15" s="556"/>
    </row>
    <row r="16" spans="1:4">
      <c r="B16" s="547" t="s">
        <v>525</v>
      </c>
      <c r="C16" s="548">
        <v>0.6</v>
      </c>
      <c r="D16" s="557" t="s">
        <v>531</v>
      </c>
    </row>
    <row r="17" spans="2:4">
      <c r="B17" s="549" t="s">
        <v>524</v>
      </c>
      <c r="C17" s="550">
        <v>20</v>
      </c>
      <c r="D17" s="557">
        <f>C17*7</f>
        <v>140</v>
      </c>
    </row>
    <row r="18" spans="2:4" ht="15" thickBot="1">
      <c r="B18" s="551" t="s">
        <v>527</v>
      </c>
      <c r="C18" s="552">
        <v>30</v>
      </c>
      <c r="D18" s="557">
        <f>C18*7</f>
        <v>210</v>
      </c>
    </row>
    <row r="19" spans="2:4" ht="15" thickBot="1">
      <c r="B19" s="553" t="s">
        <v>526</v>
      </c>
      <c r="C19" s="554">
        <f>C16-ROUND(C17/C18*C16,4)</f>
        <v>0.19999999999999996</v>
      </c>
    </row>
  </sheetData>
  <printOptions horizontalCentered="1" verticalCentered="1"/>
  <pageMargins left="0.74803149606299213" right="0.35433070866141736" top="0.39370078740157483" bottom="0.39370078740157483" header="0.51181102362204722" footer="0.5118110236220472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480C1-FD97-8B4A-B53A-BD5F6C659409}">
  <sheetPr codeName="Ark15">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465</v>
      </c>
      <c r="H1" s="77" t="str">
        <f>G1</f>
        <v>G</v>
      </c>
      <c r="I1" s="77" t="str">
        <f t="shared" ref="I1:R1" si="0">H1</f>
        <v>G</v>
      </c>
      <c r="J1" s="77" t="str">
        <f t="shared" si="0"/>
        <v>G</v>
      </c>
      <c r="K1" s="77" t="str">
        <f t="shared" si="0"/>
        <v>G</v>
      </c>
      <c r="L1" s="77" t="str">
        <f t="shared" si="0"/>
        <v>G</v>
      </c>
      <c r="M1" s="77" t="str">
        <f t="shared" si="0"/>
        <v>G</v>
      </c>
      <c r="N1" s="77" t="str">
        <f t="shared" si="0"/>
        <v>G</v>
      </c>
      <c r="O1" s="77" t="str">
        <f t="shared" si="0"/>
        <v>G</v>
      </c>
      <c r="P1" s="77" t="str">
        <f t="shared" si="0"/>
        <v>G</v>
      </c>
      <c r="Q1" s="77" t="str">
        <f t="shared" si="0"/>
        <v>G</v>
      </c>
      <c r="R1" s="77" t="str">
        <f t="shared" si="0"/>
        <v>G</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6AF4B87E-E106-D240-993C-2AEDDCCAB8F7}">
      <formula1>0</formula1>
      <formula2>20</formula2>
    </dataValidation>
    <dataValidation type="decimal" allowBlank="1" showInputMessage="1" showErrorMessage="1" sqref="G25:S25" xr:uid="{B055BF68-2E97-EA4E-B82F-CD43F9B78A38}">
      <formula1>0</formula1>
      <formula2>G24</formula2>
    </dataValidation>
    <dataValidation type="whole" allowBlank="1" showInputMessage="1" showErrorMessage="1" sqref="G29" xr:uid="{719BF652-8D7C-BA45-9F9A-B8A05948AF0B}">
      <formula1>0</formula1>
      <formula2>60</formula2>
    </dataValidation>
    <dataValidation type="whole" allowBlank="1" showInputMessage="1" showErrorMessage="1" sqref="G30" xr:uid="{73063EF4-2FA7-4941-A079-5918B848DC87}">
      <formula1>0</formula1>
      <formula2>20000</formula2>
    </dataValidation>
    <dataValidation type="decimal" allowBlank="1" showInputMessage="1" showErrorMessage="1" sqref="G12:S12" xr:uid="{C48857D9-03BE-FB44-A31F-E4DFB5179602}">
      <formula1>0</formula1>
      <formula2>1100</formula2>
    </dataValidation>
    <dataValidation type="decimal" allowBlank="1" showInputMessage="1" showErrorMessage="1" sqref="G10:G11 H11:S11" xr:uid="{CB2FEBC4-CB52-9245-A8C1-FDD222B1C5E1}">
      <formula1>0</formula1>
      <formula2>1.136</formula2>
    </dataValidation>
    <dataValidation type="list" allowBlank="1" showInputMessage="1" showErrorMessage="1" sqref="G8:S9 T9:AE9" xr:uid="{8F9C644C-9A85-E04F-B016-9CD7AF113291}">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B712808A-1D0A-6F48-9CF3-366C94D6F2DA}">
          <x14:formula1>
            <xm:f>Grundlon12!$B$124:$B$157</xm:f>
          </x14:formula1>
          <xm:sqref>G5 T13:AE51 T11:AE11 T5:AE8</xm:sqref>
        </x14:dataValidation>
        <x14:dataValidation type="list" allowBlank="1" showInputMessage="1" showErrorMessage="1" xr:uid="{1D9F4752-5B79-FD41-8DBC-4365A8C706B6}">
          <x14:formula1>
            <xm:f>Grundlon12!$C$124:$C$125</xm:f>
          </x14:formula1>
          <xm:sqref>G13</xm:sqref>
        </x14:dataValidation>
        <x14:dataValidation type="list" allowBlank="1" showInputMessage="1" showErrorMessage="1" xr:uid="{84ED5E39-DA14-544E-83A0-FCFD7F40F97B}">
          <x14:formula1>
            <xm:f>Grundlon12!$D$124:$D$125</xm:f>
          </x14:formula1>
          <xm:sqref>G22</xm:sqref>
        </x14:dataValidation>
        <x14:dataValidation type="list" allowBlank="1" showInputMessage="1" showErrorMessage="1" xr:uid="{A58CB54D-D4A8-EF4A-8089-574B3B95AA42}">
          <x14:formula1>
            <xm:f>Grundlon12!$E$124:$E$125</xm:f>
          </x14:formula1>
          <xm:sqref>C23:E23 C45:C46 D14:E19</xm:sqref>
        </x14:dataValidation>
        <x14:dataValidation type="list" allowBlank="1" showInputMessage="1" showErrorMessage="1" xr:uid="{EF500485-5AEC-EC49-BC0D-A25C771A25F9}">
          <x14:formula1>
            <xm:f>Grundlon12!$F$124:$F$127</xm:f>
          </x14:formula1>
          <xm:sqref>G34:S34</xm:sqref>
        </x14:dataValidation>
        <x14:dataValidation type="list" allowBlank="1" showInputMessage="1" showErrorMessage="1" xr:uid="{5FF4639B-B5AF-ED45-8258-A0AE4177C2FA}">
          <x14:formula1>
            <xm:f>Grundlon12!A124:A131</xm:f>
          </x14:formula1>
          <xm:sqref>G4</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6C0FB-44D4-D34F-8FBE-697E71648B95}">
  <sheetPr codeName="Ark16">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466</v>
      </c>
      <c r="H1" s="77" t="str">
        <f>G1</f>
        <v>H</v>
      </c>
      <c r="I1" s="77" t="str">
        <f t="shared" ref="I1:R1" si="0">H1</f>
        <v>H</v>
      </c>
      <c r="J1" s="77" t="str">
        <f t="shared" si="0"/>
        <v>H</v>
      </c>
      <c r="K1" s="77" t="str">
        <f t="shared" si="0"/>
        <v>H</v>
      </c>
      <c r="L1" s="77" t="str">
        <f t="shared" si="0"/>
        <v>H</v>
      </c>
      <c r="M1" s="77" t="str">
        <f t="shared" si="0"/>
        <v>H</v>
      </c>
      <c r="N1" s="77" t="str">
        <f t="shared" si="0"/>
        <v>H</v>
      </c>
      <c r="O1" s="77" t="str">
        <f t="shared" si="0"/>
        <v>H</v>
      </c>
      <c r="P1" s="77" t="str">
        <f t="shared" si="0"/>
        <v>H</v>
      </c>
      <c r="Q1" s="77" t="str">
        <f t="shared" si="0"/>
        <v>H</v>
      </c>
      <c r="R1" s="77" t="str">
        <f t="shared" si="0"/>
        <v>H</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AEA09FBA-C685-E44B-8186-2191C143AA72}">
      <formula1>$AG$8:$AG$10</formula1>
    </dataValidation>
    <dataValidation type="decimal" allowBlank="1" showInputMessage="1" showErrorMessage="1" sqref="G10:G11 H11:S11" xr:uid="{EF909F0B-C419-1D44-96DA-3147CB8AFCF1}">
      <formula1>0</formula1>
      <formula2>1.136</formula2>
    </dataValidation>
    <dataValidation type="decimal" allowBlank="1" showInputMessage="1" showErrorMessage="1" sqref="G12:S12" xr:uid="{10CF0D7A-E4DB-BE4F-B224-9A43B5326C33}">
      <formula1>0</formula1>
      <formula2>1100</formula2>
    </dataValidation>
    <dataValidation type="whole" allowBlank="1" showInputMessage="1" showErrorMessage="1" sqref="G30" xr:uid="{E8155ED9-F901-A14A-81EF-EC971EE25D87}">
      <formula1>0</formula1>
      <formula2>20000</formula2>
    </dataValidation>
    <dataValidation type="whole" allowBlank="1" showInputMessage="1" showErrorMessage="1" sqref="G29" xr:uid="{BD5FDFF0-E4E0-A440-BC05-777F76ABF09D}">
      <formula1>0</formula1>
      <formula2>60</formula2>
    </dataValidation>
    <dataValidation type="decimal" allowBlank="1" showInputMessage="1" showErrorMessage="1" sqref="G25:S25" xr:uid="{B28482B8-F8EB-F343-8DD6-FE33AAE11F12}">
      <formula1>0</formula1>
      <formula2>G24</formula2>
    </dataValidation>
    <dataValidation type="whole" allowBlank="1" showInputMessage="1" showErrorMessage="1" sqref="G28" xr:uid="{CCC42CB2-66EF-F840-83D6-5C2B058889A1}">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1372E203-9162-3246-B1A5-F7AF07BB1750}">
          <x14:formula1>
            <xm:f>Grundlon12!A124:A131</xm:f>
          </x14:formula1>
          <xm:sqref>G4</xm:sqref>
        </x14:dataValidation>
        <x14:dataValidation type="list" allowBlank="1" showInputMessage="1" showErrorMessage="1" xr:uid="{50CAF00C-2A93-2D41-8AFA-7E6727A5A8A5}">
          <x14:formula1>
            <xm:f>Grundlon12!$F$124:$F$127</xm:f>
          </x14:formula1>
          <xm:sqref>G34:S34</xm:sqref>
        </x14:dataValidation>
        <x14:dataValidation type="list" allowBlank="1" showInputMessage="1" showErrorMessage="1" xr:uid="{FE2F557A-93D7-FC4C-94A1-E48D00D329EC}">
          <x14:formula1>
            <xm:f>Grundlon12!$E$124:$E$125</xm:f>
          </x14:formula1>
          <xm:sqref>C23:E23 C45:C46 D14:E19</xm:sqref>
        </x14:dataValidation>
        <x14:dataValidation type="list" allowBlank="1" showInputMessage="1" showErrorMessage="1" xr:uid="{549E7803-F457-1448-9AF7-87276B0E95EB}">
          <x14:formula1>
            <xm:f>Grundlon12!$D$124:$D$125</xm:f>
          </x14:formula1>
          <xm:sqref>G22</xm:sqref>
        </x14:dataValidation>
        <x14:dataValidation type="list" allowBlank="1" showInputMessage="1" showErrorMessage="1" xr:uid="{6BE008C8-8236-7C44-91EC-035CFF45B0D7}">
          <x14:formula1>
            <xm:f>Grundlon12!$C$124:$C$125</xm:f>
          </x14:formula1>
          <xm:sqref>G13</xm:sqref>
        </x14:dataValidation>
        <x14:dataValidation type="list" allowBlank="1" showInputMessage="1" showErrorMessage="1" xr:uid="{9BC2A9E7-CA83-2545-8239-1EC76382A8AC}">
          <x14:formula1>
            <xm:f>Grundlon12!$B$124:$B$157</xm:f>
          </x14:formula1>
          <xm:sqref>G5 T13:AE51 T11:AE11 T5:AE8</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CEC84-0A85-5E4C-9E46-E2BE4B7B8711}">
  <sheetPr codeName="Ark17">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467</v>
      </c>
      <c r="H1" s="77" t="str">
        <f>G1</f>
        <v>I</v>
      </c>
      <c r="I1" s="77" t="str">
        <f t="shared" ref="I1:R1" si="0">H1</f>
        <v>I</v>
      </c>
      <c r="J1" s="77" t="str">
        <f t="shared" si="0"/>
        <v>I</v>
      </c>
      <c r="K1" s="77" t="str">
        <f t="shared" si="0"/>
        <v>I</v>
      </c>
      <c r="L1" s="77" t="str">
        <f t="shared" si="0"/>
        <v>I</v>
      </c>
      <c r="M1" s="77" t="str">
        <f t="shared" si="0"/>
        <v>I</v>
      </c>
      <c r="N1" s="77" t="str">
        <f t="shared" si="0"/>
        <v>I</v>
      </c>
      <c r="O1" s="77" t="str">
        <f t="shared" si="0"/>
        <v>I</v>
      </c>
      <c r="P1" s="77" t="str">
        <f t="shared" si="0"/>
        <v>I</v>
      </c>
      <c r="Q1" s="77" t="str">
        <f t="shared" si="0"/>
        <v>I</v>
      </c>
      <c r="R1" s="77" t="str">
        <f t="shared" si="0"/>
        <v>I</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F898ED4E-5DAB-0040-8FCE-43D3A3BAD869}">
      <formula1>$AG$8:$AG$10</formula1>
    </dataValidation>
    <dataValidation type="decimal" allowBlank="1" showInputMessage="1" showErrorMessage="1" sqref="G10:G11 H11:S11" xr:uid="{4106DC98-A05C-C543-B754-58684E5A2E20}">
      <formula1>0</formula1>
      <formula2>1.136</formula2>
    </dataValidation>
    <dataValidation type="decimal" allowBlank="1" showInputMessage="1" showErrorMessage="1" sqref="G12:S12" xr:uid="{00E3551B-710B-8140-8729-4BEF9838DBBC}">
      <formula1>0</formula1>
      <formula2>1100</formula2>
    </dataValidation>
    <dataValidation type="whole" allowBlank="1" showInputMessage="1" showErrorMessage="1" sqref="G30" xr:uid="{85CC8ED2-03BF-9D45-86E5-D054533E38A2}">
      <formula1>0</formula1>
      <formula2>20000</formula2>
    </dataValidation>
    <dataValidation type="whole" allowBlank="1" showInputMessage="1" showErrorMessage="1" sqref="G29" xr:uid="{9E24FFA6-39FA-8A45-BD3B-00A3545C1CAE}">
      <formula1>0</formula1>
      <formula2>60</formula2>
    </dataValidation>
    <dataValidation type="decimal" allowBlank="1" showInputMessage="1" showErrorMessage="1" sqref="G25:S25" xr:uid="{AFC5471F-4B90-1242-9231-82646C0A1B7A}">
      <formula1>0</formula1>
      <formula2>G24</formula2>
    </dataValidation>
    <dataValidation type="whole" allowBlank="1" showInputMessage="1" showErrorMessage="1" sqref="G28" xr:uid="{0CC18DAF-7219-9143-B24B-359181A237D3}">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277ACA4-A1E4-7B48-A0FF-C1C3FA796C4E}">
          <x14:formula1>
            <xm:f>Grundlon12!A124:A131</xm:f>
          </x14:formula1>
          <xm:sqref>G4</xm:sqref>
        </x14:dataValidation>
        <x14:dataValidation type="list" allowBlank="1" showInputMessage="1" showErrorMessage="1" xr:uid="{3AE51106-B86B-6B44-99EF-17C464A39A48}">
          <x14:formula1>
            <xm:f>Grundlon12!$F$124:$F$127</xm:f>
          </x14:formula1>
          <xm:sqref>G34:S34</xm:sqref>
        </x14:dataValidation>
        <x14:dataValidation type="list" allowBlank="1" showInputMessage="1" showErrorMessage="1" xr:uid="{2952D178-2011-FB4C-91DA-90678B647A87}">
          <x14:formula1>
            <xm:f>Grundlon12!$E$124:$E$125</xm:f>
          </x14:formula1>
          <xm:sqref>C23:E23 C45:C46 D14:E19</xm:sqref>
        </x14:dataValidation>
        <x14:dataValidation type="list" allowBlank="1" showInputMessage="1" showErrorMessage="1" xr:uid="{F2B5FE1A-1534-6D44-ACDF-5EBEC440B520}">
          <x14:formula1>
            <xm:f>Grundlon12!$D$124:$D$125</xm:f>
          </x14:formula1>
          <xm:sqref>G22</xm:sqref>
        </x14:dataValidation>
        <x14:dataValidation type="list" allowBlank="1" showInputMessage="1" showErrorMessage="1" xr:uid="{C8307F3B-EAE4-D841-96A0-46A64D609CFF}">
          <x14:formula1>
            <xm:f>Grundlon12!$C$124:$C$125</xm:f>
          </x14:formula1>
          <xm:sqref>G13</xm:sqref>
        </x14:dataValidation>
        <x14:dataValidation type="list" allowBlank="1" showInputMessage="1" showErrorMessage="1" xr:uid="{071956C3-C7C6-FF4D-A2C0-66D7DE201061}">
          <x14:formula1>
            <xm:f>Grundlon12!$B$124:$B$157</xm:f>
          </x14:formula1>
          <xm:sqref>G5 T13:AE51 T11:AE11 T5:AE8</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FDBD3-44CC-AA46-9DF8-984B55853281}">
  <sheetPr codeName="Ark18">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468</v>
      </c>
      <c r="H1" s="77" t="str">
        <f>G1</f>
        <v>J</v>
      </c>
      <c r="I1" s="77" t="str">
        <f t="shared" ref="I1:R1" si="0">H1</f>
        <v>J</v>
      </c>
      <c r="J1" s="77" t="str">
        <f t="shared" si="0"/>
        <v>J</v>
      </c>
      <c r="K1" s="77" t="str">
        <f t="shared" si="0"/>
        <v>J</v>
      </c>
      <c r="L1" s="77" t="str">
        <f t="shared" si="0"/>
        <v>J</v>
      </c>
      <c r="M1" s="77" t="str">
        <f t="shared" si="0"/>
        <v>J</v>
      </c>
      <c r="N1" s="77" t="str">
        <f t="shared" si="0"/>
        <v>J</v>
      </c>
      <c r="O1" s="77" t="str">
        <f t="shared" si="0"/>
        <v>J</v>
      </c>
      <c r="P1" s="77" t="str">
        <f t="shared" si="0"/>
        <v>J</v>
      </c>
      <c r="Q1" s="77" t="str">
        <f t="shared" si="0"/>
        <v>J</v>
      </c>
      <c r="R1" s="77" t="str">
        <f t="shared" si="0"/>
        <v>J</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C80C7E00-440D-CE47-8DA7-FD28FA69ACB3}">
      <formula1>0</formula1>
      <formula2>20</formula2>
    </dataValidation>
    <dataValidation type="decimal" allowBlank="1" showInputMessage="1" showErrorMessage="1" sqref="G25:S25" xr:uid="{C94E6599-B5B2-8D45-B8AF-248D00FB4852}">
      <formula1>0</formula1>
      <formula2>G24</formula2>
    </dataValidation>
    <dataValidation type="whole" allowBlank="1" showInputMessage="1" showErrorMessage="1" sqref="G29" xr:uid="{8625A9F5-4874-F943-B72B-4EAA9E38EC20}">
      <formula1>0</formula1>
      <formula2>60</formula2>
    </dataValidation>
    <dataValidation type="whole" allowBlank="1" showInputMessage="1" showErrorMessage="1" sqref="G30" xr:uid="{C2F672B0-10F6-2641-80BD-6327C46836D3}">
      <formula1>0</formula1>
      <formula2>20000</formula2>
    </dataValidation>
    <dataValidation type="decimal" allowBlank="1" showInputMessage="1" showErrorMessage="1" sqref="G12:S12" xr:uid="{BB6A7BA0-905A-454C-8B90-E6D17678E585}">
      <formula1>0</formula1>
      <formula2>1100</formula2>
    </dataValidation>
    <dataValidation type="decimal" allowBlank="1" showInputMessage="1" showErrorMessage="1" sqref="G10:G11 H11:S11" xr:uid="{03D4E1F7-D41A-D442-A21A-EFDC2084B84D}">
      <formula1>0</formula1>
      <formula2>1.136</formula2>
    </dataValidation>
    <dataValidation type="list" allowBlank="1" showInputMessage="1" showErrorMessage="1" sqref="G8:S9 T9:AE9" xr:uid="{E3440037-4FB9-224E-9BAD-9929ED9027BA}">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6440959-1C37-0244-BE10-15924B29D20D}">
          <x14:formula1>
            <xm:f>Grundlon12!$B$124:$B$157</xm:f>
          </x14:formula1>
          <xm:sqref>G5 T13:AE51 T11:AE11 T5:AE8</xm:sqref>
        </x14:dataValidation>
        <x14:dataValidation type="list" allowBlank="1" showInputMessage="1" showErrorMessage="1" xr:uid="{345DE26D-08E2-5E40-A070-951BC0886890}">
          <x14:formula1>
            <xm:f>Grundlon12!$C$124:$C$125</xm:f>
          </x14:formula1>
          <xm:sqref>G13</xm:sqref>
        </x14:dataValidation>
        <x14:dataValidation type="list" allowBlank="1" showInputMessage="1" showErrorMessage="1" xr:uid="{98E4FC71-1F80-C348-8FBE-3428C0838ECE}">
          <x14:formula1>
            <xm:f>Grundlon12!$D$124:$D$125</xm:f>
          </x14:formula1>
          <xm:sqref>G22</xm:sqref>
        </x14:dataValidation>
        <x14:dataValidation type="list" allowBlank="1" showInputMessage="1" showErrorMessage="1" xr:uid="{D1F3A68C-FD3A-1942-A899-CB28B028A185}">
          <x14:formula1>
            <xm:f>Grundlon12!$E$124:$E$125</xm:f>
          </x14:formula1>
          <xm:sqref>C23:E23 C45:C46 D14:E19</xm:sqref>
        </x14:dataValidation>
        <x14:dataValidation type="list" allowBlank="1" showInputMessage="1" showErrorMessage="1" xr:uid="{2808F30C-6FED-FB4F-939F-96FE975064DE}">
          <x14:formula1>
            <xm:f>Grundlon12!$F$124:$F$127</xm:f>
          </x14:formula1>
          <xm:sqref>G34:S34</xm:sqref>
        </x14:dataValidation>
        <x14:dataValidation type="list" allowBlank="1" showInputMessage="1" showErrorMessage="1" xr:uid="{D4C3722F-F19F-2C44-90DE-0ADB720F53AD}">
          <x14:formula1>
            <xm:f>Grundlon12!A124:A131</xm:f>
          </x14:formula1>
          <xm:sqref>G4</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3D10A-AE45-F648-A812-E56CB7B89614}">
  <sheetPr codeName="Ark19">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469</v>
      </c>
      <c r="H1" s="77" t="str">
        <f>G1</f>
        <v>K</v>
      </c>
      <c r="I1" s="77" t="str">
        <f t="shared" ref="I1:R1" si="0">H1</f>
        <v>K</v>
      </c>
      <c r="J1" s="77" t="str">
        <f t="shared" si="0"/>
        <v>K</v>
      </c>
      <c r="K1" s="77" t="str">
        <f t="shared" si="0"/>
        <v>K</v>
      </c>
      <c r="L1" s="77" t="str">
        <f t="shared" si="0"/>
        <v>K</v>
      </c>
      <c r="M1" s="77" t="str">
        <f t="shared" si="0"/>
        <v>K</v>
      </c>
      <c r="N1" s="77" t="str">
        <f t="shared" si="0"/>
        <v>K</v>
      </c>
      <c r="O1" s="77" t="str">
        <f t="shared" si="0"/>
        <v>K</v>
      </c>
      <c r="P1" s="77" t="str">
        <f t="shared" si="0"/>
        <v>K</v>
      </c>
      <c r="Q1" s="77" t="str">
        <f t="shared" si="0"/>
        <v>K</v>
      </c>
      <c r="R1" s="77" t="str">
        <f t="shared" si="0"/>
        <v>K</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CE6F9637-6F75-4847-8232-024814E72688}">
      <formula1>0</formula1>
      <formula2>20</formula2>
    </dataValidation>
    <dataValidation type="decimal" allowBlank="1" showInputMessage="1" showErrorMessage="1" sqref="G25:S25" xr:uid="{0F7E556D-0F60-1443-ADBE-DEC1D9603500}">
      <formula1>0</formula1>
      <formula2>G24</formula2>
    </dataValidation>
    <dataValidation type="whole" allowBlank="1" showInputMessage="1" showErrorMessage="1" sqref="G29" xr:uid="{277498DE-E8AA-5E4E-A6B0-1C44D8319792}">
      <formula1>0</formula1>
      <formula2>60</formula2>
    </dataValidation>
    <dataValidation type="whole" allowBlank="1" showInputMessage="1" showErrorMessage="1" sqref="G30" xr:uid="{41A7D59B-20ED-FF49-8311-738153FA3D4C}">
      <formula1>0</formula1>
      <formula2>20000</formula2>
    </dataValidation>
    <dataValidation type="decimal" allowBlank="1" showInputMessage="1" showErrorMessage="1" sqref="G12:S12" xr:uid="{3CC978B0-110F-CF45-BFF0-F82208E1E552}">
      <formula1>0</formula1>
      <formula2>1100</formula2>
    </dataValidation>
    <dataValidation type="decimal" allowBlank="1" showInputMessage="1" showErrorMessage="1" sqref="G10:G11 H11:S11" xr:uid="{8701A9A4-9E89-D942-82B0-AA0E013D3DDF}">
      <formula1>0</formula1>
      <formula2>1.136</formula2>
    </dataValidation>
    <dataValidation type="list" allowBlank="1" showInputMessage="1" showErrorMessage="1" sqref="G8:S9 T9:AE9" xr:uid="{8963FD9F-8049-7C40-BEB4-9A90B0D0643E}">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0EC275A-4E8B-7D46-B01D-090D2BAB2395}">
          <x14:formula1>
            <xm:f>Grundlon12!$B$124:$B$157</xm:f>
          </x14:formula1>
          <xm:sqref>G5 T13:AE51 T11:AE11 T5:AE8</xm:sqref>
        </x14:dataValidation>
        <x14:dataValidation type="list" allowBlank="1" showInputMessage="1" showErrorMessage="1" xr:uid="{DB5EABDE-AB61-B643-BE33-BF864C83C6A6}">
          <x14:formula1>
            <xm:f>Grundlon12!$C$124:$C$125</xm:f>
          </x14:formula1>
          <xm:sqref>G13</xm:sqref>
        </x14:dataValidation>
        <x14:dataValidation type="list" allowBlank="1" showInputMessage="1" showErrorMessage="1" xr:uid="{26325EEA-6B48-2B4E-A112-120615A001C5}">
          <x14:formula1>
            <xm:f>Grundlon12!$D$124:$D$125</xm:f>
          </x14:formula1>
          <xm:sqref>G22</xm:sqref>
        </x14:dataValidation>
        <x14:dataValidation type="list" allowBlank="1" showInputMessage="1" showErrorMessage="1" xr:uid="{4BC6BB12-08D9-D84A-BDBA-708ADAD75EAA}">
          <x14:formula1>
            <xm:f>Grundlon12!$E$124:$E$125</xm:f>
          </x14:formula1>
          <xm:sqref>C23:E23 C45:C46 D14:E19</xm:sqref>
        </x14:dataValidation>
        <x14:dataValidation type="list" allowBlank="1" showInputMessage="1" showErrorMessage="1" xr:uid="{DA157532-230E-C04C-8670-8917D583B30E}">
          <x14:formula1>
            <xm:f>Grundlon12!$F$124:$F$127</xm:f>
          </x14:formula1>
          <xm:sqref>G34:S34</xm:sqref>
        </x14:dataValidation>
        <x14:dataValidation type="list" allowBlank="1" showInputMessage="1" showErrorMessage="1" xr:uid="{44986B65-954D-294E-961F-178057FD6B6E}">
          <x14:formula1>
            <xm:f>Grundlon12!A124:A131</xm:f>
          </x14:formula1>
          <xm:sqref>G4</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835A3-B273-1D40-BF4C-008D26066555}">
  <sheetPr codeName="Ark20">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265</v>
      </c>
      <c r="H1" s="77" t="str">
        <f>G1</f>
        <v>L</v>
      </c>
      <c r="I1" s="77" t="str">
        <f t="shared" ref="I1:R1" si="0">H1</f>
        <v>L</v>
      </c>
      <c r="J1" s="77" t="str">
        <f t="shared" si="0"/>
        <v>L</v>
      </c>
      <c r="K1" s="77" t="str">
        <f t="shared" si="0"/>
        <v>L</v>
      </c>
      <c r="L1" s="77" t="str">
        <f t="shared" si="0"/>
        <v>L</v>
      </c>
      <c r="M1" s="77" t="str">
        <f t="shared" si="0"/>
        <v>L</v>
      </c>
      <c r="N1" s="77" t="str">
        <f t="shared" si="0"/>
        <v>L</v>
      </c>
      <c r="O1" s="77" t="str">
        <f t="shared" si="0"/>
        <v>L</v>
      </c>
      <c r="P1" s="77" t="str">
        <f t="shared" si="0"/>
        <v>L</v>
      </c>
      <c r="Q1" s="77" t="str">
        <f t="shared" si="0"/>
        <v>L</v>
      </c>
      <c r="R1" s="77" t="str">
        <f t="shared" si="0"/>
        <v>L</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517ACE16-119A-E846-8597-1076D8ADB07A}">
      <formula1>$AG$8:$AG$10</formula1>
    </dataValidation>
    <dataValidation type="decimal" allowBlank="1" showInputMessage="1" showErrorMessage="1" sqref="G10:G11 H11:S11" xr:uid="{10693F13-5015-6A45-8C6D-F4D3E3C5F4C5}">
      <formula1>0</formula1>
      <formula2>1.136</formula2>
    </dataValidation>
    <dataValidation type="decimal" allowBlank="1" showInputMessage="1" showErrorMessage="1" sqref="G12:S12" xr:uid="{BA3257EF-8C5E-2848-987B-01396D47D6B0}">
      <formula1>0</formula1>
      <formula2>1100</formula2>
    </dataValidation>
    <dataValidation type="whole" allowBlank="1" showInputMessage="1" showErrorMessage="1" sqref="G30" xr:uid="{211C57BE-EEE8-6E48-B36A-64BC276BFC6B}">
      <formula1>0</formula1>
      <formula2>20000</formula2>
    </dataValidation>
    <dataValidation type="whole" allowBlank="1" showInputMessage="1" showErrorMessage="1" sqref="G29" xr:uid="{E90B8A3F-8767-3E41-8277-BF66F663B773}">
      <formula1>0</formula1>
      <formula2>60</formula2>
    </dataValidation>
    <dataValidation type="decimal" allowBlank="1" showInputMessage="1" showErrorMessage="1" sqref="G25:S25" xr:uid="{AD60AA29-CD24-E249-9F02-3697EDA19E91}">
      <formula1>0</formula1>
      <formula2>G24</formula2>
    </dataValidation>
    <dataValidation type="whole" allowBlank="1" showInputMessage="1" showErrorMessage="1" sqref="G28" xr:uid="{C4D2EA40-1079-174A-99BC-E3E4F8325048}">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9270C305-B1D1-8642-8AA3-B8EFECF79D4E}">
          <x14:formula1>
            <xm:f>Grundlon12!A124:A131</xm:f>
          </x14:formula1>
          <xm:sqref>G4</xm:sqref>
        </x14:dataValidation>
        <x14:dataValidation type="list" allowBlank="1" showInputMessage="1" showErrorMessage="1" xr:uid="{7661CF78-9288-6E48-991A-3DCA668DA842}">
          <x14:formula1>
            <xm:f>Grundlon12!$F$124:$F$127</xm:f>
          </x14:formula1>
          <xm:sqref>G34:S34</xm:sqref>
        </x14:dataValidation>
        <x14:dataValidation type="list" allowBlank="1" showInputMessage="1" showErrorMessage="1" xr:uid="{4368B20F-CF3B-B04E-B1A7-7510E01C0FFA}">
          <x14:formula1>
            <xm:f>Grundlon12!$E$124:$E$125</xm:f>
          </x14:formula1>
          <xm:sqref>C23:E23 C45:C46 D14:E19</xm:sqref>
        </x14:dataValidation>
        <x14:dataValidation type="list" allowBlank="1" showInputMessage="1" showErrorMessage="1" xr:uid="{18475B52-B33E-E440-8904-77F61B3F61A3}">
          <x14:formula1>
            <xm:f>Grundlon12!$D$124:$D$125</xm:f>
          </x14:formula1>
          <xm:sqref>G22</xm:sqref>
        </x14:dataValidation>
        <x14:dataValidation type="list" allowBlank="1" showInputMessage="1" showErrorMessage="1" xr:uid="{EA1F259A-4995-9147-99BA-24F8C2F83C16}">
          <x14:formula1>
            <xm:f>Grundlon12!$C$124:$C$125</xm:f>
          </x14:formula1>
          <xm:sqref>G13</xm:sqref>
        </x14:dataValidation>
        <x14:dataValidation type="list" allowBlank="1" showInputMessage="1" showErrorMessage="1" xr:uid="{7D19BA54-F504-DB49-8938-BD74744675E2}">
          <x14:formula1>
            <xm:f>Grundlon12!$B$124:$B$157</xm:f>
          </x14:formula1>
          <xm:sqref>G5 T13:AE51 T11:AE11 T5:AE8</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115A-7D3C-7844-95C1-904929F1F2CD}">
  <sheetPr codeName="Ark21">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470</v>
      </c>
      <c r="H1" s="77" t="str">
        <f>G1</f>
        <v>M</v>
      </c>
      <c r="I1" s="77" t="str">
        <f t="shared" ref="I1:R1" si="0">H1</f>
        <v>M</v>
      </c>
      <c r="J1" s="77" t="str">
        <f t="shared" si="0"/>
        <v>M</v>
      </c>
      <c r="K1" s="77" t="str">
        <f t="shared" si="0"/>
        <v>M</v>
      </c>
      <c r="L1" s="77" t="str">
        <f t="shared" si="0"/>
        <v>M</v>
      </c>
      <c r="M1" s="77" t="str">
        <f t="shared" si="0"/>
        <v>M</v>
      </c>
      <c r="N1" s="77" t="str">
        <f t="shared" si="0"/>
        <v>M</v>
      </c>
      <c r="O1" s="77" t="str">
        <f t="shared" si="0"/>
        <v>M</v>
      </c>
      <c r="P1" s="77" t="str">
        <f t="shared" si="0"/>
        <v>M</v>
      </c>
      <c r="Q1" s="77" t="str">
        <f t="shared" si="0"/>
        <v>M</v>
      </c>
      <c r="R1" s="77" t="str">
        <f t="shared" si="0"/>
        <v>M</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4955B6E2-57A1-0A45-82C0-A578179B0025}">
      <formula1>0</formula1>
      <formula2>20</formula2>
    </dataValidation>
    <dataValidation type="decimal" allowBlank="1" showInputMessage="1" showErrorMessage="1" sqref="G25:S25" xr:uid="{F2F82ECE-E6B4-5A45-95A5-DFDB0148D630}">
      <formula1>0</formula1>
      <formula2>G24</formula2>
    </dataValidation>
    <dataValidation type="whole" allowBlank="1" showInputMessage="1" showErrorMessage="1" sqref="G29" xr:uid="{5B4B95D3-900B-7243-AF73-9660B6BBB33E}">
      <formula1>0</formula1>
      <formula2>60</formula2>
    </dataValidation>
    <dataValidation type="whole" allowBlank="1" showInputMessage="1" showErrorMessage="1" sqref="G30" xr:uid="{48FCAC41-4937-8E43-8514-09C21982C5A2}">
      <formula1>0</formula1>
      <formula2>20000</formula2>
    </dataValidation>
    <dataValidation type="decimal" allowBlank="1" showInputMessage="1" showErrorMessage="1" sqref="G12:S12" xr:uid="{F2F9253D-9107-E346-B0C6-FD35164B989F}">
      <formula1>0</formula1>
      <formula2>1100</formula2>
    </dataValidation>
    <dataValidation type="decimal" allowBlank="1" showInputMessage="1" showErrorMessage="1" sqref="G10:G11 H11:S11" xr:uid="{81BB7884-7BE6-4C44-AE29-AB646206E476}">
      <formula1>0</formula1>
      <formula2>1.136</formula2>
    </dataValidation>
    <dataValidation type="list" allowBlank="1" showInputMessage="1" showErrorMessage="1" sqref="G8:S9 T9:AE9" xr:uid="{1202B8E2-5D61-C74F-BCE2-DCDF9F022236}">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2BEF4854-2990-1047-8242-B5E013FC5D1D}">
          <x14:formula1>
            <xm:f>Grundlon12!$B$124:$B$157</xm:f>
          </x14:formula1>
          <xm:sqref>G5 T13:AE51 T11:AE11 T5:AE8</xm:sqref>
        </x14:dataValidation>
        <x14:dataValidation type="list" allowBlank="1" showInputMessage="1" showErrorMessage="1" xr:uid="{DC6D308C-5E6B-7A4E-A761-0DCC8CF97C7B}">
          <x14:formula1>
            <xm:f>Grundlon12!$C$124:$C$125</xm:f>
          </x14:formula1>
          <xm:sqref>G13</xm:sqref>
        </x14:dataValidation>
        <x14:dataValidation type="list" allowBlank="1" showInputMessage="1" showErrorMessage="1" xr:uid="{FFC8BA4B-5427-394E-9100-23D0C1EC571C}">
          <x14:formula1>
            <xm:f>Grundlon12!$D$124:$D$125</xm:f>
          </x14:formula1>
          <xm:sqref>G22</xm:sqref>
        </x14:dataValidation>
        <x14:dataValidation type="list" allowBlank="1" showInputMessage="1" showErrorMessage="1" xr:uid="{D1476D2F-77DE-1E4E-B1FF-228685EFF4A1}">
          <x14:formula1>
            <xm:f>Grundlon12!$E$124:$E$125</xm:f>
          </x14:formula1>
          <xm:sqref>C23:E23 C45:C46 D14:E19</xm:sqref>
        </x14:dataValidation>
        <x14:dataValidation type="list" allowBlank="1" showInputMessage="1" showErrorMessage="1" xr:uid="{7C34976F-0ED6-0A46-87C7-3C6CC495365C}">
          <x14:formula1>
            <xm:f>Grundlon12!$F$124:$F$127</xm:f>
          </x14:formula1>
          <xm:sqref>G34:S34</xm:sqref>
        </x14:dataValidation>
        <x14:dataValidation type="list" allowBlank="1" showInputMessage="1" showErrorMessage="1" xr:uid="{2BCDA594-484F-E640-B0D4-211CFB2E10C5}">
          <x14:formula1>
            <xm:f>Grundlon12!A124:A131</xm:f>
          </x14:formula1>
          <xm:sqref>G4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0000F-DD70-C74E-85A4-79C8257F5033}">
  <sheetPr codeName="Ark22">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717</v>
      </c>
      <c r="H1" s="77" t="str">
        <f>G1</f>
        <v xml:space="preserve">N </v>
      </c>
      <c r="I1" s="77" t="str">
        <f t="shared" ref="I1:R1" si="0">H1</f>
        <v xml:space="preserve">N </v>
      </c>
      <c r="J1" s="77" t="str">
        <f t="shared" si="0"/>
        <v xml:space="preserve">N </v>
      </c>
      <c r="K1" s="77" t="str">
        <f t="shared" si="0"/>
        <v xml:space="preserve">N </v>
      </c>
      <c r="L1" s="77" t="str">
        <f t="shared" si="0"/>
        <v xml:space="preserve">N </v>
      </c>
      <c r="M1" s="77" t="str">
        <f t="shared" si="0"/>
        <v xml:space="preserve">N </v>
      </c>
      <c r="N1" s="77" t="str">
        <f t="shared" si="0"/>
        <v xml:space="preserve">N </v>
      </c>
      <c r="O1" s="77" t="str">
        <f t="shared" si="0"/>
        <v xml:space="preserve">N </v>
      </c>
      <c r="P1" s="77" t="str">
        <f t="shared" si="0"/>
        <v xml:space="preserve">N </v>
      </c>
      <c r="Q1" s="77" t="str">
        <f t="shared" si="0"/>
        <v xml:space="preserve">N </v>
      </c>
      <c r="R1" s="77" t="str">
        <f t="shared" si="0"/>
        <v xml:space="preserve">N </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6B5E1BD7-693B-844E-9B8D-278A4741C6EC}">
      <formula1>$AG$8:$AG$10</formula1>
    </dataValidation>
    <dataValidation type="decimal" allowBlank="1" showInputMessage="1" showErrorMessage="1" sqref="G10:G11 H11:S11" xr:uid="{542E664D-B211-F041-A40F-403EB07E9C74}">
      <formula1>0</formula1>
      <formula2>1.136</formula2>
    </dataValidation>
    <dataValidation type="decimal" allowBlank="1" showInputMessage="1" showErrorMessage="1" sqref="G12:S12" xr:uid="{5027038E-4B81-DA44-AA49-922CED3CDB76}">
      <formula1>0</formula1>
      <formula2>1100</formula2>
    </dataValidation>
    <dataValidation type="whole" allowBlank="1" showInputMessage="1" showErrorMessage="1" sqref="G30" xr:uid="{8AF2C77B-EA39-BE48-9CB6-A981E62B7511}">
      <formula1>0</formula1>
      <formula2>20000</formula2>
    </dataValidation>
    <dataValidation type="whole" allowBlank="1" showInputMessage="1" showErrorMessage="1" sqref="G29" xr:uid="{2D4BFC1C-A5F9-FF43-BAA8-B1ECD1A4E631}">
      <formula1>0</formula1>
      <formula2>60</formula2>
    </dataValidation>
    <dataValidation type="decimal" allowBlank="1" showInputMessage="1" showErrorMessage="1" sqref="G25:S25" xr:uid="{C2C3120A-2F36-3B42-9A71-C8410AD07152}">
      <formula1>0</formula1>
      <formula2>G24</formula2>
    </dataValidation>
    <dataValidation type="whole" allowBlank="1" showInputMessage="1" showErrorMessage="1" sqref="G28" xr:uid="{2DE6EC43-907E-D043-BE23-7972D81E62EB}">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22B6F82D-47E8-9740-B9BA-D3C7E782298E}">
          <x14:formula1>
            <xm:f>Grundlon12!A124:A131</xm:f>
          </x14:formula1>
          <xm:sqref>G4</xm:sqref>
        </x14:dataValidation>
        <x14:dataValidation type="list" allowBlank="1" showInputMessage="1" showErrorMessage="1" xr:uid="{8DFDE102-E708-5642-AC19-BFEA0D93546C}">
          <x14:formula1>
            <xm:f>Grundlon12!$F$124:$F$127</xm:f>
          </x14:formula1>
          <xm:sqref>G34:S34</xm:sqref>
        </x14:dataValidation>
        <x14:dataValidation type="list" allowBlank="1" showInputMessage="1" showErrorMessage="1" xr:uid="{5EAC1AF0-7BAB-A34C-9596-B4070F1A06BF}">
          <x14:formula1>
            <xm:f>Grundlon12!$E$124:$E$125</xm:f>
          </x14:formula1>
          <xm:sqref>C23:E23 C45:C46 D14:E19</xm:sqref>
        </x14:dataValidation>
        <x14:dataValidation type="list" allowBlank="1" showInputMessage="1" showErrorMessage="1" xr:uid="{D4020367-3AC7-974C-A054-22979760285D}">
          <x14:formula1>
            <xm:f>Grundlon12!$D$124:$D$125</xm:f>
          </x14:formula1>
          <xm:sqref>G22</xm:sqref>
        </x14:dataValidation>
        <x14:dataValidation type="list" allowBlank="1" showInputMessage="1" showErrorMessage="1" xr:uid="{356AAE13-A957-7A48-B809-B4C006D70AE0}">
          <x14:formula1>
            <xm:f>Grundlon12!$C$124:$C$125</xm:f>
          </x14:formula1>
          <xm:sqref>G13</xm:sqref>
        </x14:dataValidation>
        <x14:dataValidation type="list" allowBlank="1" showInputMessage="1" showErrorMessage="1" xr:uid="{999A5938-A213-AD4A-844F-FF5E721E70FA}">
          <x14:formula1>
            <xm:f>Grundlon12!$B$124:$B$157</xm:f>
          </x14:formula1>
          <xm:sqref>G5 T13:AE51 T11:AE11 T5:AE8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8BA67-B2E5-BA4A-B4FC-8F9FE146A390}">
  <sheetPr codeName="Ark23">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472</v>
      </c>
      <c r="H1" s="77" t="str">
        <f>G1</f>
        <v>O</v>
      </c>
      <c r="I1" s="77" t="str">
        <f t="shared" ref="I1:R1" si="0">H1</f>
        <v>O</v>
      </c>
      <c r="J1" s="77" t="str">
        <f t="shared" si="0"/>
        <v>O</v>
      </c>
      <c r="K1" s="77" t="str">
        <f t="shared" si="0"/>
        <v>O</v>
      </c>
      <c r="L1" s="77" t="str">
        <f t="shared" si="0"/>
        <v>O</v>
      </c>
      <c r="M1" s="77" t="str">
        <f t="shared" si="0"/>
        <v>O</v>
      </c>
      <c r="N1" s="77" t="str">
        <f t="shared" si="0"/>
        <v>O</v>
      </c>
      <c r="O1" s="77" t="str">
        <f t="shared" si="0"/>
        <v>O</v>
      </c>
      <c r="P1" s="77" t="str">
        <f t="shared" si="0"/>
        <v>O</v>
      </c>
      <c r="Q1" s="77" t="str">
        <f t="shared" si="0"/>
        <v>O</v>
      </c>
      <c r="R1" s="77" t="str">
        <f t="shared" si="0"/>
        <v>O</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list" allowBlank="1" showInputMessage="1" showErrorMessage="1" sqref="G8:S9 T9:AE9" xr:uid="{CB14F4FA-80FE-CF4C-912A-24CE2E48F426}">
      <formula1>$AG$8:$AG$10</formula1>
    </dataValidation>
    <dataValidation type="decimal" allowBlank="1" showInputMessage="1" showErrorMessage="1" sqref="G10:G11 H11:S11" xr:uid="{347F3594-2B8A-FA48-9AF0-F0A34BCD2FFE}">
      <formula1>0</formula1>
      <formula2>1.136</formula2>
    </dataValidation>
    <dataValidation type="decimal" allowBlank="1" showInputMessage="1" showErrorMessage="1" sqref="G12:S12" xr:uid="{6BEDB862-5B27-C74D-9CB8-57076C75AB03}">
      <formula1>0</formula1>
      <formula2>1100</formula2>
    </dataValidation>
    <dataValidation type="whole" allowBlank="1" showInputMessage="1" showErrorMessage="1" sqref="G30" xr:uid="{8121C62B-6DE2-8647-B4A1-F8D609EBEEC4}">
      <formula1>0</formula1>
      <formula2>20000</formula2>
    </dataValidation>
    <dataValidation type="whole" allowBlank="1" showInputMessage="1" showErrorMessage="1" sqref="G29" xr:uid="{83CBDD15-C9A1-004D-88CF-41562EE21A90}">
      <formula1>0</formula1>
      <formula2>60</formula2>
    </dataValidation>
    <dataValidation type="decimal" allowBlank="1" showInputMessage="1" showErrorMessage="1" sqref="G25:S25" xr:uid="{41B918C8-005E-3F41-8063-40627D7D3F86}">
      <formula1>0</formula1>
      <formula2>G24</formula2>
    </dataValidation>
    <dataValidation type="whole" allowBlank="1" showInputMessage="1" showErrorMessage="1" sqref="G28" xr:uid="{859B9E0B-B2CD-CE49-BD31-40EDF852FED8}">
      <formula1>0</formula1>
      <formula2>20</formula2>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810139E6-0E4A-CD47-B5C7-C022512BDAC8}">
          <x14:formula1>
            <xm:f>Grundlon12!A124:A131</xm:f>
          </x14:formula1>
          <xm:sqref>G4</xm:sqref>
        </x14:dataValidation>
        <x14:dataValidation type="list" allowBlank="1" showInputMessage="1" showErrorMessage="1" xr:uid="{B394ED35-2A0F-E444-9511-E3C34AA6949B}">
          <x14:formula1>
            <xm:f>Grundlon12!$F$124:$F$127</xm:f>
          </x14:formula1>
          <xm:sqref>G34:S34</xm:sqref>
        </x14:dataValidation>
        <x14:dataValidation type="list" allowBlank="1" showInputMessage="1" showErrorMessage="1" xr:uid="{673B2EE1-206F-1D48-96ED-4A77D77FA15F}">
          <x14:formula1>
            <xm:f>Grundlon12!$E$124:$E$125</xm:f>
          </x14:formula1>
          <xm:sqref>C23:E23 C45:C46 D14:E19</xm:sqref>
        </x14:dataValidation>
        <x14:dataValidation type="list" allowBlank="1" showInputMessage="1" showErrorMessage="1" xr:uid="{C34CFD01-8748-4740-86C7-B47B35090C88}">
          <x14:formula1>
            <xm:f>Grundlon12!$D$124:$D$125</xm:f>
          </x14:formula1>
          <xm:sqref>G22</xm:sqref>
        </x14:dataValidation>
        <x14:dataValidation type="list" allowBlank="1" showInputMessage="1" showErrorMessage="1" xr:uid="{39938517-6E83-8144-8EBC-A1586DA9804D}">
          <x14:formula1>
            <xm:f>Grundlon12!$C$124:$C$125</xm:f>
          </x14:formula1>
          <xm:sqref>G13</xm:sqref>
        </x14:dataValidation>
        <x14:dataValidation type="list" allowBlank="1" showInputMessage="1" showErrorMessage="1" xr:uid="{A483E2A7-E5EA-1544-B00D-0EBDE8439647}">
          <x14:formula1>
            <xm:f>Grundlon12!$B$124:$B$157</xm:f>
          </x14:formula1>
          <xm:sqref>G5 T13:AE51 T11:AE11 T5:AE8</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7AFE5-502C-CF49-A119-B02C115D0567}">
  <sheetPr codeName="Ark24">
    <tabColor rgb="FFFFFF00"/>
    <pageSetUpPr fitToPage="1"/>
  </sheetPr>
  <dimension ref="A1:AL357"/>
  <sheetViews>
    <sheetView zoomScale="114" zoomScaleNormal="150" workbookViewId="0">
      <pane xSplit="6" ySplit="2" topLeftCell="G3" activePane="bottomRight" state="frozen"/>
      <selection activeCell="G5" sqref="G5"/>
      <selection pane="topRight" activeCell="G5" sqref="G5"/>
      <selection pane="bottomLeft" activeCell="G5" sqref="G5"/>
      <selection pane="bottomRight" activeCell="G2" sqref="G2"/>
    </sheetView>
  </sheetViews>
  <sheetFormatPr baseColWidth="10" defaultColWidth="20.85546875" defaultRowHeight="13"/>
  <cols>
    <col min="1" max="1" width="11.28515625" style="3" customWidth="1"/>
    <col min="2" max="2" width="5.7109375" style="22" customWidth="1"/>
    <col min="3" max="5" width="5.42578125" style="22" customWidth="1"/>
    <col min="6" max="6" width="39.28515625" style="3" customWidth="1"/>
    <col min="7" max="7" width="11.42578125" style="24" customWidth="1"/>
    <col min="8" max="8" width="10.28515625" style="24" customWidth="1"/>
    <col min="9" max="9" width="10.42578125" style="24" customWidth="1"/>
    <col min="10" max="10" width="10.140625" style="24" customWidth="1"/>
    <col min="11" max="18" width="9.7109375" style="24" customWidth="1"/>
    <col min="19" max="19" width="9.85546875" style="24" customWidth="1"/>
    <col min="20" max="20" width="11.42578125" style="930" customWidth="1"/>
    <col min="21" max="21" width="10.28515625" style="24" customWidth="1"/>
    <col min="22" max="22" width="10.42578125" style="24" customWidth="1"/>
    <col min="23" max="23" width="10.140625" style="24" customWidth="1"/>
    <col min="24" max="31" width="9.7109375" style="24" customWidth="1"/>
    <col min="32" max="32" width="44.85546875" style="3" customWidth="1"/>
    <col min="33" max="33" width="25.28515625" style="3" bestFit="1" customWidth="1"/>
    <col min="34" max="34" width="2.7109375" style="3" bestFit="1" customWidth="1"/>
    <col min="35" max="38" width="8.7109375" style="3" customWidth="1"/>
    <col min="39" max="16384" width="20.85546875" style="83"/>
  </cols>
  <sheetData>
    <row r="1" spans="1:38" ht="31" customHeight="1">
      <c r="A1" s="1130" t="s">
        <v>708</v>
      </c>
      <c r="B1" s="1">
        <v>1</v>
      </c>
      <c r="C1" s="1191" t="s">
        <v>402</v>
      </c>
      <c r="D1" s="1191" t="s">
        <v>563</v>
      </c>
      <c r="E1" s="1191" t="s">
        <v>562</v>
      </c>
      <c r="F1" s="822" t="s">
        <v>592</v>
      </c>
      <c r="G1" s="717" t="s">
        <v>473</v>
      </c>
      <c r="H1" s="77" t="str">
        <f>G1</f>
        <v>P</v>
      </c>
      <c r="I1" s="77" t="str">
        <f t="shared" ref="I1:R1" si="0">H1</f>
        <v>P</v>
      </c>
      <c r="J1" s="77" t="str">
        <f t="shared" si="0"/>
        <v>P</v>
      </c>
      <c r="K1" s="77" t="str">
        <f t="shared" si="0"/>
        <v>P</v>
      </c>
      <c r="L1" s="77" t="str">
        <f t="shared" si="0"/>
        <v>P</v>
      </c>
      <c r="M1" s="77" t="str">
        <f t="shared" si="0"/>
        <v>P</v>
      </c>
      <c r="N1" s="77" t="str">
        <f t="shared" si="0"/>
        <v>P</v>
      </c>
      <c r="O1" s="77" t="str">
        <f t="shared" si="0"/>
        <v>P</v>
      </c>
      <c r="P1" s="77" t="str">
        <f t="shared" si="0"/>
        <v>P</v>
      </c>
      <c r="Q1" s="77" t="str">
        <f t="shared" si="0"/>
        <v>P</v>
      </c>
      <c r="R1" s="77" t="str">
        <f t="shared" si="0"/>
        <v>P</v>
      </c>
      <c r="S1" s="1028"/>
      <c r="T1" s="905" t="s">
        <v>635</v>
      </c>
      <c r="U1" s="77" t="str">
        <f>T1</f>
        <v xml:space="preserve">A </v>
      </c>
      <c r="V1" s="77" t="str">
        <f t="shared" ref="V1:AE1" si="1">U1</f>
        <v xml:space="preserve">A </v>
      </c>
      <c r="W1" s="77" t="str">
        <f t="shared" si="1"/>
        <v xml:space="preserve">A </v>
      </c>
      <c r="X1" s="77" t="str">
        <f t="shared" si="1"/>
        <v xml:space="preserve">A </v>
      </c>
      <c r="Y1" s="77" t="str">
        <f t="shared" si="1"/>
        <v xml:space="preserve">A </v>
      </c>
      <c r="Z1" s="77" t="str">
        <f t="shared" si="1"/>
        <v xml:space="preserve">A </v>
      </c>
      <c r="AA1" s="77" t="str">
        <f t="shared" si="1"/>
        <v xml:space="preserve">A </v>
      </c>
      <c r="AB1" s="77" t="str">
        <f t="shared" si="1"/>
        <v xml:space="preserve">A </v>
      </c>
      <c r="AC1" s="77" t="str">
        <f t="shared" si="1"/>
        <v xml:space="preserve">A </v>
      </c>
      <c r="AD1" s="77" t="str">
        <f t="shared" si="1"/>
        <v xml:space="preserve">A </v>
      </c>
      <c r="AE1" s="77" t="str">
        <f t="shared" si="1"/>
        <v xml:space="preserve">A </v>
      </c>
      <c r="AF1" s="3" t="s">
        <v>185</v>
      </c>
      <c r="AG1" s="86"/>
      <c r="AH1" s="86"/>
      <c r="AI1" s="86"/>
      <c r="AJ1" s="86"/>
      <c r="AK1" s="86"/>
      <c r="AL1" s="86"/>
    </row>
    <row r="2" spans="1:38" ht="22" customHeight="1">
      <c r="A2" s="1131" t="s">
        <v>401</v>
      </c>
      <c r="B2" s="4">
        <f t="shared" ref="B2:B53" si="2">B1+1</f>
        <v>2</v>
      </c>
      <c r="C2" s="1191"/>
      <c r="D2" s="1191"/>
      <c r="E2" s="1191"/>
      <c r="F2" s="89" t="s">
        <v>36</v>
      </c>
      <c r="G2" s="859" t="str">
        <f>"AUG "&amp;MID($A$1,3,2)+1</f>
        <v>AUG 25</v>
      </c>
      <c r="H2" s="860" t="str">
        <f>"SEP "&amp;MID($A$1,3,2)+1</f>
        <v>SEP 25</v>
      </c>
      <c r="I2" s="860" t="str">
        <f>"OKT "&amp;MID($A$1,3,2)+1</f>
        <v>OKT 25</v>
      </c>
      <c r="J2" s="860" t="str">
        <f>"NOV "&amp;MID($A$1,3,2)+1</f>
        <v>NOV 25</v>
      </c>
      <c r="K2" s="860" t="str">
        <f>"DEC "&amp;MID($A$1,3,2)+1</f>
        <v>DEC 25</v>
      </c>
      <c r="L2" s="860" t="str">
        <f>"JAN "&amp;MID($A$1,3,2)+2</f>
        <v>JAN 26</v>
      </c>
      <c r="M2" s="860" t="str">
        <f>"FEB "&amp;MID($A$1,3,2)+2</f>
        <v>FEB 26</v>
      </c>
      <c r="N2" s="860" t="str">
        <f>"MAR "&amp;MID($A$1,3,2)+2</f>
        <v>MAR 26</v>
      </c>
      <c r="O2" s="860" t="str">
        <f>"APR "&amp;MID($A$1,3,2)+2</f>
        <v>APR 26</v>
      </c>
      <c r="P2" s="860" t="str">
        <f>"MAJ "&amp;MID($A$1,3,2)+2</f>
        <v>MAJ 26</v>
      </c>
      <c r="Q2" s="860" t="str">
        <f>"JUN "&amp;MID($A$1,3,2)+2</f>
        <v>JUN 26</v>
      </c>
      <c r="R2" s="860" t="str">
        <f>"JUL "&amp;MID($A$1,3,2)+2</f>
        <v>JUL 26</v>
      </c>
      <c r="S2" s="859"/>
      <c r="T2" s="906" t="str">
        <f>"AUG "&amp;MID($A$1,3,2)+1</f>
        <v>AUG 25</v>
      </c>
      <c r="U2" s="860" t="str">
        <f>"SEP "&amp;MID($A$1,3,2)+1</f>
        <v>SEP 25</v>
      </c>
      <c r="V2" s="860" t="str">
        <f>"OKT "&amp;MID($A$1,3,2)+1</f>
        <v>OKT 25</v>
      </c>
      <c r="W2" s="860" t="str">
        <f>"NOV "&amp;MID($A$1,3,2)+1</f>
        <v>NOV 25</v>
      </c>
      <c r="X2" s="860" t="str">
        <f>"DEC "&amp;MID($A$1,3,2)+1</f>
        <v>DEC 25</v>
      </c>
      <c r="Y2" s="860" t="str">
        <f>"JAN "&amp;MID($A$1,3,2)+2</f>
        <v>JAN 26</v>
      </c>
      <c r="Z2" s="860" t="str">
        <f>"FEB "&amp;MID($A$1,3,2)+2</f>
        <v>FEB 26</v>
      </c>
      <c r="AA2" s="860" t="str">
        <f>"MAR "&amp;MID($A$1,3,2)+2</f>
        <v>MAR 26</v>
      </c>
      <c r="AB2" s="860" t="str">
        <f>"APR "&amp;MID($A$1,3,2)+2</f>
        <v>APR 26</v>
      </c>
      <c r="AC2" s="860" t="str">
        <f>"MAJ "&amp;MID($A$1,3,2)+2</f>
        <v>MAJ 26</v>
      </c>
      <c r="AD2" s="860" t="str">
        <f>"JUN "&amp;MID($A$1,3,2)+2</f>
        <v>JUN 26</v>
      </c>
      <c r="AE2" s="860" t="str">
        <f>"JUL "&amp;MID($A$1,3,2)+2</f>
        <v>JUL 26</v>
      </c>
      <c r="AF2" s="254" t="s">
        <v>487</v>
      </c>
      <c r="AG2" s="86"/>
      <c r="AH2" s="86"/>
      <c r="AI2" s="86"/>
      <c r="AJ2" s="86"/>
      <c r="AK2" s="86"/>
      <c r="AL2" s="86"/>
    </row>
    <row r="3" spans="1:38" ht="27" customHeight="1">
      <c r="A3" s="1179" t="s">
        <v>709</v>
      </c>
      <c r="B3" s="4">
        <f t="shared" si="2"/>
        <v>3</v>
      </c>
      <c r="C3" s="1191"/>
      <c r="D3" s="1191"/>
      <c r="E3" s="1191"/>
      <c r="F3" s="89" t="s">
        <v>37</v>
      </c>
      <c r="G3" s="658">
        <v>1</v>
      </c>
      <c r="H3" s="659">
        <v>1</v>
      </c>
      <c r="I3" s="660">
        <v>1</v>
      </c>
      <c r="J3" s="659">
        <v>1</v>
      </c>
      <c r="K3" s="660">
        <v>1</v>
      </c>
      <c r="L3" s="660">
        <v>1</v>
      </c>
      <c r="M3" s="752">
        <v>1</v>
      </c>
      <c r="N3" s="660">
        <v>1</v>
      </c>
      <c r="O3" s="659">
        <v>1</v>
      </c>
      <c r="P3" s="660">
        <v>1</v>
      </c>
      <c r="Q3" s="659">
        <v>1</v>
      </c>
      <c r="R3" s="660">
        <v>1</v>
      </c>
      <c r="S3" s="1029"/>
      <c r="T3" s="907">
        <v>1</v>
      </c>
      <c r="U3" s="659">
        <v>1</v>
      </c>
      <c r="V3" s="660">
        <v>1</v>
      </c>
      <c r="W3" s="659">
        <v>1</v>
      </c>
      <c r="X3" s="660">
        <v>1</v>
      </c>
      <c r="Y3" s="660">
        <v>1</v>
      </c>
      <c r="Z3" s="752">
        <v>1</v>
      </c>
      <c r="AA3" s="660">
        <v>1</v>
      </c>
      <c r="AB3" s="659">
        <v>1</v>
      </c>
      <c r="AC3" s="660">
        <v>1</v>
      </c>
      <c r="AD3" s="659">
        <v>1</v>
      </c>
      <c r="AE3" s="660">
        <v>1</v>
      </c>
      <c r="AF3" s="6" t="s">
        <v>347</v>
      </c>
      <c r="AG3" s="86"/>
      <c r="AH3" s="86"/>
      <c r="AI3" s="86"/>
      <c r="AJ3" s="86"/>
      <c r="AK3" s="86"/>
      <c r="AL3" s="86"/>
    </row>
    <row r="4" spans="1:38" ht="14" customHeight="1">
      <c r="A4" s="1180"/>
      <c r="B4" s="4">
        <f t="shared" si="2"/>
        <v>4</v>
      </c>
      <c r="C4" s="696" t="s">
        <v>403</v>
      </c>
      <c r="D4" s="696" t="s">
        <v>403</v>
      </c>
      <c r="E4" s="696" t="s">
        <v>403</v>
      </c>
      <c r="F4" s="5" t="s">
        <v>400</v>
      </c>
      <c r="G4" s="364" t="s">
        <v>120</v>
      </c>
      <c r="H4" s="239" t="str">
        <f>G4</f>
        <v>Læ1</v>
      </c>
      <c r="I4" s="239" t="str">
        <f t="shared" ref="I4:R4" si="3">H4</f>
        <v>Læ1</v>
      </c>
      <c r="J4" s="239" t="str">
        <f>I4</f>
        <v>Læ1</v>
      </c>
      <c r="K4" s="239" t="str">
        <f t="shared" si="3"/>
        <v>Læ1</v>
      </c>
      <c r="L4" s="239" t="str">
        <f t="shared" si="3"/>
        <v>Læ1</v>
      </c>
      <c r="M4" s="239" t="str">
        <f t="shared" si="3"/>
        <v>Læ1</v>
      </c>
      <c r="N4" s="239" t="str">
        <f t="shared" si="3"/>
        <v>Læ1</v>
      </c>
      <c r="O4" s="239" t="str">
        <f t="shared" si="3"/>
        <v>Læ1</v>
      </c>
      <c r="P4" s="239" t="str">
        <f t="shared" si="3"/>
        <v>Læ1</v>
      </c>
      <c r="Q4" s="239" t="str">
        <f t="shared" si="3"/>
        <v>Læ1</v>
      </c>
      <c r="R4" s="239" t="str">
        <f t="shared" si="3"/>
        <v>Læ1</v>
      </c>
      <c r="S4" s="1030"/>
      <c r="T4" s="908" t="str">
        <f t="shared" ref="T4:AE19" si="4">G4</f>
        <v>Læ1</v>
      </c>
      <c r="U4" s="908" t="str">
        <f t="shared" si="4"/>
        <v>Læ1</v>
      </c>
      <c r="V4" s="908" t="str">
        <f t="shared" si="4"/>
        <v>Læ1</v>
      </c>
      <c r="W4" s="908" t="str">
        <f t="shared" si="4"/>
        <v>Læ1</v>
      </c>
      <c r="X4" s="908" t="str">
        <f t="shared" si="4"/>
        <v>Læ1</v>
      </c>
      <c r="Y4" s="908" t="str">
        <f t="shared" si="4"/>
        <v>Læ1</v>
      </c>
      <c r="Z4" s="908" t="str">
        <f t="shared" si="4"/>
        <v>Læ1</v>
      </c>
      <c r="AA4" s="908" t="str">
        <f t="shared" si="4"/>
        <v>Læ1</v>
      </c>
      <c r="AB4" s="908" t="str">
        <f t="shared" si="4"/>
        <v>Læ1</v>
      </c>
      <c r="AC4" s="908" t="str">
        <f t="shared" si="4"/>
        <v>Læ1</v>
      </c>
      <c r="AD4" s="908" t="str">
        <f t="shared" si="4"/>
        <v>Læ1</v>
      </c>
      <c r="AE4" s="908" t="str">
        <f t="shared" si="4"/>
        <v>Læ1</v>
      </c>
      <c r="AF4" s="6" t="s">
        <v>203</v>
      </c>
      <c r="AG4" s="86"/>
      <c r="AH4" s="86"/>
      <c r="AI4" s="86"/>
      <c r="AJ4" s="86"/>
      <c r="AK4" s="86"/>
      <c r="AL4" s="86"/>
    </row>
    <row r="5" spans="1:38" ht="24" customHeight="1">
      <c r="A5" s="1180"/>
      <c r="B5" s="4">
        <f>B4+1</f>
        <v>5</v>
      </c>
      <c r="C5" s="385"/>
      <c r="D5" s="386"/>
      <c r="E5" s="387"/>
      <c r="F5" s="5" t="s">
        <v>112</v>
      </c>
      <c r="G5" s="364" t="s">
        <v>265</v>
      </c>
      <c r="H5" s="71" t="str">
        <f>$G5</f>
        <v>L</v>
      </c>
      <c r="I5" s="71" t="str">
        <f t="shared" ref="I5:R7" si="5">$G5</f>
        <v>L</v>
      </c>
      <c r="J5" s="71" t="str">
        <f t="shared" si="5"/>
        <v>L</v>
      </c>
      <c r="K5" s="71" t="str">
        <f t="shared" si="5"/>
        <v>L</v>
      </c>
      <c r="L5" s="71" t="str">
        <f t="shared" si="5"/>
        <v>L</v>
      </c>
      <c r="M5" s="71" t="str">
        <f t="shared" si="5"/>
        <v>L</v>
      </c>
      <c r="N5" s="71" t="str">
        <f t="shared" si="5"/>
        <v>L</v>
      </c>
      <c r="O5" s="71" t="str">
        <f t="shared" si="5"/>
        <v>L</v>
      </c>
      <c r="P5" s="71" t="str">
        <f t="shared" si="5"/>
        <v>L</v>
      </c>
      <c r="Q5" s="71" t="str">
        <f t="shared" si="5"/>
        <v>L</v>
      </c>
      <c r="R5" s="71" t="str">
        <f t="shared" si="5"/>
        <v>L</v>
      </c>
      <c r="S5" s="1031"/>
      <c r="T5" s="908" t="str">
        <f t="shared" si="4"/>
        <v>L</v>
      </c>
      <c r="U5" s="908" t="str">
        <f t="shared" si="4"/>
        <v>L</v>
      </c>
      <c r="V5" s="908" t="str">
        <f t="shared" si="4"/>
        <v>L</v>
      </c>
      <c r="W5" s="908" t="str">
        <f t="shared" si="4"/>
        <v>L</v>
      </c>
      <c r="X5" s="908" t="str">
        <f t="shared" si="4"/>
        <v>L</v>
      </c>
      <c r="Y5" s="908" t="str">
        <f t="shared" si="4"/>
        <v>L</v>
      </c>
      <c r="Z5" s="908" t="str">
        <f t="shared" si="4"/>
        <v>L</v>
      </c>
      <c r="AA5" s="908" t="str">
        <f t="shared" si="4"/>
        <v>L</v>
      </c>
      <c r="AB5" s="908" t="str">
        <f t="shared" si="4"/>
        <v>L</v>
      </c>
      <c r="AC5" s="908" t="str">
        <f t="shared" si="4"/>
        <v>L</v>
      </c>
      <c r="AD5" s="908" t="str">
        <f t="shared" si="4"/>
        <v>L</v>
      </c>
      <c r="AE5" s="908" t="str">
        <f t="shared" si="4"/>
        <v>L</v>
      </c>
      <c r="AF5" s="6" t="s">
        <v>13</v>
      </c>
      <c r="AG5" s="86"/>
      <c r="AH5" s="86"/>
      <c r="AI5" s="86"/>
      <c r="AJ5" s="86"/>
      <c r="AK5" s="86"/>
      <c r="AL5" s="86"/>
    </row>
    <row r="6" spans="1:38" ht="14" customHeight="1">
      <c r="A6" s="1180"/>
      <c r="B6" s="4">
        <f t="shared" si="2"/>
        <v>6</v>
      </c>
      <c r="C6" s="388"/>
      <c r="D6" s="389"/>
      <c r="E6" s="390"/>
      <c r="F6" s="5" t="s">
        <v>210</v>
      </c>
      <c r="G6" s="190">
        <v>1.2330950000000001</v>
      </c>
      <c r="H6" s="69">
        <f t="shared" ref="H6:N6" si="6">G6</f>
        <v>1.2330950000000001</v>
      </c>
      <c r="I6" s="895">
        <f>H6</f>
        <v>1.2330950000000001</v>
      </c>
      <c r="J6" s="1166"/>
      <c r="K6" s="756">
        <f>J6</f>
        <v>0</v>
      </c>
      <c r="L6" s="69">
        <f t="shared" si="6"/>
        <v>0</v>
      </c>
      <c r="M6" s="69">
        <f t="shared" si="6"/>
        <v>0</v>
      </c>
      <c r="N6" s="69">
        <f t="shared" si="6"/>
        <v>0</v>
      </c>
      <c r="O6" s="346"/>
      <c r="P6" s="69">
        <f>O6</f>
        <v>0</v>
      </c>
      <c r="Q6" s="69">
        <f>P6</f>
        <v>0</v>
      </c>
      <c r="R6" s="69">
        <f>Q6</f>
        <v>0</v>
      </c>
      <c r="S6" s="190"/>
      <c r="T6" s="908">
        <f t="shared" si="4"/>
        <v>1.2330950000000001</v>
      </c>
      <c r="U6" s="908">
        <f t="shared" si="4"/>
        <v>1.2330950000000001</v>
      </c>
      <c r="V6" s="908">
        <f t="shared" si="4"/>
        <v>1.2330950000000001</v>
      </c>
      <c r="W6" s="908">
        <f t="shared" si="4"/>
        <v>0</v>
      </c>
      <c r="X6" s="908">
        <f t="shared" si="4"/>
        <v>0</v>
      </c>
      <c r="Y6" s="908">
        <f t="shared" si="4"/>
        <v>0</v>
      </c>
      <c r="Z6" s="908">
        <f t="shared" si="4"/>
        <v>0</v>
      </c>
      <c r="AA6" s="908">
        <f t="shared" si="4"/>
        <v>0</v>
      </c>
      <c r="AB6" s="908">
        <f t="shared" si="4"/>
        <v>0</v>
      </c>
      <c r="AC6" s="908">
        <f t="shared" si="4"/>
        <v>0</v>
      </c>
      <c r="AD6" s="908">
        <f t="shared" si="4"/>
        <v>0</v>
      </c>
      <c r="AE6" s="908">
        <f t="shared" si="4"/>
        <v>0</v>
      </c>
      <c r="AF6" s="70" t="str">
        <f>"se i løntabel for april "&amp;LEFT($A$1,4)+2&amp;", når den udkommer"</f>
        <v>se i løntabel for april 2026, når den udkommer</v>
      </c>
      <c r="AG6" s="86"/>
      <c r="AH6" s="86"/>
      <c r="AI6" s="86"/>
      <c r="AJ6" s="86"/>
      <c r="AK6" s="86"/>
      <c r="AL6" s="86"/>
    </row>
    <row r="7" spans="1:38" ht="14" customHeight="1">
      <c r="A7" s="1180"/>
      <c r="B7" s="4">
        <f t="shared" si="2"/>
        <v>7</v>
      </c>
      <c r="C7" s="385"/>
      <c r="D7" s="386"/>
      <c r="E7" s="387"/>
      <c r="F7" s="5" t="s">
        <v>127</v>
      </c>
      <c r="G7" s="345"/>
      <c r="H7" s="71">
        <f>$G7</f>
        <v>0</v>
      </c>
      <c r="I7" s="71">
        <f t="shared" si="5"/>
        <v>0</v>
      </c>
      <c r="J7" s="71">
        <f t="shared" si="5"/>
        <v>0</v>
      </c>
      <c r="K7" s="71">
        <f t="shared" si="5"/>
        <v>0</v>
      </c>
      <c r="L7" s="71">
        <f t="shared" si="5"/>
        <v>0</v>
      </c>
      <c r="M7" s="71">
        <f t="shared" si="5"/>
        <v>0</v>
      </c>
      <c r="N7" s="71">
        <f t="shared" si="5"/>
        <v>0</v>
      </c>
      <c r="O7" s="71">
        <f t="shared" si="5"/>
        <v>0</v>
      </c>
      <c r="P7" s="71">
        <f t="shared" si="5"/>
        <v>0</v>
      </c>
      <c r="Q7" s="71">
        <f t="shared" si="5"/>
        <v>0</v>
      </c>
      <c r="R7" s="71">
        <f t="shared" si="5"/>
        <v>0</v>
      </c>
      <c r="S7" s="1031"/>
      <c r="T7" s="908">
        <f t="shared" si="4"/>
        <v>0</v>
      </c>
      <c r="U7" s="908">
        <f t="shared" si="4"/>
        <v>0</v>
      </c>
      <c r="V7" s="908">
        <f t="shared" si="4"/>
        <v>0</v>
      </c>
      <c r="W7" s="908">
        <f t="shared" si="4"/>
        <v>0</v>
      </c>
      <c r="X7" s="908">
        <f t="shared" si="4"/>
        <v>0</v>
      </c>
      <c r="Y7" s="908">
        <f t="shared" si="4"/>
        <v>0</v>
      </c>
      <c r="Z7" s="908">
        <f t="shared" si="4"/>
        <v>0</v>
      </c>
      <c r="AA7" s="908">
        <f t="shared" si="4"/>
        <v>0</v>
      </c>
      <c r="AB7" s="908">
        <f t="shared" si="4"/>
        <v>0</v>
      </c>
      <c r="AC7" s="908">
        <f t="shared" si="4"/>
        <v>0</v>
      </c>
      <c r="AD7" s="908">
        <f t="shared" si="4"/>
        <v>0</v>
      </c>
      <c r="AE7" s="908">
        <f t="shared" si="4"/>
        <v>0</v>
      </c>
      <c r="AF7" s="3" t="s">
        <v>99</v>
      </c>
      <c r="AG7" s="86"/>
      <c r="AH7" s="86"/>
      <c r="AI7" s="86"/>
      <c r="AJ7" s="86"/>
      <c r="AK7" s="86"/>
      <c r="AL7" s="86"/>
    </row>
    <row r="8" spans="1:38" ht="19" customHeight="1">
      <c r="A8" s="1180"/>
      <c r="B8" s="4"/>
      <c r="C8" s="385"/>
      <c r="D8" s="386"/>
      <c r="E8" s="387"/>
      <c r="F8" s="896" t="s">
        <v>643</v>
      </c>
      <c r="G8" s="365" t="s">
        <v>642</v>
      </c>
      <c r="H8" s="365" t="str">
        <f>G8</f>
        <v>Nej</v>
      </c>
      <c r="I8" s="365" t="str">
        <f>H8</f>
        <v>Nej</v>
      </c>
      <c r="J8" s="365" t="str">
        <f t="shared" ref="J8:R12" si="7">I8</f>
        <v>Nej</v>
      </c>
      <c r="K8" s="365" t="str">
        <f t="shared" si="7"/>
        <v>Nej</v>
      </c>
      <c r="L8" s="365" t="str">
        <f t="shared" si="7"/>
        <v>Nej</v>
      </c>
      <c r="M8" s="365" t="str">
        <f t="shared" si="7"/>
        <v>Nej</v>
      </c>
      <c r="N8" s="365" t="str">
        <f t="shared" si="7"/>
        <v>Nej</v>
      </c>
      <c r="O8" s="365" t="str">
        <f t="shared" si="7"/>
        <v>Nej</v>
      </c>
      <c r="P8" s="365" t="str">
        <f t="shared" si="7"/>
        <v>Nej</v>
      </c>
      <c r="Q8" s="365" t="str">
        <f t="shared" si="7"/>
        <v>Nej</v>
      </c>
      <c r="R8" s="365" t="str">
        <f t="shared" si="7"/>
        <v>Nej</v>
      </c>
      <c r="S8" s="365"/>
      <c r="T8" s="908" t="str">
        <f t="shared" si="4"/>
        <v>Nej</v>
      </c>
      <c r="U8" s="908" t="str">
        <f t="shared" si="4"/>
        <v>Nej</v>
      </c>
      <c r="V8" s="908" t="str">
        <f t="shared" si="4"/>
        <v>Nej</v>
      </c>
      <c r="W8" s="908" t="str">
        <f t="shared" si="4"/>
        <v>Nej</v>
      </c>
      <c r="X8" s="908" t="str">
        <f t="shared" si="4"/>
        <v>Nej</v>
      </c>
      <c r="Y8" s="908" t="str">
        <f t="shared" si="4"/>
        <v>Nej</v>
      </c>
      <c r="Z8" s="908" t="str">
        <f t="shared" si="4"/>
        <v>Nej</v>
      </c>
      <c r="AA8" s="908" t="str">
        <f t="shared" si="4"/>
        <v>Nej</v>
      </c>
      <c r="AB8" s="908" t="str">
        <f t="shared" si="4"/>
        <v>Nej</v>
      </c>
      <c r="AC8" s="908" t="str">
        <f t="shared" si="4"/>
        <v>Nej</v>
      </c>
      <c r="AD8" s="908" t="str">
        <f t="shared" si="4"/>
        <v>Nej</v>
      </c>
      <c r="AE8" s="908" t="str">
        <f t="shared" si="4"/>
        <v>Nej</v>
      </c>
      <c r="AG8" s="86" t="s">
        <v>642</v>
      </c>
      <c r="AH8" s="86"/>
      <c r="AI8" s="86"/>
      <c r="AJ8" s="86"/>
      <c r="AK8" s="86"/>
      <c r="AL8" s="86"/>
    </row>
    <row r="9" spans="1:38" ht="19" customHeight="1">
      <c r="A9" s="1180"/>
      <c r="B9" s="4"/>
      <c r="C9" s="385"/>
      <c r="D9" s="386"/>
      <c r="E9" s="387"/>
      <c r="F9" s="896" t="s">
        <v>688</v>
      </c>
      <c r="G9" s="365" t="s">
        <v>642</v>
      </c>
      <c r="H9" s="365" t="str">
        <f t="shared" ref="H9:I11" si="8">G9</f>
        <v>Nej</v>
      </c>
      <c r="I9" s="365" t="str">
        <f t="shared" si="8"/>
        <v>Nej</v>
      </c>
      <c r="J9" s="365" t="str">
        <f t="shared" si="7"/>
        <v>Nej</v>
      </c>
      <c r="K9" s="365" t="str">
        <f t="shared" si="7"/>
        <v>Nej</v>
      </c>
      <c r="L9" s="365" t="str">
        <f t="shared" si="7"/>
        <v>Nej</v>
      </c>
      <c r="M9" s="365" t="str">
        <f t="shared" si="7"/>
        <v>Nej</v>
      </c>
      <c r="N9" s="365" t="str">
        <f t="shared" si="7"/>
        <v>Nej</v>
      </c>
      <c r="O9" s="365" t="str">
        <f t="shared" si="7"/>
        <v>Nej</v>
      </c>
      <c r="P9" s="365" t="str">
        <f t="shared" si="7"/>
        <v>Nej</v>
      </c>
      <c r="Q9" s="365" t="str">
        <f t="shared" si="7"/>
        <v>Nej</v>
      </c>
      <c r="R9" s="365" t="str">
        <f t="shared" si="7"/>
        <v>Nej</v>
      </c>
      <c r="S9" s="365"/>
      <c r="T9" s="365" t="str">
        <f>G9</f>
        <v>Nej</v>
      </c>
      <c r="U9" s="365" t="str">
        <f t="shared" si="4"/>
        <v>Nej</v>
      </c>
      <c r="V9" s="365" t="str">
        <f t="shared" si="4"/>
        <v>Nej</v>
      </c>
      <c r="W9" s="365" t="str">
        <f t="shared" si="4"/>
        <v>Nej</v>
      </c>
      <c r="X9" s="365" t="str">
        <f t="shared" si="4"/>
        <v>Nej</v>
      </c>
      <c r="Y9" s="365" t="str">
        <f t="shared" si="4"/>
        <v>Nej</v>
      </c>
      <c r="Z9" s="365" t="str">
        <f t="shared" si="4"/>
        <v>Nej</v>
      </c>
      <c r="AA9" s="365" t="str">
        <f t="shared" si="4"/>
        <v>Nej</v>
      </c>
      <c r="AB9" s="365" t="str">
        <f>O9</f>
        <v>Nej</v>
      </c>
      <c r="AC9" s="365" t="str">
        <f t="shared" si="4"/>
        <v>Nej</v>
      </c>
      <c r="AD9" s="365" t="str">
        <f t="shared" si="4"/>
        <v>Nej</v>
      </c>
      <c r="AE9" s="365" t="str">
        <f t="shared" si="4"/>
        <v>Nej</v>
      </c>
      <c r="AG9" s="86" t="s">
        <v>641</v>
      </c>
      <c r="AH9" s="86"/>
      <c r="AI9" s="86"/>
      <c r="AJ9" s="86"/>
      <c r="AK9" s="86"/>
      <c r="AL9" s="86"/>
    </row>
    <row r="10" spans="1:38" ht="28">
      <c r="A10" s="1180"/>
      <c r="B10" s="4">
        <f>B7+1</f>
        <v>8</v>
      </c>
      <c r="C10" s="385"/>
      <c r="D10" s="386"/>
      <c r="E10" s="387"/>
      <c r="F10" s="896" t="s">
        <v>644</v>
      </c>
      <c r="G10" s="365"/>
      <c r="H10" s="240">
        <f>G10</f>
        <v>0</v>
      </c>
      <c r="I10" s="240">
        <f t="shared" si="8"/>
        <v>0</v>
      </c>
      <c r="J10" s="240">
        <f>I10</f>
        <v>0</v>
      </c>
      <c r="K10" s="240">
        <f t="shared" si="7"/>
        <v>0</v>
      </c>
      <c r="L10" s="240">
        <f>K10</f>
        <v>0</v>
      </c>
      <c r="M10" s="240">
        <f t="shared" si="7"/>
        <v>0</v>
      </c>
      <c r="N10" s="240">
        <f t="shared" si="7"/>
        <v>0</v>
      </c>
      <c r="O10" s="240">
        <f t="shared" si="7"/>
        <v>0</v>
      </c>
      <c r="P10" s="240">
        <f t="shared" si="7"/>
        <v>0</v>
      </c>
      <c r="Q10" s="240">
        <f t="shared" si="7"/>
        <v>0</v>
      </c>
      <c r="R10" s="240">
        <f t="shared" si="7"/>
        <v>0</v>
      </c>
      <c r="S10" s="1032"/>
      <c r="T10" s="908">
        <f>T11</f>
        <v>0</v>
      </c>
      <c r="U10" s="908">
        <f t="shared" ref="U10:AE10" si="9">U11</f>
        <v>0</v>
      </c>
      <c r="V10" s="908">
        <f t="shared" si="9"/>
        <v>0</v>
      </c>
      <c r="W10" s="908">
        <f t="shared" si="9"/>
        <v>0</v>
      </c>
      <c r="X10" s="908">
        <f t="shared" si="9"/>
        <v>0</v>
      </c>
      <c r="Y10" s="908">
        <f t="shared" si="9"/>
        <v>0</v>
      </c>
      <c r="Z10" s="908">
        <f t="shared" si="9"/>
        <v>0</v>
      </c>
      <c r="AA10" s="908">
        <f t="shared" si="9"/>
        <v>0</v>
      </c>
      <c r="AB10" s="908">
        <f t="shared" si="9"/>
        <v>0</v>
      </c>
      <c r="AC10" s="908">
        <f t="shared" si="9"/>
        <v>0</v>
      </c>
      <c r="AD10" s="908">
        <f t="shared" si="9"/>
        <v>0</v>
      </c>
      <c r="AE10" s="908">
        <f t="shared" si="9"/>
        <v>0</v>
      </c>
      <c r="AF10" s="6" t="s">
        <v>73</v>
      </c>
      <c r="AG10" s="86"/>
      <c r="AH10" s="86"/>
      <c r="AI10" s="86"/>
      <c r="AJ10" s="86"/>
      <c r="AK10" s="86"/>
      <c r="AL10" s="86"/>
    </row>
    <row r="11" spans="1:38" ht="42">
      <c r="A11" s="1180"/>
      <c r="B11" s="4"/>
      <c r="C11" s="385"/>
      <c r="D11" s="386"/>
      <c r="E11" s="387"/>
      <c r="F11" s="896" t="s">
        <v>686</v>
      </c>
      <c r="G11" s="902"/>
      <c r="H11" s="901">
        <f t="shared" si="8"/>
        <v>0</v>
      </c>
      <c r="I11" s="901">
        <f>H11</f>
        <v>0</v>
      </c>
      <c r="J11" s="901">
        <f t="shared" ref="J11" si="10">I11</f>
        <v>0</v>
      </c>
      <c r="K11" s="901">
        <f t="shared" si="7"/>
        <v>0</v>
      </c>
      <c r="L11" s="901">
        <f t="shared" si="7"/>
        <v>0</v>
      </c>
      <c r="M11" s="901">
        <f t="shared" si="7"/>
        <v>0</v>
      </c>
      <c r="N11" s="901">
        <f t="shared" si="7"/>
        <v>0</v>
      </c>
      <c r="O11" s="901">
        <f t="shared" si="7"/>
        <v>0</v>
      </c>
      <c r="P11" s="901">
        <f t="shared" si="7"/>
        <v>0</v>
      </c>
      <c r="Q11" s="901">
        <f t="shared" si="7"/>
        <v>0</v>
      </c>
      <c r="R11" s="901">
        <f t="shared" si="7"/>
        <v>0</v>
      </c>
      <c r="S11" s="901"/>
      <c r="T11" s="908">
        <f t="shared" si="4"/>
        <v>0</v>
      </c>
      <c r="U11" s="908">
        <f t="shared" si="4"/>
        <v>0</v>
      </c>
      <c r="V11" s="908">
        <f t="shared" si="4"/>
        <v>0</v>
      </c>
      <c r="W11" s="908">
        <f t="shared" si="4"/>
        <v>0</v>
      </c>
      <c r="X11" s="908">
        <f t="shared" si="4"/>
        <v>0</v>
      </c>
      <c r="Y11" s="908">
        <f t="shared" si="4"/>
        <v>0</v>
      </c>
      <c r="Z11" s="908">
        <f t="shared" si="4"/>
        <v>0</v>
      </c>
      <c r="AA11" s="908">
        <f t="shared" si="4"/>
        <v>0</v>
      </c>
      <c r="AB11" s="908">
        <f t="shared" si="4"/>
        <v>0</v>
      </c>
      <c r="AC11" s="908">
        <f t="shared" si="4"/>
        <v>0</v>
      </c>
      <c r="AD11" s="908">
        <f t="shared" si="4"/>
        <v>0</v>
      </c>
      <c r="AE11" s="908">
        <f t="shared" si="4"/>
        <v>0</v>
      </c>
      <c r="AF11" s="6"/>
      <c r="AG11" s="86"/>
      <c r="AH11" s="86"/>
      <c r="AI11" s="86"/>
      <c r="AJ11" s="86"/>
      <c r="AK11" s="86"/>
      <c r="AL11" s="86"/>
    </row>
    <row r="12" spans="1:38" ht="24" customHeight="1">
      <c r="A12" s="1180"/>
      <c r="B12" s="4">
        <f>B10+1</f>
        <v>9</v>
      </c>
      <c r="C12" s="385"/>
      <c r="D12" s="386"/>
      <c r="E12" s="387"/>
      <c r="F12" s="5" t="s">
        <v>212</v>
      </c>
      <c r="G12" s="367"/>
      <c r="H12" s="719">
        <f>G12</f>
        <v>0</v>
      </c>
      <c r="I12" s="719">
        <f>H12</f>
        <v>0</v>
      </c>
      <c r="J12" s="719">
        <f>I12</f>
        <v>0</v>
      </c>
      <c r="K12" s="719">
        <f t="shared" si="7"/>
        <v>0</v>
      </c>
      <c r="L12" s="719">
        <f t="shared" si="7"/>
        <v>0</v>
      </c>
      <c r="M12" s="719">
        <f t="shared" si="7"/>
        <v>0</v>
      </c>
      <c r="N12" s="719">
        <f t="shared" si="7"/>
        <v>0</v>
      </c>
      <c r="O12" s="719">
        <f t="shared" si="7"/>
        <v>0</v>
      </c>
      <c r="P12" s="719">
        <f t="shared" si="7"/>
        <v>0</v>
      </c>
      <c r="Q12" s="719">
        <f t="shared" si="7"/>
        <v>0</v>
      </c>
      <c r="R12" s="719">
        <f t="shared" si="7"/>
        <v>0</v>
      </c>
      <c r="S12" s="719"/>
      <c r="T12" s="908">
        <f t="shared" ref="T12:AE12" si="11">IF(G12&gt;0,G12/G10*G11,0)</f>
        <v>0</v>
      </c>
      <c r="U12" s="908">
        <f t="shared" si="11"/>
        <v>0</v>
      </c>
      <c r="V12" s="908">
        <f t="shared" si="11"/>
        <v>0</v>
      </c>
      <c r="W12" s="908">
        <f t="shared" si="11"/>
        <v>0</v>
      </c>
      <c r="X12" s="908">
        <f t="shared" si="11"/>
        <v>0</v>
      </c>
      <c r="Y12" s="908">
        <f t="shared" si="11"/>
        <v>0</v>
      </c>
      <c r="Z12" s="908">
        <f t="shared" si="11"/>
        <v>0</v>
      </c>
      <c r="AA12" s="908">
        <f t="shared" si="11"/>
        <v>0</v>
      </c>
      <c r="AB12" s="908">
        <f t="shared" si="11"/>
        <v>0</v>
      </c>
      <c r="AC12" s="908">
        <f t="shared" si="11"/>
        <v>0</v>
      </c>
      <c r="AD12" s="908">
        <f t="shared" si="11"/>
        <v>0</v>
      </c>
      <c r="AE12" s="908">
        <f t="shared" si="11"/>
        <v>0</v>
      </c>
      <c r="AF12" s="6" t="s">
        <v>530</v>
      </c>
      <c r="AG12" s="86"/>
      <c r="AH12" s="86"/>
      <c r="AI12" s="86"/>
      <c r="AJ12" s="86"/>
      <c r="AK12" s="86"/>
      <c r="AL12" s="86"/>
    </row>
    <row r="13" spans="1:38" ht="24" customHeight="1">
      <c r="A13" s="1180"/>
      <c r="B13" s="4">
        <f t="shared" si="2"/>
        <v>10</v>
      </c>
      <c r="C13" s="385"/>
      <c r="D13" s="386"/>
      <c r="E13" s="387"/>
      <c r="F13" s="13" t="s">
        <v>331</v>
      </c>
      <c r="G13" s="460"/>
      <c r="H13" s="1065">
        <f>G13</f>
        <v>0</v>
      </c>
      <c r="I13" s="242">
        <f t="shared" ref="I13:R22" si="12">H13</f>
        <v>0</v>
      </c>
      <c r="J13" s="242">
        <f t="shared" si="12"/>
        <v>0</v>
      </c>
      <c r="K13" s="242">
        <f t="shared" si="12"/>
        <v>0</v>
      </c>
      <c r="L13" s="242">
        <f t="shared" si="12"/>
        <v>0</v>
      </c>
      <c r="M13" s="242">
        <f t="shared" si="12"/>
        <v>0</v>
      </c>
      <c r="N13" s="242">
        <f t="shared" si="12"/>
        <v>0</v>
      </c>
      <c r="O13" s="242">
        <f t="shared" si="12"/>
        <v>0</v>
      </c>
      <c r="P13" s="242">
        <f t="shared" si="12"/>
        <v>0</v>
      </c>
      <c r="Q13" s="242">
        <f t="shared" si="12"/>
        <v>0</v>
      </c>
      <c r="R13" s="242">
        <f t="shared" si="12"/>
        <v>0</v>
      </c>
      <c r="S13" s="1033"/>
      <c r="T13" s="908">
        <f t="shared" si="4"/>
        <v>0</v>
      </c>
      <c r="U13" s="908">
        <f t="shared" si="4"/>
        <v>0</v>
      </c>
      <c r="V13" s="908">
        <f t="shared" si="4"/>
        <v>0</v>
      </c>
      <c r="W13" s="908">
        <f t="shared" si="4"/>
        <v>0</v>
      </c>
      <c r="X13" s="908">
        <f t="shared" si="4"/>
        <v>0</v>
      </c>
      <c r="Y13" s="908">
        <f t="shared" si="4"/>
        <v>0</v>
      </c>
      <c r="Z13" s="908">
        <f t="shared" si="4"/>
        <v>0</v>
      </c>
      <c r="AA13" s="908">
        <f t="shared" si="4"/>
        <v>0</v>
      </c>
      <c r="AB13" s="908">
        <f t="shared" si="4"/>
        <v>0</v>
      </c>
      <c r="AC13" s="908">
        <f t="shared" si="4"/>
        <v>0</v>
      </c>
      <c r="AD13" s="908">
        <f t="shared" si="4"/>
        <v>0</v>
      </c>
      <c r="AE13" s="908">
        <f t="shared" si="4"/>
        <v>0</v>
      </c>
      <c r="AF13" s="12" t="s">
        <v>332</v>
      </c>
      <c r="AG13" s="86"/>
      <c r="AH13" s="86"/>
      <c r="AI13" s="86"/>
      <c r="AJ13" s="86"/>
      <c r="AK13" s="86"/>
      <c r="AL13" s="86"/>
    </row>
    <row r="14" spans="1:38" ht="24" customHeight="1">
      <c r="A14" s="1180"/>
      <c r="B14" s="4">
        <f t="shared" si="2"/>
        <v>11</v>
      </c>
      <c r="C14" s="863" t="s">
        <v>404</v>
      </c>
      <c r="D14" s="821"/>
      <c r="E14" s="459" t="s">
        <v>404</v>
      </c>
      <c r="F14" s="594" t="s">
        <v>408</v>
      </c>
      <c r="G14" s="460"/>
      <c r="H14" s="1065">
        <f t="shared" ref="H14:H21" si="13">G14</f>
        <v>0</v>
      </c>
      <c r="I14" s="242">
        <f t="shared" si="12"/>
        <v>0</v>
      </c>
      <c r="J14" s="242">
        <f t="shared" si="12"/>
        <v>0</v>
      </c>
      <c r="K14" s="242">
        <f t="shared" si="12"/>
        <v>0</v>
      </c>
      <c r="L14" s="242">
        <f t="shared" si="12"/>
        <v>0</v>
      </c>
      <c r="M14" s="242">
        <f t="shared" si="12"/>
        <v>0</v>
      </c>
      <c r="N14" s="242">
        <f t="shared" si="12"/>
        <v>0</v>
      </c>
      <c r="O14" s="242">
        <f t="shared" si="12"/>
        <v>0</v>
      </c>
      <c r="P14" s="242">
        <f t="shared" si="12"/>
        <v>0</v>
      </c>
      <c r="Q14" s="242">
        <f t="shared" si="12"/>
        <v>0</v>
      </c>
      <c r="R14" s="242">
        <f t="shared" si="12"/>
        <v>0</v>
      </c>
      <c r="S14" s="1033"/>
      <c r="T14" s="908">
        <f t="shared" si="4"/>
        <v>0</v>
      </c>
      <c r="U14" s="908">
        <f t="shared" si="4"/>
        <v>0</v>
      </c>
      <c r="V14" s="908">
        <f t="shared" si="4"/>
        <v>0</v>
      </c>
      <c r="W14" s="908">
        <f t="shared" si="4"/>
        <v>0</v>
      </c>
      <c r="X14" s="908">
        <f t="shared" si="4"/>
        <v>0</v>
      </c>
      <c r="Y14" s="908">
        <f t="shared" si="4"/>
        <v>0</v>
      </c>
      <c r="Z14" s="908">
        <f t="shared" si="4"/>
        <v>0</v>
      </c>
      <c r="AA14" s="908">
        <f t="shared" si="4"/>
        <v>0</v>
      </c>
      <c r="AB14" s="908">
        <f t="shared" si="4"/>
        <v>0</v>
      </c>
      <c r="AC14" s="908">
        <f t="shared" si="4"/>
        <v>0</v>
      </c>
      <c r="AD14" s="908">
        <f t="shared" si="4"/>
        <v>0</v>
      </c>
      <c r="AE14" s="908">
        <f t="shared" si="4"/>
        <v>0</v>
      </c>
      <c r="AF14" s="3" t="s">
        <v>333</v>
      </c>
      <c r="AG14" s="86"/>
      <c r="AH14" s="86"/>
      <c r="AI14" s="86"/>
      <c r="AJ14" s="86"/>
      <c r="AK14" s="86"/>
      <c r="AL14" s="86"/>
    </row>
    <row r="15" spans="1:38" ht="24" customHeight="1">
      <c r="A15" s="1180"/>
      <c r="B15" s="4">
        <f>B14+1</f>
        <v>12</v>
      </c>
      <c r="C15" s="863" t="s">
        <v>404</v>
      </c>
      <c r="D15" s="821"/>
      <c r="E15" s="459" t="s">
        <v>404</v>
      </c>
      <c r="F15" s="594" t="s">
        <v>408</v>
      </c>
      <c r="G15" s="461"/>
      <c r="H15" s="1065">
        <f t="shared" si="13"/>
        <v>0</v>
      </c>
      <c r="I15" s="243">
        <f t="shared" si="12"/>
        <v>0</v>
      </c>
      <c r="J15" s="243">
        <f t="shared" si="12"/>
        <v>0</v>
      </c>
      <c r="K15" s="243">
        <f t="shared" si="12"/>
        <v>0</v>
      </c>
      <c r="L15" s="243">
        <f t="shared" si="12"/>
        <v>0</v>
      </c>
      <c r="M15" s="243">
        <f t="shared" si="12"/>
        <v>0</v>
      </c>
      <c r="N15" s="243">
        <f t="shared" si="12"/>
        <v>0</v>
      </c>
      <c r="O15" s="243">
        <f t="shared" si="12"/>
        <v>0</v>
      </c>
      <c r="P15" s="243">
        <f t="shared" si="12"/>
        <v>0</v>
      </c>
      <c r="Q15" s="243">
        <f t="shared" si="12"/>
        <v>0</v>
      </c>
      <c r="R15" s="243">
        <f t="shared" si="12"/>
        <v>0</v>
      </c>
      <c r="S15" s="1034"/>
      <c r="T15" s="908">
        <f t="shared" si="4"/>
        <v>0</v>
      </c>
      <c r="U15" s="908">
        <f t="shared" si="4"/>
        <v>0</v>
      </c>
      <c r="V15" s="908">
        <f t="shared" si="4"/>
        <v>0</v>
      </c>
      <c r="W15" s="908">
        <f t="shared" si="4"/>
        <v>0</v>
      </c>
      <c r="X15" s="908">
        <f t="shared" si="4"/>
        <v>0</v>
      </c>
      <c r="Y15" s="908">
        <f t="shared" si="4"/>
        <v>0</v>
      </c>
      <c r="Z15" s="908">
        <f t="shared" si="4"/>
        <v>0</v>
      </c>
      <c r="AA15" s="908">
        <f t="shared" si="4"/>
        <v>0</v>
      </c>
      <c r="AB15" s="908">
        <f t="shared" si="4"/>
        <v>0</v>
      </c>
      <c r="AC15" s="908">
        <f t="shared" si="4"/>
        <v>0</v>
      </c>
      <c r="AD15" s="908">
        <f t="shared" si="4"/>
        <v>0</v>
      </c>
      <c r="AE15" s="908">
        <f t="shared" si="4"/>
        <v>0</v>
      </c>
      <c r="AF15" s="3" t="s">
        <v>333</v>
      </c>
      <c r="AG15" s="86"/>
      <c r="AH15" s="86"/>
      <c r="AI15" s="86"/>
      <c r="AJ15" s="86"/>
      <c r="AK15" s="86"/>
      <c r="AL15" s="86"/>
    </row>
    <row r="16" spans="1:38" ht="24" customHeight="1">
      <c r="A16" s="1180"/>
      <c r="B16" s="4">
        <f t="shared" si="2"/>
        <v>13</v>
      </c>
      <c r="C16" s="863" t="s">
        <v>404</v>
      </c>
      <c r="D16" s="821"/>
      <c r="E16" s="459" t="s">
        <v>404</v>
      </c>
      <c r="F16" s="594" t="s">
        <v>408</v>
      </c>
      <c r="G16" s="462"/>
      <c r="H16" s="1065">
        <f t="shared" si="13"/>
        <v>0</v>
      </c>
      <c r="I16" s="244">
        <f t="shared" si="12"/>
        <v>0</v>
      </c>
      <c r="J16" s="244">
        <f t="shared" si="12"/>
        <v>0</v>
      </c>
      <c r="K16" s="244">
        <f t="shared" si="12"/>
        <v>0</v>
      </c>
      <c r="L16" s="244">
        <f t="shared" si="12"/>
        <v>0</v>
      </c>
      <c r="M16" s="244">
        <f t="shared" si="12"/>
        <v>0</v>
      </c>
      <c r="N16" s="244">
        <f t="shared" si="12"/>
        <v>0</v>
      </c>
      <c r="O16" s="244">
        <f t="shared" si="12"/>
        <v>0</v>
      </c>
      <c r="P16" s="244">
        <f t="shared" si="12"/>
        <v>0</v>
      </c>
      <c r="Q16" s="244">
        <f t="shared" si="12"/>
        <v>0</v>
      </c>
      <c r="R16" s="244">
        <f t="shared" si="12"/>
        <v>0</v>
      </c>
      <c r="S16" s="1035"/>
      <c r="T16" s="908">
        <f t="shared" si="4"/>
        <v>0</v>
      </c>
      <c r="U16" s="908">
        <f t="shared" si="4"/>
        <v>0</v>
      </c>
      <c r="V16" s="908">
        <f t="shared" si="4"/>
        <v>0</v>
      </c>
      <c r="W16" s="908">
        <f t="shared" si="4"/>
        <v>0</v>
      </c>
      <c r="X16" s="908">
        <f t="shared" si="4"/>
        <v>0</v>
      </c>
      <c r="Y16" s="908">
        <f t="shared" si="4"/>
        <v>0</v>
      </c>
      <c r="Z16" s="908">
        <f t="shared" si="4"/>
        <v>0</v>
      </c>
      <c r="AA16" s="908">
        <f t="shared" si="4"/>
        <v>0</v>
      </c>
      <c r="AB16" s="908">
        <f t="shared" si="4"/>
        <v>0</v>
      </c>
      <c r="AC16" s="908">
        <f t="shared" si="4"/>
        <v>0</v>
      </c>
      <c r="AD16" s="908">
        <f t="shared" si="4"/>
        <v>0</v>
      </c>
      <c r="AE16" s="908">
        <f t="shared" si="4"/>
        <v>0</v>
      </c>
      <c r="AF16" s="3" t="s">
        <v>333</v>
      </c>
      <c r="AG16" s="86"/>
      <c r="AH16" s="86"/>
      <c r="AI16" s="86"/>
      <c r="AJ16" s="86"/>
      <c r="AK16" s="86"/>
      <c r="AL16" s="86"/>
    </row>
    <row r="17" spans="1:38" ht="24" customHeight="1">
      <c r="A17" s="1180"/>
      <c r="B17" s="4">
        <f t="shared" si="2"/>
        <v>14</v>
      </c>
      <c r="C17" s="863" t="s">
        <v>404</v>
      </c>
      <c r="D17" s="821" t="s">
        <v>404</v>
      </c>
      <c r="E17" s="459" t="s">
        <v>404</v>
      </c>
      <c r="F17" s="595" t="s">
        <v>409</v>
      </c>
      <c r="G17" s="475"/>
      <c r="H17" s="1065">
        <f t="shared" si="13"/>
        <v>0</v>
      </c>
      <c r="I17" s="363">
        <f t="shared" si="12"/>
        <v>0</v>
      </c>
      <c r="J17" s="363">
        <f t="shared" si="12"/>
        <v>0</v>
      </c>
      <c r="K17" s="363">
        <f t="shared" si="12"/>
        <v>0</v>
      </c>
      <c r="L17" s="363">
        <f t="shared" si="12"/>
        <v>0</v>
      </c>
      <c r="M17" s="363">
        <f t="shared" si="12"/>
        <v>0</v>
      </c>
      <c r="N17" s="363">
        <f t="shared" si="12"/>
        <v>0</v>
      </c>
      <c r="O17" s="363">
        <f t="shared" si="12"/>
        <v>0</v>
      </c>
      <c r="P17" s="363">
        <f t="shared" si="12"/>
        <v>0</v>
      </c>
      <c r="Q17" s="363">
        <f t="shared" si="12"/>
        <v>0</v>
      </c>
      <c r="R17" s="363">
        <f t="shared" si="12"/>
        <v>0</v>
      </c>
      <c r="S17" s="1033"/>
      <c r="T17" s="908">
        <f t="shared" si="4"/>
        <v>0</v>
      </c>
      <c r="U17" s="908">
        <f t="shared" si="4"/>
        <v>0</v>
      </c>
      <c r="V17" s="908">
        <f t="shared" si="4"/>
        <v>0</v>
      </c>
      <c r="W17" s="908">
        <f t="shared" si="4"/>
        <v>0</v>
      </c>
      <c r="X17" s="908">
        <f t="shared" si="4"/>
        <v>0</v>
      </c>
      <c r="Y17" s="908">
        <f t="shared" si="4"/>
        <v>0</v>
      </c>
      <c r="Z17" s="908">
        <f t="shared" si="4"/>
        <v>0</v>
      </c>
      <c r="AA17" s="908">
        <f t="shared" si="4"/>
        <v>0</v>
      </c>
      <c r="AB17" s="908">
        <f t="shared" si="4"/>
        <v>0</v>
      </c>
      <c r="AC17" s="908">
        <f t="shared" si="4"/>
        <v>0</v>
      </c>
      <c r="AD17" s="908">
        <f t="shared" si="4"/>
        <v>0</v>
      </c>
      <c r="AE17" s="908">
        <f t="shared" si="4"/>
        <v>0</v>
      </c>
      <c r="AF17" s="3" t="s">
        <v>333</v>
      </c>
      <c r="AG17" s="86"/>
      <c r="AH17" s="86"/>
      <c r="AI17" s="86"/>
      <c r="AJ17" s="86"/>
      <c r="AK17" s="86"/>
      <c r="AL17" s="86"/>
    </row>
    <row r="18" spans="1:38" ht="24" customHeight="1">
      <c r="A18" s="1180"/>
      <c r="B18" s="4">
        <f t="shared" si="2"/>
        <v>15</v>
      </c>
      <c r="C18" s="863" t="s">
        <v>404</v>
      </c>
      <c r="D18" s="821" t="s">
        <v>404</v>
      </c>
      <c r="E18" s="459" t="s">
        <v>404</v>
      </c>
      <c r="F18" s="595" t="s">
        <v>409</v>
      </c>
      <c r="G18" s="461"/>
      <c r="H18" s="1065">
        <f t="shared" si="13"/>
        <v>0</v>
      </c>
      <c r="I18" s="243">
        <f t="shared" si="12"/>
        <v>0</v>
      </c>
      <c r="J18" s="243">
        <f t="shared" si="12"/>
        <v>0</v>
      </c>
      <c r="K18" s="243">
        <f t="shared" si="12"/>
        <v>0</v>
      </c>
      <c r="L18" s="243">
        <f t="shared" si="12"/>
        <v>0</v>
      </c>
      <c r="M18" s="243">
        <f t="shared" si="12"/>
        <v>0</v>
      </c>
      <c r="N18" s="243">
        <f t="shared" si="12"/>
        <v>0</v>
      </c>
      <c r="O18" s="243">
        <f t="shared" si="12"/>
        <v>0</v>
      </c>
      <c r="P18" s="243">
        <f t="shared" si="12"/>
        <v>0</v>
      </c>
      <c r="Q18" s="243">
        <f t="shared" si="12"/>
        <v>0</v>
      </c>
      <c r="R18" s="243">
        <f t="shared" si="12"/>
        <v>0</v>
      </c>
      <c r="S18" s="1034"/>
      <c r="T18" s="908">
        <f t="shared" si="4"/>
        <v>0</v>
      </c>
      <c r="U18" s="908">
        <f t="shared" si="4"/>
        <v>0</v>
      </c>
      <c r="V18" s="908">
        <f t="shared" si="4"/>
        <v>0</v>
      </c>
      <c r="W18" s="908">
        <f t="shared" si="4"/>
        <v>0</v>
      </c>
      <c r="X18" s="908">
        <f t="shared" si="4"/>
        <v>0</v>
      </c>
      <c r="Y18" s="908">
        <f t="shared" si="4"/>
        <v>0</v>
      </c>
      <c r="Z18" s="908">
        <f t="shared" si="4"/>
        <v>0</v>
      </c>
      <c r="AA18" s="908">
        <f t="shared" si="4"/>
        <v>0</v>
      </c>
      <c r="AB18" s="908">
        <f t="shared" si="4"/>
        <v>0</v>
      </c>
      <c r="AC18" s="908">
        <f t="shared" si="4"/>
        <v>0</v>
      </c>
      <c r="AD18" s="908">
        <f t="shared" si="4"/>
        <v>0</v>
      </c>
      <c r="AE18" s="908">
        <f t="shared" si="4"/>
        <v>0</v>
      </c>
      <c r="AF18" s="3" t="s">
        <v>333</v>
      </c>
      <c r="AG18" s="86"/>
      <c r="AH18" s="86"/>
      <c r="AI18" s="86"/>
      <c r="AJ18" s="86"/>
      <c r="AK18" s="86"/>
      <c r="AL18" s="86"/>
    </row>
    <row r="19" spans="1:38" ht="24" customHeight="1">
      <c r="A19" s="1180"/>
      <c r="B19" s="4">
        <f>B18+1</f>
        <v>16</v>
      </c>
      <c r="C19" s="863" t="s">
        <v>404</v>
      </c>
      <c r="D19" s="821" t="s">
        <v>404</v>
      </c>
      <c r="E19" s="459" t="s">
        <v>404</v>
      </c>
      <c r="F19" s="595" t="s">
        <v>409</v>
      </c>
      <c r="G19" s="461"/>
      <c r="H19" s="1065">
        <f t="shared" si="13"/>
        <v>0</v>
      </c>
      <c r="I19" s="243">
        <f t="shared" si="12"/>
        <v>0</v>
      </c>
      <c r="J19" s="243">
        <f t="shared" si="12"/>
        <v>0</v>
      </c>
      <c r="K19" s="243">
        <f t="shared" si="12"/>
        <v>0</v>
      </c>
      <c r="L19" s="243">
        <f t="shared" si="12"/>
        <v>0</v>
      </c>
      <c r="M19" s="243">
        <f t="shared" si="12"/>
        <v>0</v>
      </c>
      <c r="N19" s="243">
        <f t="shared" si="12"/>
        <v>0</v>
      </c>
      <c r="O19" s="243">
        <f t="shared" si="12"/>
        <v>0</v>
      </c>
      <c r="P19" s="243">
        <f t="shared" si="12"/>
        <v>0</v>
      </c>
      <c r="Q19" s="243">
        <f t="shared" si="12"/>
        <v>0</v>
      </c>
      <c r="R19" s="243">
        <f t="shared" si="12"/>
        <v>0</v>
      </c>
      <c r="S19" s="1034"/>
      <c r="T19" s="908">
        <f t="shared" si="4"/>
        <v>0</v>
      </c>
      <c r="U19" s="908">
        <f t="shared" si="4"/>
        <v>0</v>
      </c>
      <c r="V19" s="908">
        <f t="shared" si="4"/>
        <v>0</v>
      </c>
      <c r="W19" s="908">
        <f t="shared" si="4"/>
        <v>0</v>
      </c>
      <c r="X19" s="908">
        <f t="shared" si="4"/>
        <v>0</v>
      </c>
      <c r="Y19" s="908">
        <f t="shared" si="4"/>
        <v>0</v>
      </c>
      <c r="Z19" s="908">
        <f t="shared" si="4"/>
        <v>0</v>
      </c>
      <c r="AA19" s="908">
        <f t="shared" si="4"/>
        <v>0</v>
      </c>
      <c r="AB19" s="908">
        <f t="shared" si="4"/>
        <v>0</v>
      </c>
      <c r="AC19" s="908">
        <f t="shared" si="4"/>
        <v>0</v>
      </c>
      <c r="AD19" s="908">
        <f t="shared" si="4"/>
        <v>0</v>
      </c>
      <c r="AE19" s="908">
        <f t="shared" si="4"/>
        <v>0</v>
      </c>
      <c r="AF19" s="3" t="s">
        <v>333</v>
      </c>
      <c r="AG19" s="86"/>
      <c r="AH19" s="86"/>
      <c r="AI19" s="86"/>
      <c r="AJ19" s="86"/>
      <c r="AK19" s="86"/>
      <c r="AL19" s="86"/>
    </row>
    <row r="20" spans="1:38" ht="24" customHeight="1">
      <c r="A20" s="1180"/>
      <c r="B20" s="73">
        <f>B19+1</f>
        <v>17</v>
      </c>
      <c r="C20" s="395"/>
      <c r="D20" s="396"/>
      <c r="E20" s="397"/>
      <c r="F20" s="596" t="s">
        <v>534</v>
      </c>
      <c r="G20" s="460"/>
      <c r="H20" s="1065">
        <f t="shared" si="13"/>
        <v>0</v>
      </c>
      <c r="I20" s="363">
        <f t="shared" si="12"/>
        <v>0</v>
      </c>
      <c r="J20" s="363">
        <f t="shared" si="12"/>
        <v>0</v>
      </c>
      <c r="K20" s="363">
        <f t="shared" si="12"/>
        <v>0</v>
      </c>
      <c r="L20" s="363">
        <f t="shared" si="12"/>
        <v>0</v>
      </c>
      <c r="M20" s="363">
        <f t="shared" si="12"/>
        <v>0</v>
      </c>
      <c r="N20" s="363">
        <f t="shared" si="12"/>
        <v>0</v>
      </c>
      <c r="O20" s="363">
        <f t="shared" si="12"/>
        <v>0</v>
      </c>
      <c r="P20" s="363">
        <f t="shared" si="12"/>
        <v>0</v>
      </c>
      <c r="Q20" s="363">
        <f t="shared" si="12"/>
        <v>0</v>
      </c>
      <c r="R20" s="363">
        <f t="shared" si="12"/>
        <v>0</v>
      </c>
      <c r="S20" s="1033"/>
      <c r="T20" s="908">
        <f t="shared" ref="T20:AE41" si="14">G20</f>
        <v>0</v>
      </c>
      <c r="U20" s="908">
        <f t="shared" si="14"/>
        <v>0</v>
      </c>
      <c r="V20" s="908">
        <f t="shared" si="14"/>
        <v>0</v>
      </c>
      <c r="W20" s="908">
        <f t="shared" si="14"/>
        <v>0</v>
      </c>
      <c r="X20" s="908">
        <f t="shared" si="14"/>
        <v>0</v>
      </c>
      <c r="Y20" s="908">
        <f t="shared" si="14"/>
        <v>0</v>
      </c>
      <c r="Z20" s="908">
        <f t="shared" si="14"/>
        <v>0</v>
      </c>
      <c r="AA20" s="908">
        <f t="shared" si="14"/>
        <v>0</v>
      </c>
      <c r="AB20" s="908">
        <f t="shared" si="14"/>
        <v>0</v>
      </c>
      <c r="AC20" s="908">
        <f t="shared" si="14"/>
        <v>0</v>
      </c>
      <c r="AD20" s="908">
        <f t="shared" si="14"/>
        <v>0</v>
      </c>
      <c r="AE20" s="908">
        <f t="shared" si="14"/>
        <v>0</v>
      </c>
      <c r="AF20" s="6" t="s">
        <v>338</v>
      </c>
      <c r="AG20" s="86"/>
      <c r="AH20" s="86"/>
      <c r="AI20" s="86"/>
      <c r="AJ20" s="86"/>
      <c r="AK20" s="86"/>
      <c r="AL20" s="86"/>
    </row>
    <row r="21" spans="1:38" ht="24" customHeight="1">
      <c r="A21" s="1180"/>
      <c r="B21" s="4">
        <f>B20+1</f>
        <v>18</v>
      </c>
      <c r="C21" s="395"/>
      <c r="D21" s="396"/>
      <c r="E21" s="397"/>
      <c r="F21" s="597" t="s">
        <v>204</v>
      </c>
      <c r="G21" s="463"/>
      <c r="H21" s="1065">
        <f t="shared" si="13"/>
        <v>0</v>
      </c>
      <c r="I21" s="246">
        <f t="shared" si="12"/>
        <v>0</v>
      </c>
      <c r="J21" s="246">
        <f t="shared" si="12"/>
        <v>0</v>
      </c>
      <c r="K21" s="246">
        <f t="shared" si="12"/>
        <v>0</v>
      </c>
      <c r="L21" s="246">
        <f t="shared" si="12"/>
        <v>0</v>
      </c>
      <c r="M21" s="246">
        <f t="shared" si="12"/>
        <v>0</v>
      </c>
      <c r="N21" s="246">
        <f t="shared" si="12"/>
        <v>0</v>
      </c>
      <c r="O21" s="246">
        <f t="shared" si="12"/>
        <v>0</v>
      </c>
      <c r="P21" s="246">
        <f t="shared" si="12"/>
        <v>0</v>
      </c>
      <c r="Q21" s="246">
        <f t="shared" si="12"/>
        <v>0</v>
      </c>
      <c r="R21" s="246">
        <f t="shared" si="12"/>
        <v>0</v>
      </c>
      <c r="S21" s="1035"/>
      <c r="T21" s="908">
        <f t="shared" si="14"/>
        <v>0</v>
      </c>
      <c r="U21" s="908">
        <f t="shared" si="14"/>
        <v>0</v>
      </c>
      <c r="V21" s="908">
        <f t="shared" si="14"/>
        <v>0</v>
      </c>
      <c r="W21" s="908">
        <f t="shared" si="14"/>
        <v>0</v>
      </c>
      <c r="X21" s="908">
        <f t="shared" si="14"/>
        <v>0</v>
      </c>
      <c r="Y21" s="908">
        <f t="shared" si="14"/>
        <v>0</v>
      </c>
      <c r="Z21" s="908">
        <f t="shared" si="14"/>
        <v>0</v>
      </c>
      <c r="AA21" s="908">
        <f t="shared" si="14"/>
        <v>0</v>
      </c>
      <c r="AB21" s="908">
        <f t="shared" si="14"/>
        <v>0</v>
      </c>
      <c r="AC21" s="908">
        <f t="shared" si="14"/>
        <v>0</v>
      </c>
      <c r="AD21" s="908">
        <f t="shared" si="14"/>
        <v>0</v>
      </c>
      <c r="AE21" s="908">
        <f t="shared" si="14"/>
        <v>0</v>
      </c>
      <c r="AF21" s="6" t="s">
        <v>337</v>
      </c>
      <c r="AG21" s="86"/>
      <c r="AH21" s="86"/>
      <c r="AI21" s="86"/>
      <c r="AJ21" s="86"/>
      <c r="AK21" s="86"/>
      <c r="AL21" s="86"/>
    </row>
    <row r="22" spans="1:38" ht="24" customHeight="1">
      <c r="A22" s="1180"/>
      <c r="B22" s="4">
        <f t="shared" si="2"/>
        <v>19</v>
      </c>
      <c r="C22" s="395"/>
      <c r="D22" s="396"/>
      <c r="E22" s="397"/>
      <c r="F22" s="11" t="s">
        <v>205</v>
      </c>
      <c r="G22" s="464"/>
      <c r="H22" s="247">
        <f>G22</f>
        <v>0</v>
      </c>
      <c r="I22" s="247">
        <f t="shared" si="12"/>
        <v>0</v>
      </c>
      <c r="J22" s="247">
        <f t="shared" si="12"/>
        <v>0</v>
      </c>
      <c r="K22" s="247">
        <f t="shared" si="12"/>
        <v>0</v>
      </c>
      <c r="L22" s="247">
        <f t="shared" si="12"/>
        <v>0</v>
      </c>
      <c r="M22" s="247">
        <f t="shared" si="12"/>
        <v>0</v>
      </c>
      <c r="N22" s="247">
        <f t="shared" si="12"/>
        <v>0</v>
      </c>
      <c r="O22" s="247">
        <f t="shared" si="12"/>
        <v>0</v>
      </c>
      <c r="P22" s="247">
        <f t="shared" si="12"/>
        <v>0</v>
      </c>
      <c r="Q22" s="247">
        <f t="shared" si="12"/>
        <v>0</v>
      </c>
      <c r="R22" s="247">
        <f t="shared" si="12"/>
        <v>0</v>
      </c>
      <c r="S22" s="1036"/>
      <c r="T22" s="908">
        <f t="shared" si="14"/>
        <v>0</v>
      </c>
      <c r="U22" s="908">
        <f t="shared" si="14"/>
        <v>0</v>
      </c>
      <c r="V22" s="908">
        <f t="shared" si="14"/>
        <v>0</v>
      </c>
      <c r="W22" s="908">
        <f t="shared" si="14"/>
        <v>0</v>
      </c>
      <c r="X22" s="908">
        <f t="shared" si="14"/>
        <v>0</v>
      </c>
      <c r="Y22" s="908">
        <f t="shared" si="14"/>
        <v>0</v>
      </c>
      <c r="Z22" s="908">
        <f t="shared" si="14"/>
        <v>0</v>
      </c>
      <c r="AA22" s="908">
        <f t="shared" si="14"/>
        <v>0</v>
      </c>
      <c r="AB22" s="908">
        <f t="shared" si="14"/>
        <v>0</v>
      </c>
      <c r="AC22" s="908">
        <f t="shared" si="14"/>
        <v>0</v>
      </c>
      <c r="AD22" s="908">
        <f t="shared" si="14"/>
        <v>0</v>
      </c>
      <c r="AE22" s="908">
        <f t="shared" si="14"/>
        <v>0</v>
      </c>
      <c r="AF22" s="6" t="s">
        <v>187</v>
      </c>
      <c r="AG22" s="86"/>
      <c r="AH22" s="86"/>
      <c r="AI22" s="86"/>
      <c r="AJ22" s="86"/>
      <c r="AK22" s="86"/>
      <c r="AL22" s="86"/>
    </row>
    <row r="23" spans="1:38" ht="14" customHeight="1">
      <c r="A23" s="1180"/>
      <c r="B23" s="4">
        <f t="shared" si="2"/>
        <v>20</v>
      </c>
      <c r="C23" s="391" t="s">
        <v>404</v>
      </c>
      <c r="D23" s="391"/>
      <c r="E23" s="391"/>
      <c r="F23" s="598" t="s">
        <v>683</v>
      </c>
      <c r="G23" s="465"/>
      <c r="H23" s="248">
        <f t="shared" ref="H23:R24" si="15">G23</f>
        <v>0</v>
      </c>
      <c r="I23" s="248">
        <f t="shared" si="15"/>
        <v>0</v>
      </c>
      <c r="J23" s="248">
        <f t="shared" si="15"/>
        <v>0</v>
      </c>
      <c r="K23" s="248">
        <f t="shared" si="15"/>
        <v>0</v>
      </c>
      <c r="L23" s="248">
        <f t="shared" si="15"/>
        <v>0</v>
      </c>
      <c r="M23" s="248">
        <f t="shared" si="15"/>
        <v>0</v>
      </c>
      <c r="N23" s="248">
        <f t="shared" si="15"/>
        <v>0</v>
      </c>
      <c r="O23" s="248">
        <f>N23</f>
        <v>0</v>
      </c>
      <c r="P23" s="248">
        <f t="shared" si="15"/>
        <v>0</v>
      </c>
      <c r="Q23" s="248">
        <f t="shared" si="15"/>
        <v>0</v>
      </c>
      <c r="R23" s="248">
        <f t="shared" si="15"/>
        <v>0</v>
      </c>
      <c r="S23" s="1037"/>
      <c r="T23" s="908">
        <f t="shared" si="14"/>
        <v>0</v>
      </c>
      <c r="U23" s="908">
        <f t="shared" si="14"/>
        <v>0</v>
      </c>
      <c r="V23" s="908">
        <f t="shared" si="14"/>
        <v>0</v>
      </c>
      <c r="W23" s="908">
        <f t="shared" si="14"/>
        <v>0</v>
      </c>
      <c r="X23" s="908">
        <f t="shared" si="14"/>
        <v>0</v>
      </c>
      <c r="Y23" s="908">
        <f t="shared" si="14"/>
        <v>0</v>
      </c>
      <c r="Z23" s="908">
        <f t="shared" si="14"/>
        <v>0</v>
      </c>
      <c r="AA23" s="908">
        <f t="shared" si="14"/>
        <v>0</v>
      </c>
      <c r="AB23" s="908">
        <f t="shared" si="14"/>
        <v>0</v>
      </c>
      <c r="AC23" s="908">
        <f t="shared" si="14"/>
        <v>0</v>
      </c>
      <c r="AD23" s="908">
        <f t="shared" si="14"/>
        <v>0</v>
      </c>
      <c r="AE23" s="908">
        <f t="shared" si="14"/>
        <v>0</v>
      </c>
      <c r="AF23" s="140" t="s">
        <v>484</v>
      </c>
      <c r="AG23" s="86"/>
      <c r="AH23" s="86"/>
      <c r="AI23" s="86"/>
      <c r="AJ23" s="86"/>
      <c r="AK23" s="86"/>
      <c r="AL23" s="86"/>
    </row>
    <row r="24" spans="1:38" ht="14" customHeight="1">
      <c r="A24" s="1180"/>
      <c r="B24" s="4">
        <f t="shared" si="2"/>
        <v>21</v>
      </c>
      <c r="C24" s="395"/>
      <c r="D24" s="396"/>
      <c r="E24" s="397"/>
      <c r="F24" s="599" t="s">
        <v>218</v>
      </c>
      <c r="G24" s="466">
        <v>2</v>
      </c>
      <c r="H24" s="144">
        <v>0</v>
      </c>
      <c r="I24" s="846">
        <v>5</v>
      </c>
      <c r="J24" s="144">
        <v>0</v>
      </c>
      <c r="K24" s="144">
        <v>0</v>
      </c>
      <c r="L24" s="144">
        <f t="shared" si="15"/>
        <v>0</v>
      </c>
      <c r="M24" s="144">
        <f t="shared" si="15"/>
        <v>0</v>
      </c>
      <c r="N24" s="144">
        <f t="shared" si="15"/>
        <v>0</v>
      </c>
      <c r="O24" s="144">
        <f>N24</f>
        <v>0</v>
      </c>
      <c r="P24" s="144">
        <v>0</v>
      </c>
      <c r="Q24" s="144">
        <v>0</v>
      </c>
      <c r="R24" s="846">
        <v>18</v>
      </c>
      <c r="S24" s="1038"/>
      <c r="T24" s="908">
        <f t="shared" si="14"/>
        <v>2</v>
      </c>
      <c r="U24" s="908">
        <f t="shared" si="14"/>
        <v>0</v>
      </c>
      <c r="V24" s="908">
        <f t="shared" si="14"/>
        <v>5</v>
      </c>
      <c r="W24" s="908">
        <f t="shared" si="14"/>
        <v>0</v>
      </c>
      <c r="X24" s="908">
        <f t="shared" si="14"/>
        <v>0</v>
      </c>
      <c r="Y24" s="908">
        <f t="shared" si="14"/>
        <v>0</v>
      </c>
      <c r="Z24" s="908">
        <f t="shared" si="14"/>
        <v>0</v>
      </c>
      <c r="AA24" s="908">
        <f t="shared" si="14"/>
        <v>0</v>
      </c>
      <c r="AB24" s="908">
        <f t="shared" si="14"/>
        <v>0</v>
      </c>
      <c r="AC24" s="908">
        <f t="shared" si="14"/>
        <v>0</v>
      </c>
      <c r="AD24" s="908">
        <f t="shared" si="14"/>
        <v>0</v>
      </c>
      <c r="AE24" s="908">
        <f t="shared" si="14"/>
        <v>18</v>
      </c>
      <c r="AF24" s="3" t="s">
        <v>609</v>
      </c>
      <c r="AG24" s="86"/>
      <c r="AH24" s="86"/>
      <c r="AI24" s="86"/>
      <c r="AJ24" s="86"/>
      <c r="AK24" s="86"/>
      <c r="AL24" s="86"/>
    </row>
    <row r="25" spans="1:38" ht="27" customHeight="1">
      <c r="A25" s="1180"/>
      <c r="B25" s="4">
        <f t="shared" si="2"/>
        <v>22</v>
      </c>
      <c r="C25" s="395"/>
      <c r="D25" s="396"/>
      <c r="E25" s="397"/>
      <c r="F25" s="600" t="s">
        <v>224</v>
      </c>
      <c r="G25" s="467"/>
      <c r="H25" s="201">
        <v>0</v>
      </c>
      <c r="I25" s="201">
        <v>0</v>
      </c>
      <c r="J25" s="201">
        <v>0</v>
      </c>
      <c r="K25" s="201">
        <v>0</v>
      </c>
      <c r="L25" s="201">
        <v>0</v>
      </c>
      <c r="M25" s="201">
        <v>0</v>
      </c>
      <c r="N25" s="201">
        <v>0</v>
      </c>
      <c r="O25" s="201">
        <v>0</v>
      </c>
      <c r="P25" s="201">
        <v>0</v>
      </c>
      <c r="Q25" s="201">
        <v>0</v>
      </c>
      <c r="R25" s="201">
        <v>0</v>
      </c>
      <c r="S25" s="1039"/>
      <c r="T25" s="908">
        <f t="shared" si="14"/>
        <v>0</v>
      </c>
      <c r="U25" s="908">
        <f t="shared" si="14"/>
        <v>0</v>
      </c>
      <c r="V25" s="908">
        <f t="shared" si="14"/>
        <v>0</v>
      </c>
      <c r="W25" s="908">
        <f t="shared" si="14"/>
        <v>0</v>
      </c>
      <c r="X25" s="908">
        <f t="shared" si="14"/>
        <v>0</v>
      </c>
      <c r="Y25" s="908">
        <f t="shared" si="14"/>
        <v>0</v>
      </c>
      <c r="Z25" s="908">
        <f t="shared" si="14"/>
        <v>0</v>
      </c>
      <c r="AA25" s="908">
        <f t="shared" si="14"/>
        <v>0</v>
      </c>
      <c r="AB25" s="908">
        <f t="shared" si="14"/>
        <v>0</v>
      </c>
      <c r="AC25" s="908">
        <f t="shared" si="14"/>
        <v>0</v>
      </c>
      <c r="AD25" s="908">
        <f t="shared" si="14"/>
        <v>0</v>
      </c>
      <c r="AE25" s="908">
        <f t="shared" si="14"/>
        <v>0</v>
      </c>
      <c r="AF25" s="3" t="str">
        <f>"Se pjecen ""Ferievejledning "&amp;MID($A$1,1,4)+1&amp;""""</f>
        <v>Se pjecen "Ferievejledning 2025"</v>
      </c>
      <c r="AG25" s="86"/>
      <c r="AH25" s="86"/>
      <c r="AI25" s="86"/>
      <c r="AJ25" s="86"/>
      <c r="AK25" s="86"/>
      <c r="AL25" s="86"/>
    </row>
    <row r="26" spans="1:38" ht="29" customHeight="1">
      <c r="A26" s="1180"/>
      <c r="B26" s="4">
        <f t="shared" si="2"/>
        <v>23</v>
      </c>
      <c r="C26" s="395"/>
      <c r="D26" s="396"/>
      <c r="E26" s="397"/>
      <c r="F26" s="852" t="s">
        <v>604</v>
      </c>
      <c r="G26" s="848"/>
      <c r="H26" s="849">
        <v>0</v>
      </c>
      <c r="I26" s="849">
        <v>0</v>
      </c>
      <c r="J26" s="849">
        <v>0</v>
      </c>
      <c r="K26" s="849">
        <v>0</v>
      </c>
      <c r="L26" s="849">
        <v>0</v>
      </c>
      <c r="M26" s="849">
        <v>0</v>
      </c>
      <c r="N26" s="849">
        <v>0</v>
      </c>
      <c r="O26" s="849">
        <v>0</v>
      </c>
      <c r="P26" s="849">
        <v>0</v>
      </c>
      <c r="Q26" s="849">
        <v>0</v>
      </c>
      <c r="R26" s="849">
        <v>0</v>
      </c>
      <c r="S26" s="1040"/>
      <c r="T26" s="908">
        <f t="shared" si="14"/>
        <v>0</v>
      </c>
      <c r="U26" s="908">
        <f t="shared" si="14"/>
        <v>0</v>
      </c>
      <c r="V26" s="908">
        <f t="shared" si="14"/>
        <v>0</v>
      </c>
      <c r="W26" s="908">
        <f t="shared" si="14"/>
        <v>0</v>
      </c>
      <c r="X26" s="908">
        <f t="shared" si="14"/>
        <v>0</v>
      </c>
      <c r="Y26" s="908">
        <f t="shared" si="14"/>
        <v>0</v>
      </c>
      <c r="Z26" s="908">
        <f t="shared" si="14"/>
        <v>0</v>
      </c>
      <c r="AA26" s="908">
        <f t="shared" si="14"/>
        <v>0</v>
      </c>
      <c r="AB26" s="908">
        <f t="shared" si="14"/>
        <v>0</v>
      </c>
      <c r="AC26" s="908">
        <f t="shared" si="14"/>
        <v>0</v>
      </c>
      <c r="AD26" s="908">
        <f t="shared" si="14"/>
        <v>0</v>
      </c>
      <c r="AE26" s="908">
        <f t="shared" si="14"/>
        <v>0</v>
      </c>
      <c r="AF26" s="142" t="s">
        <v>603</v>
      </c>
      <c r="AG26" s="86"/>
      <c r="AH26" s="86"/>
      <c r="AI26" s="86"/>
      <c r="AJ26" s="86"/>
      <c r="AK26" s="86"/>
      <c r="AL26" s="86"/>
    </row>
    <row r="27" spans="1:38" ht="27" customHeight="1">
      <c r="A27" s="1180"/>
      <c r="B27" s="4">
        <v>24</v>
      </c>
      <c r="C27" s="395"/>
      <c r="D27" s="396"/>
      <c r="E27" s="397"/>
      <c r="F27" s="852" t="s">
        <v>605</v>
      </c>
      <c r="G27" s="850"/>
      <c r="H27" s="851">
        <v>0</v>
      </c>
      <c r="I27" s="851">
        <v>0</v>
      </c>
      <c r="J27" s="851">
        <v>0</v>
      </c>
      <c r="K27" s="851">
        <v>0</v>
      </c>
      <c r="L27" s="851">
        <v>0</v>
      </c>
      <c r="M27" s="851">
        <v>0</v>
      </c>
      <c r="N27" s="851">
        <v>0</v>
      </c>
      <c r="O27" s="851">
        <v>0</v>
      </c>
      <c r="P27" s="851">
        <v>0</v>
      </c>
      <c r="Q27" s="851">
        <v>0</v>
      </c>
      <c r="R27" s="851">
        <v>0</v>
      </c>
      <c r="S27" s="1040"/>
      <c r="T27" s="908">
        <f t="shared" si="14"/>
        <v>0</v>
      </c>
      <c r="U27" s="908">
        <f t="shared" si="14"/>
        <v>0</v>
      </c>
      <c r="V27" s="908">
        <f t="shared" si="14"/>
        <v>0</v>
      </c>
      <c r="W27" s="908">
        <f t="shared" si="14"/>
        <v>0</v>
      </c>
      <c r="X27" s="908">
        <f t="shared" si="14"/>
        <v>0</v>
      </c>
      <c r="Y27" s="908">
        <f t="shared" si="14"/>
        <v>0</v>
      </c>
      <c r="Z27" s="908">
        <f t="shared" si="14"/>
        <v>0</v>
      </c>
      <c r="AA27" s="908">
        <f t="shared" si="14"/>
        <v>0</v>
      </c>
      <c r="AB27" s="908">
        <f t="shared" si="14"/>
        <v>0</v>
      </c>
      <c r="AC27" s="908">
        <f t="shared" si="14"/>
        <v>0</v>
      </c>
      <c r="AD27" s="908">
        <f t="shared" si="14"/>
        <v>0</v>
      </c>
      <c r="AE27" s="908">
        <f t="shared" si="14"/>
        <v>0</v>
      </c>
      <c r="AF27" s="142"/>
      <c r="AG27" s="86"/>
      <c r="AH27" s="86"/>
      <c r="AI27" s="86"/>
      <c r="AJ27" s="86"/>
      <c r="AK27" s="86"/>
      <c r="AL27" s="86"/>
    </row>
    <row r="28" spans="1:38" ht="16" customHeight="1">
      <c r="A28" s="1180"/>
      <c r="B28" s="4">
        <v>25</v>
      </c>
      <c r="C28" s="392"/>
      <c r="D28" s="393"/>
      <c r="E28" s="394"/>
      <c r="F28" s="601" t="s">
        <v>198</v>
      </c>
      <c r="G28" s="468"/>
      <c r="H28" s="121"/>
      <c r="I28" s="121"/>
      <c r="J28" s="121"/>
      <c r="K28" s="121"/>
      <c r="L28" s="121"/>
      <c r="M28" s="121"/>
      <c r="N28" s="121"/>
      <c r="O28" s="121"/>
      <c r="P28" s="121"/>
      <c r="Q28" s="121"/>
      <c r="R28" s="121"/>
      <c r="S28" s="203"/>
      <c r="T28" s="908">
        <f t="shared" si="14"/>
        <v>0</v>
      </c>
      <c r="U28" s="908">
        <f t="shared" si="14"/>
        <v>0</v>
      </c>
      <c r="V28" s="908">
        <f t="shared" si="14"/>
        <v>0</v>
      </c>
      <c r="W28" s="908">
        <f t="shared" si="14"/>
        <v>0</v>
      </c>
      <c r="X28" s="908">
        <f t="shared" si="14"/>
        <v>0</v>
      </c>
      <c r="Y28" s="908">
        <f t="shared" si="14"/>
        <v>0</v>
      </c>
      <c r="Z28" s="908">
        <f t="shared" si="14"/>
        <v>0</v>
      </c>
      <c r="AA28" s="908">
        <f t="shared" si="14"/>
        <v>0</v>
      </c>
      <c r="AB28" s="908">
        <f t="shared" si="14"/>
        <v>0</v>
      </c>
      <c r="AC28" s="908">
        <f t="shared" si="14"/>
        <v>0</v>
      </c>
      <c r="AD28" s="908">
        <f t="shared" si="14"/>
        <v>0</v>
      </c>
      <c r="AE28" s="908">
        <f t="shared" si="14"/>
        <v>0</v>
      </c>
      <c r="AF28" s="140" t="s">
        <v>564</v>
      </c>
      <c r="AG28" s="86"/>
      <c r="AH28" s="86"/>
      <c r="AI28" s="86"/>
      <c r="AJ28" s="86"/>
      <c r="AK28" s="86"/>
      <c r="AL28" s="86"/>
    </row>
    <row r="29" spans="1:38" ht="14" customHeight="1" thickBot="1">
      <c r="A29" s="1180"/>
      <c r="B29" s="4">
        <f t="shared" si="2"/>
        <v>26</v>
      </c>
      <c r="C29" s="399"/>
      <c r="D29" s="400"/>
      <c r="E29" s="401"/>
      <c r="F29" s="602" t="s">
        <v>199</v>
      </c>
      <c r="G29" s="469"/>
      <c r="H29" s="251">
        <f>G29</f>
        <v>0</v>
      </c>
      <c r="I29" s="251">
        <f t="shared" ref="I29:R30" si="16">H29</f>
        <v>0</v>
      </c>
      <c r="J29" s="251">
        <f t="shared" si="16"/>
        <v>0</v>
      </c>
      <c r="K29" s="251">
        <f t="shared" si="16"/>
        <v>0</v>
      </c>
      <c r="L29" s="333"/>
      <c r="M29" s="251">
        <f t="shared" si="16"/>
        <v>0</v>
      </c>
      <c r="N29" s="251">
        <f t="shared" si="16"/>
        <v>0</v>
      </c>
      <c r="O29" s="251">
        <f t="shared" si="16"/>
        <v>0</v>
      </c>
      <c r="P29" s="251">
        <f t="shared" si="16"/>
        <v>0</v>
      </c>
      <c r="Q29" s="251">
        <f t="shared" si="16"/>
        <v>0</v>
      </c>
      <c r="R29" s="251">
        <f t="shared" si="16"/>
        <v>0</v>
      </c>
      <c r="S29" s="1041"/>
      <c r="T29" s="908">
        <f t="shared" si="14"/>
        <v>0</v>
      </c>
      <c r="U29" s="908">
        <f t="shared" si="14"/>
        <v>0</v>
      </c>
      <c r="V29" s="908">
        <f t="shared" si="14"/>
        <v>0</v>
      </c>
      <c r="W29" s="908">
        <f t="shared" si="14"/>
        <v>0</v>
      </c>
      <c r="X29" s="908">
        <f t="shared" si="14"/>
        <v>0</v>
      </c>
      <c r="Y29" s="908">
        <f t="shared" si="14"/>
        <v>0</v>
      </c>
      <c r="Z29" s="908">
        <f t="shared" si="14"/>
        <v>0</v>
      </c>
      <c r="AA29" s="908">
        <f t="shared" si="14"/>
        <v>0</v>
      </c>
      <c r="AB29" s="908">
        <f t="shared" si="14"/>
        <v>0</v>
      </c>
      <c r="AC29" s="908">
        <f t="shared" si="14"/>
        <v>0</v>
      </c>
      <c r="AD29" s="908">
        <f t="shared" si="14"/>
        <v>0</v>
      </c>
      <c r="AE29" s="908">
        <f t="shared" si="14"/>
        <v>0</v>
      </c>
      <c r="AF29" s="3" t="s">
        <v>17</v>
      </c>
      <c r="AG29" s="86"/>
      <c r="AH29" s="86"/>
      <c r="AI29" s="86"/>
      <c r="AJ29" s="86"/>
      <c r="AK29" s="86"/>
      <c r="AL29" s="86"/>
    </row>
    <row r="30" spans="1:38" ht="14" customHeight="1">
      <c r="A30" s="1180"/>
      <c r="B30" s="398">
        <f t="shared" si="2"/>
        <v>27</v>
      </c>
      <c r="C30" s="1192" t="s">
        <v>412</v>
      </c>
      <c r="D30" s="405">
        <f>LEFT($A$1,4)+1</f>
        <v>2025</v>
      </c>
      <c r="E30" s="405">
        <f>LEFT($A$1,4)+2</f>
        <v>2026</v>
      </c>
      <c r="F30" s="601" t="s">
        <v>200</v>
      </c>
      <c r="G30" s="470"/>
      <c r="H30" s="252">
        <f>G30</f>
        <v>0</v>
      </c>
      <c r="I30" s="252">
        <f t="shared" si="16"/>
        <v>0</v>
      </c>
      <c r="J30" s="252">
        <f t="shared" si="16"/>
        <v>0</v>
      </c>
      <c r="K30" s="252">
        <f t="shared" si="16"/>
        <v>0</v>
      </c>
      <c r="L30" s="334"/>
      <c r="M30" s="252">
        <f t="shared" si="16"/>
        <v>0</v>
      </c>
      <c r="N30" s="252">
        <f t="shared" si="16"/>
        <v>0</v>
      </c>
      <c r="O30" s="252">
        <f t="shared" si="16"/>
        <v>0</v>
      </c>
      <c r="P30" s="252">
        <f t="shared" si="16"/>
        <v>0</v>
      </c>
      <c r="Q30" s="252">
        <f t="shared" si="16"/>
        <v>0</v>
      </c>
      <c r="R30" s="252">
        <f t="shared" si="16"/>
        <v>0</v>
      </c>
      <c r="S30" s="1042"/>
      <c r="T30" s="908">
        <f t="shared" si="14"/>
        <v>0</v>
      </c>
      <c r="U30" s="908">
        <f t="shared" si="14"/>
        <v>0</v>
      </c>
      <c r="V30" s="908">
        <f t="shared" si="14"/>
        <v>0</v>
      </c>
      <c r="W30" s="908">
        <f t="shared" si="14"/>
        <v>0</v>
      </c>
      <c r="X30" s="908">
        <f t="shared" si="14"/>
        <v>0</v>
      </c>
      <c r="Y30" s="908">
        <f t="shared" si="14"/>
        <v>0</v>
      </c>
      <c r="Z30" s="908">
        <f t="shared" si="14"/>
        <v>0</v>
      </c>
      <c r="AA30" s="908">
        <f t="shared" si="14"/>
        <v>0</v>
      </c>
      <c r="AB30" s="908">
        <f t="shared" si="14"/>
        <v>0</v>
      </c>
      <c r="AC30" s="908">
        <f t="shared" si="14"/>
        <v>0</v>
      </c>
      <c r="AD30" s="908">
        <f t="shared" si="14"/>
        <v>0</v>
      </c>
      <c r="AE30" s="908">
        <f t="shared" si="14"/>
        <v>0</v>
      </c>
      <c r="AF30" s="140"/>
      <c r="AG30" s="86"/>
      <c r="AH30" s="86"/>
      <c r="AI30" s="86"/>
      <c r="AJ30" s="86"/>
      <c r="AK30" s="86"/>
      <c r="AL30" s="86"/>
    </row>
    <row r="31" spans="1:38" ht="12" customHeight="1">
      <c r="A31" s="1180"/>
      <c r="B31" s="398">
        <f t="shared" si="2"/>
        <v>28</v>
      </c>
      <c r="C31" s="1193"/>
      <c r="D31" s="456">
        <v>2.23</v>
      </c>
      <c r="E31" s="406">
        <v>0</v>
      </c>
      <c r="F31" s="603" t="s">
        <v>410</v>
      </c>
      <c r="G31" s="471"/>
      <c r="H31" s="407"/>
      <c r="I31" s="407"/>
      <c r="J31" s="407"/>
      <c r="K31" s="407"/>
      <c r="L31" s="407"/>
      <c r="M31" s="407"/>
      <c r="N31" s="407"/>
      <c r="O31" s="407"/>
      <c r="P31" s="407"/>
      <c r="Q31" s="407"/>
      <c r="R31" s="407"/>
      <c r="S31" s="1043"/>
      <c r="T31" s="908">
        <f t="shared" si="14"/>
        <v>0</v>
      </c>
      <c r="U31" s="908">
        <f t="shared" si="14"/>
        <v>0</v>
      </c>
      <c r="V31" s="908">
        <f t="shared" si="14"/>
        <v>0</v>
      </c>
      <c r="W31" s="908">
        <f t="shared" si="14"/>
        <v>0</v>
      </c>
      <c r="X31" s="908">
        <f t="shared" si="14"/>
        <v>0</v>
      </c>
      <c r="Y31" s="908">
        <f t="shared" si="14"/>
        <v>0</v>
      </c>
      <c r="Z31" s="908">
        <f t="shared" si="14"/>
        <v>0</v>
      </c>
      <c r="AA31" s="908">
        <f t="shared" si="14"/>
        <v>0</v>
      </c>
      <c r="AB31" s="908">
        <f t="shared" si="14"/>
        <v>0</v>
      </c>
      <c r="AC31" s="908">
        <f t="shared" si="14"/>
        <v>0</v>
      </c>
      <c r="AD31" s="908">
        <f t="shared" si="14"/>
        <v>0</v>
      </c>
      <c r="AE31" s="908">
        <f t="shared" si="14"/>
        <v>0</v>
      </c>
      <c r="AF31" s="6" t="s">
        <v>266</v>
      </c>
      <c r="AG31" s="86"/>
      <c r="AH31" s="86"/>
      <c r="AI31" s="86"/>
      <c r="AJ31" s="86"/>
      <c r="AK31" s="86"/>
      <c r="AL31" s="86"/>
    </row>
    <row r="32" spans="1:38" ht="12" customHeight="1" thickBot="1">
      <c r="A32" s="1180"/>
      <c r="B32" s="398">
        <f t="shared" si="2"/>
        <v>29</v>
      </c>
      <c r="C32" s="1194"/>
      <c r="D32" s="483">
        <v>3.81</v>
      </c>
      <c r="E32" s="482">
        <v>0</v>
      </c>
      <c r="F32" s="604" t="s">
        <v>411</v>
      </c>
      <c r="G32" s="472"/>
      <c r="H32" s="408"/>
      <c r="I32" s="408"/>
      <c r="J32" s="408"/>
      <c r="K32" s="408"/>
      <c r="L32" s="408"/>
      <c r="M32" s="408"/>
      <c r="N32" s="408"/>
      <c r="O32" s="408"/>
      <c r="P32" s="408"/>
      <c r="Q32" s="408"/>
      <c r="R32" s="408"/>
      <c r="S32" s="1044"/>
      <c r="T32" s="908">
        <f t="shared" si="14"/>
        <v>0</v>
      </c>
      <c r="U32" s="908">
        <f t="shared" si="14"/>
        <v>0</v>
      </c>
      <c r="V32" s="908">
        <f t="shared" si="14"/>
        <v>0</v>
      </c>
      <c r="W32" s="908">
        <f t="shared" si="14"/>
        <v>0</v>
      </c>
      <c r="X32" s="908">
        <f t="shared" si="14"/>
        <v>0</v>
      </c>
      <c r="Y32" s="908">
        <f t="shared" si="14"/>
        <v>0</v>
      </c>
      <c r="Z32" s="908">
        <f t="shared" si="14"/>
        <v>0</v>
      </c>
      <c r="AA32" s="908">
        <f t="shared" si="14"/>
        <v>0</v>
      </c>
      <c r="AB32" s="908">
        <f t="shared" si="14"/>
        <v>0</v>
      </c>
      <c r="AC32" s="908">
        <f t="shared" si="14"/>
        <v>0</v>
      </c>
      <c r="AD32" s="908">
        <f t="shared" si="14"/>
        <v>0</v>
      </c>
      <c r="AE32" s="908">
        <f t="shared" si="14"/>
        <v>0</v>
      </c>
      <c r="AF32" s="6" t="s">
        <v>266</v>
      </c>
      <c r="AG32" s="86"/>
      <c r="AH32" s="86"/>
      <c r="AI32" s="86"/>
      <c r="AJ32" s="86"/>
      <c r="AK32" s="86"/>
      <c r="AL32" s="86"/>
    </row>
    <row r="33" spans="1:38" ht="12" customHeight="1">
      <c r="A33" s="1180"/>
      <c r="B33" s="4">
        <f t="shared" si="2"/>
        <v>30</v>
      </c>
      <c r="C33" s="402"/>
      <c r="D33" s="403"/>
      <c r="E33" s="404"/>
      <c r="F33" s="486" t="s">
        <v>413</v>
      </c>
      <c r="G33" s="473"/>
      <c r="H33" s="229"/>
      <c r="I33" s="229"/>
      <c r="J33" s="229"/>
      <c r="K33" s="229"/>
      <c r="L33" s="229"/>
      <c r="M33" s="229"/>
      <c r="N33" s="229"/>
      <c r="O33" s="229"/>
      <c r="P33" s="229"/>
      <c r="Q33" s="229"/>
      <c r="R33" s="229"/>
      <c r="S33" s="1045"/>
      <c r="T33" s="908">
        <f t="shared" si="14"/>
        <v>0</v>
      </c>
      <c r="U33" s="908">
        <f t="shared" si="14"/>
        <v>0</v>
      </c>
      <c r="V33" s="908">
        <f t="shared" si="14"/>
        <v>0</v>
      </c>
      <c r="W33" s="908">
        <f t="shared" si="14"/>
        <v>0</v>
      </c>
      <c r="X33" s="908">
        <f t="shared" si="14"/>
        <v>0</v>
      </c>
      <c r="Y33" s="908">
        <f t="shared" si="14"/>
        <v>0</v>
      </c>
      <c r="Z33" s="908">
        <f t="shared" si="14"/>
        <v>0</v>
      </c>
      <c r="AA33" s="908">
        <f t="shared" si="14"/>
        <v>0</v>
      </c>
      <c r="AB33" s="908">
        <f t="shared" si="14"/>
        <v>0</v>
      </c>
      <c r="AC33" s="908">
        <f t="shared" si="14"/>
        <v>0</v>
      </c>
      <c r="AD33" s="908">
        <f t="shared" si="14"/>
        <v>0</v>
      </c>
      <c r="AE33" s="908">
        <f t="shared" si="14"/>
        <v>0</v>
      </c>
      <c r="AF33" s="6" t="s">
        <v>266</v>
      </c>
      <c r="AG33" s="86"/>
      <c r="AH33" s="86"/>
      <c r="AI33" s="86"/>
      <c r="AJ33" s="86"/>
      <c r="AK33" s="86"/>
      <c r="AL33" s="86"/>
    </row>
    <row r="34" spans="1:38" ht="12" customHeight="1">
      <c r="A34" s="1180"/>
      <c r="B34" s="4">
        <f t="shared" si="2"/>
        <v>31</v>
      </c>
      <c r="C34" s="388"/>
      <c r="D34" s="389"/>
      <c r="E34" s="390"/>
      <c r="F34" s="486" t="s">
        <v>128</v>
      </c>
      <c r="G34" s="473"/>
      <c r="H34" s="229"/>
      <c r="I34" s="229"/>
      <c r="J34" s="229"/>
      <c r="K34" s="229"/>
      <c r="L34" s="229"/>
      <c r="M34" s="229"/>
      <c r="N34" s="229"/>
      <c r="O34" s="229"/>
      <c r="P34" s="229"/>
      <c r="Q34" s="229"/>
      <c r="R34" s="229"/>
      <c r="S34" s="1045"/>
      <c r="T34" s="908">
        <f t="shared" si="14"/>
        <v>0</v>
      </c>
      <c r="U34" s="908">
        <f t="shared" si="14"/>
        <v>0</v>
      </c>
      <c r="V34" s="908">
        <f t="shared" si="14"/>
        <v>0</v>
      </c>
      <c r="W34" s="908">
        <f t="shared" si="14"/>
        <v>0</v>
      </c>
      <c r="X34" s="908">
        <f t="shared" si="14"/>
        <v>0</v>
      </c>
      <c r="Y34" s="908">
        <f t="shared" si="14"/>
        <v>0</v>
      </c>
      <c r="Z34" s="908">
        <f t="shared" si="14"/>
        <v>0</v>
      </c>
      <c r="AA34" s="908">
        <f t="shared" si="14"/>
        <v>0</v>
      </c>
      <c r="AB34" s="908">
        <f t="shared" si="14"/>
        <v>0</v>
      </c>
      <c r="AC34" s="908">
        <f t="shared" si="14"/>
        <v>0</v>
      </c>
      <c r="AD34" s="908">
        <f t="shared" si="14"/>
        <v>0</v>
      </c>
      <c r="AE34" s="908">
        <f t="shared" si="14"/>
        <v>0</v>
      </c>
      <c r="AF34" s="6" t="s">
        <v>266</v>
      </c>
      <c r="AG34" s="86"/>
      <c r="AH34" s="86"/>
      <c r="AI34" s="86"/>
      <c r="AJ34" s="86"/>
      <c r="AK34" s="86"/>
      <c r="AL34" s="86"/>
    </row>
    <row r="35" spans="1:38" ht="12" customHeight="1">
      <c r="A35" s="1180"/>
      <c r="B35" s="4">
        <f t="shared" si="2"/>
        <v>32</v>
      </c>
      <c r="C35" s="388"/>
      <c r="D35" s="389"/>
      <c r="E35" s="390"/>
      <c r="F35" s="605" t="s">
        <v>685</v>
      </c>
      <c r="G35" s="862"/>
      <c r="H35" s="229"/>
      <c r="I35" s="229"/>
      <c r="J35" s="229"/>
      <c r="K35" s="229"/>
      <c r="L35" s="229"/>
      <c r="M35" s="229"/>
      <c r="N35" s="229"/>
      <c r="O35" s="229"/>
      <c r="P35" s="229"/>
      <c r="Q35" s="229"/>
      <c r="R35" s="229"/>
      <c r="S35" s="1045"/>
      <c r="T35" s="908">
        <f t="shared" si="14"/>
        <v>0</v>
      </c>
      <c r="U35" s="908">
        <f t="shared" si="14"/>
        <v>0</v>
      </c>
      <c r="V35" s="908">
        <f t="shared" si="14"/>
        <v>0</v>
      </c>
      <c r="W35" s="908">
        <f t="shared" si="14"/>
        <v>0</v>
      </c>
      <c r="X35" s="908">
        <f t="shared" si="14"/>
        <v>0</v>
      </c>
      <c r="Y35" s="908">
        <f t="shared" si="14"/>
        <v>0</v>
      </c>
      <c r="Z35" s="908">
        <f t="shared" si="14"/>
        <v>0</v>
      </c>
      <c r="AA35" s="908">
        <f t="shared" si="14"/>
        <v>0</v>
      </c>
      <c r="AB35" s="908">
        <f t="shared" si="14"/>
        <v>0</v>
      </c>
      <c r="AC35" s="908">
        <f t="shared" si="14"/>
        <v>0</v>
      </c>
      <c r="AD35" s="908">
        <f t="shared" si="14"/>
        <v>0</v>
      </c>
      <c r="AE35" s="908">
        <f t="shared" si="14"/>
        <v>0</v>
      </c>
      <c r="AF35" s="3" t="s">
        <v>266</v>
      </c>
      <c r="AG35" s="86"/>
      <c r="AH35" s="86"/>
      <c r="AI35" s="86"/>
      <c r="AJ35" s="86"/>
      <c r="AK35" s="86"/>
      <c r="AL35" s="86"/>
    </row>
    <row r="36" spans="1:38" ht="26" customHeight="1">
      <c r="A36" s="1180"/>
      <c r="B36" s="4">
        <f t="shared" si="2"/>
        <v>33</v>
      </c>
      <c r="C36" s="388"/>
      <c r="D36" s="389"/>
      <c r="E36" s="390"/>
      <c r="F36" s="898" t="s">
        <v>636</v>
      </c>
      <c r="G36" s="862"/>
      <c r="H36" s="229"/>
      <c r="I36" s="229"/>
      <c r="J36" s="229"/>
      <c r="K36" s="229"/>
      <c r="L36" s="229"/>
      <c r="M36" s="229"/>
      <c r="N36" s="229"/>
      <c r="O36" s="229"/>
      <c r="P36" s="229"/>
      <c r="Q36" s="229"/>
      <c r="R36" s="229"/>
      <c r="S36" s="1045"/>
      <c r="T36" s="908">
        <f t="shared" si="14"/>
        <v>0</v>
      </c>
      <c r="U36" s="908">
        <f t="shared" si="14"/>
        <v>0</v>
      </c>
      <c r="V36" s="908">
        <f t="shared" si="14"/>
        <v>0</v>
      </c>
      <c r="W36" s="908">
        <f t="shared" si="14"/>
        <v>0</v>
      </c>
      <c r="X36" s="908">
        <f t="shared" si="14"/>
        <v>0</v>
      </c>
      <c r="Y36" s="908">
        <f t="shared" si="14"/>
        <v>0</v>
      </c>
      <c r="Z36" s="908">
        <f t="shared" si="14"/>
        <v>0</v>
      </c>
      <c r="AA36" s="908">
        <f t="shared" si="14"/>
        <v>0</v>
      </c>
      <c r="AB36" s="908">
        <f t="shared" si="14"/>
        <v>0</v>
      </c>
      <c r="AC36" s="908">
        <f t="shared" si="14"/>
        <v>0</v>
      </c>
      <c r="AD36" s="908">
        <f t="shared" si="14"/>
        <v>0</v>
      </c>
      <c r="AE36" s="908">
        <f t="shared" si="14"/>
        <v>0</v>
      </c>
      <c r="AG36" s="86"/>
      <c r="AH36" s="86"/>
      <c r="AI36" s="86"/>
      <c r="AJ36" s="86"/>
      <c r="AK36" s="86"/>
      <c r="AL36" s="86"/>
    </row>
    <row r="37" spans="1:38" ht="26" customHeight="1">
      <c r="A37" s="1180"/>
      <c r="B37" s="4">
        <f t="shared" si="2"/>
        <v>34</v>
      </c>
      <c r="C37" s="388"/>
      <c r="D37" s="389"/>
      <c r="E37" s="390"/>
      <c r="F37" s="898" t="s">
        <v>638</v>
      </c>
      <c r="G37" s="862"/>
      <c r="H37" s="229"/>
      <c r="I37" s="229"/>
      <c r="J37" s="229"/>
      <c r="K37" s="229"/>
      <c r="L37" s="229"/>
      <c r="M37" s="229"/>
      <c r="N37" s="229"/>
      <c r="O37" s="229"/>
      <c r="P37" s="229"/>
      <c r="Q37" s="229"/>
      <c r="R37" s="229"/>
      <c r="S37" s="1045"/>
      <c r="T37" s="908">
        <f t="shared" si="14"/>
        <v>0</v>
      </c>
      <c r="U37" s="908">
        <f t="shared" si="14"/>
        <v>0</v>
      </c>
      <c r="V37" s="908">
        <f t="shared" si="14"/>
        <v>0</v>
      </c>
      <c r="W37" s="908">
        <f t="shared" si="14"/>
        <v>0</v>
      </c>
      <c r="X37" s="908">
        <f t="shared" si="14"/>
        <v>0</v>
      </c>
      <c r="Y37" s="908">
        <f t="shared" si="14"/>
        <v>0</v>
      </c>
      <c r="Z37" s="908">
        <f t="shared" si="14"/>
        <v>0</v>
      </c>
      <c r="AA37" s="908">
        <f t="shared" si="14"/>
        <v>0</v>
      </c>
      <c r="AB37" s="908">
        <f t="shared" si="14"/>
        <v>0</v>
      </c>
      <c r="AC37" s="908">
        <f t="shared" si="14"/>
        <v>0</v>
      </c>
      <c r="AD37" s="908">
        <f t="shared" si="14"/>
        <v>0</v>
      </c>
      <c r="AE37" s="908">
        <f t="shared" si="14"/>
        <v>0</v>
      </c>
      <c r="AG37" s="86"/>
      <c r="AH37" s="86"/>
      <c r="AI37" s="86"/>
      <c r="AJ37" s="86"/>
      <c r="AK37" s="86"/>
      <c r="AL37" s="86"/>
    </row>
    <row r="38" spans="1:38" ht="12" customHeight="1">
      <c r="A38" s="1180"/>
      <c r="B38" s="4">
        <f t="shared" si="2"/>
        <v>35</v>
      </c>
      <c r="C38" s="388"/>
      <c r="D38" s="389"/>
      <c r="E38" s="390"/>
      <c r="F38" s="605" t="s">
        <v>648</v>
      </c>
      <c r="G38" s="473"/>
      <c r="H38" s="229"/>
      <c r="I38" s="229"/>
      <c r="J38" s="229"/>
      <c r="K38" s="229"/>
      <c r="L38" s="229"/>
      <c r="M38" s="229"/>
      <c r="N38" s="229"/>
      <c r="O38" s="229"/>
      <c r="P38" s="229"/>
      <c r="Q38" s="229"/>
      <c r="R38" s="229"/>
      <c r="S38" s="1045"/>
      <c r="T38" s="908">
        <f t="shared" si="14"/>
        <v>0</v>
      </c>
      <c r="U38" s="908">
        <f t="shared" si="14"/>
        <v>0</v>
      </c>
      <c r="V38" s="908">
        <f t="shared" si="14"/>
        <v>0</v>
      </c>
      <c r="W38" s="908">
        <f t="shared" si="14"/>
        <v>0</v>
      </c>
      <c r="X38" s="908">
        <f t="shared" si="14"/>
        <v>0</v>
      </c>
      <c r="Y38" s="908">
        <f t="shared" si="14"/>
        <v>0</v>
      </c>
      <c r="Z38" s="908">
        <f t="shared" si="14"/>
        <v>0</v>
      </c>
      <c r="AA38" s="908">
        <f t="shared" si="14"/>
        <v>0</v>
      </c>
      <c r="AB38" s="908">
        <f t="shared" si="14"/>
        <v>0</v>
      </c>
      <c r="AC38" s="908">
        <f t="shared" si="14"/>
        <v>0</v>
      </c>
      <c r="AD38" s="908">
        <f t="shared" si="14"/>
        <v>0</v>
      </c>
      <c r="AE38" s="908">
        <f t="shared" si="14"/>
        <v>0</v>
      </c>
      <c r="AF38" s="6" t="s">
        <v>485</v>
      </c>
      <c r="AG38" s="86"/>
      <c r="AH38" s="86"/>
      <c r="AI38" s="86"/>
      <c r="AJ38" s="86"/>
      <c r="AK38" s="86"/>
      <c r="AL38" s="86"/>
    </row>
    <row r="39" spans="1:38" ht="12" customHeight="1">
      <c r="A39" s="1180"/>
      <c r="B39" s="4">
        <f t="shared" si="2"/>
        <v>36</v>
      </c>
      <c r="C39" s="388"/>
      <c r="D39" s="389"/>
      <c r="E39" s="390"/>
      <c r="F39" s="605" t="s">
        <v>649</v>
      </c>
      <c r="G39" s="473"/>
      <c r="H39" s="229"/>
      <c r="I39" s="229"/>
      <c r="J39" s="229"/>
      <c r="K39" s="229"/>
      <c r="L39" s="229"/>
      <c r="M39" s="229"/>
      <c r="N39" s="229"/>
      <c r="O39" s="229"/>
      <c r="P39" s="229"/>
      <c r="Q39" s="229"/>
      <c r="R39" s="229"/>
      <c r="S39" s="1045"/>
      <c r="T39" s="908">
        <f t="shared" si="14"/>
        <v>0</v>
      </c>
      <c r="U39" s="908">
        <f t="shared" si="14"/>
        <v>0</v>
      </c>
      <c r="V39" s="908">
        <f t="shared" si="14"/>
        <v>0</v>
      </c>
      <c r="W39" s="908">
        <f t="shared" si="14"/>
        <v>0</v>
      </c>
      <c r="X39" s="908">
        <f t="shared" si="14"/>
        <v>0</v>
      </c>
      <c r="Y39" s="908">
        <f t="shared" si="14"/>
        <v>0</v>
      </c>
      <c r="Z39" s="908">
        <f t="shared" si="14"/>
        <v>0</v>
      </c>
      <c r="AA39" s="908">
        <f t="shared" si="14"/>
        <v>0</v>
      </c>
      <c r="AB39" s="908">
        <f t="shared" si="14"/>
        <v>0</v>
      </c>
      <c r="AC39" s="908">
        <f t="shared" si="14"/>
        <v>0</v>
      </c>
      <c r="AD39" s="908">
        <f t="shared" si="14"/>
        <v>0</v>
      </c>
      <c r="AE39" s="908">
        <f t="shared" si="14"/>
        <v>0</v>
      </c>
      <c r="AF39" s="6" t="s">
        <v>476</v>
      </c>
      <c r="AG39" s="86"/>
      <c r="AH39" s="86"/>
      <c r="AI39" s="86"/>
      <c r="AJ39" s="86"/>
      <c r="AK39" s="86"/>
      <c r="AL39" s="86"/>
    </row>
    <row r="40" spans="1:38" ht="12" customHeight="1">
      <c r="A40" s="1180"/>
      <c r="B40" s="4">
        <f t="shared" si="2"/>
        <v>37</v>
      </c>
      <c r="C40" s="388"/>
      <c r="D40" s="389"/>
      <c r="E40" s="390"/>
      <c r="F40" s="605" t="s">
        <v>475</v>
      </c>
      <c r="G40" s="473"/>
      <c r="H40" s="229"/>
      <c r="I40" s="229"/>
      <c r="J40" s="229"/>
      <c r="K40" s="229"/>
      <c r="L40" s="229"/>
      <c r="M40" s="229"/>
      <c r="N40" s="229"/>
      <c r="O40" s="229"/>
      <c r="P40" s="229"/>
      <c r="Q40" s="229"/>
      <c r="R40" s="229"/>
      <c r="S40" s="1045"/>
      <c r="T40" s="908">
        <f t="shared" si="14"/>
        <v>0</v>
      </c>
      <c r="U40" s="908">
        <f t="shared" si="14"/>
        <v>0</v>
      </c>
      <c r="V40" s="908">
        <f t="shared" si="14"/>
        <v>0</v>
      </c>
      <c r="W40" s="908">
        <f t="shared" si="14"/>
        <v>0</v>
      </c>
      <c r="X40" s="908">
        <f t="shared" si="14"/>
        <v>0</v>
      </c>
      <c r="Y40" s="908">
        <f t="shared" si="14"/>
        <v>0</v>
      </c>
      <c r="Z40" s="908">
        <f t="shared" si="14"/>
        <v>0</v>
      </c>
      <c r="AA40" s="908">
        <f t="shared" si="14"/>
        <v>0</v>
      </c>
      <c r="AB40" s="908">
        <f t="shared" si="14"/>
        <v>0</v>
      </c>
      <c r="AC40" s="908">
        <f t="shared" si="14"/>
        <v>0</v>
      </c>
      <c r="AD40" s="908">
        <f t="shared" si="14"/>
        <v>0</v>
      </c>
      <c r="AE40" s="908">
        <f t="shared" si="14"/>
        <v>0</v>
      </c>
      <c r="AF40" s="6" t="s">
        <v>477</v>
      </c>
      <c r="AG40" s="86"/>
      <c r="AH40" s="86"/>
      <c r="AI40" s="86"/>
      <c r="AJ40" s="86"/>
      <c r="AK40" s="86"/>
      <c r="AL40" s="86"/>
    </row>
    <row r="41" spans="1:38" ht="12" customHeight="1">
      <c r="A41" s="1180"/>
      <c r="B41" s="4">
        <f t="shared" si="2"/>
        <v>38</v>
      </c>
      <c r="C41" s="899"/>
      <c r="D41" s="389"/>
      <c r="E41" s="390"/>
      <c r="F41" s="900" t="s">
        <v>640</v>
      </c>
      <c r="G41" s="473"/>
      <c r="H41" s="229"/>
      <c r="I41" s="229"/>
      <c r="J41" s="229"/>
      <c r="K41" s="229"/>
      <c r="L41" s="229"/>
      <c r="M41" s="229"/>
      <c r="N41" s="229"/>
      <c r="O41" s="229"/>
      <c r="P41" s="229"/>
      <c r="Q41" s="229"/>
      <c r="R41" s="229"/>
      <c r="S41" s="1045"/>
      <c r="T41" s="908">
        <f t="shared" si="14"/>
        <v>0</v>
      </c>
      <c r="U41" s="908">
        <f t="shared" si="14"/>
        <v>0</v>
      </c>
      <c r="V41" s="908">
        <f t="shared" si="14"/>
        <v>0</v>
      </c>
      <c r="W41" s="908">
        <f t="shared" ref="W41:AE51" si="17">J41</f>
        <v>0</v>
      </c>
      <c r="X41" s="908">
        <f t="shared" si="17"/>
        <v>0</v>
      </c>
      <c r="Y41" s="908">
        <f t="shared" si="17"/>
        <v>0</v>
      </c>
      <c r="Z41" s="908">
        <f t="shared" si="17"/>
        <v>0</v>
      </c>
      <c r="AA41" s="908">
        <f t="shared" si="17"/>
        <v>0</v>
      </c>
      <c r="AB41" s="908">
        <f t="shared" si="17"/>
        <v>0</v>
      </c>
      <c r="AC41" s="908">
        <f t="shared" si="17"/>
        <v>0</v>
      </c>
      <c r="AD41" s="908">
        <f t="shared" si="17"/>
        <v>0</v>
      </c>
      <c r="AE41" s="908">
        <f t="shared" si="17"/>
        <v>0</v>
      </c>
      <c r="AF41" s="85"/>
      <c r="AG41" s="86"/>
      <c r="AH41" s="86"/>
      <c r="AI41" s="86"/>
      <c r="AJ41" s="86"/>
      <c r="AK41" s="86"/>
      <c r="AL41" s="86"/>
    </row>
    <row r="42" spans="1:38" ht="12" customHeight="1">
      <c r="A42" s="1180"/>
      <c r="B42" s="4">
        <f>B41+1</f>
        <v>39</v>
      </c>
      <c r="C42" s="388"/>
      <c r="D42" s="389"/>
      <c r="E42" s="390"/>
      <c r="F42" s="486" t="s">
        <v>478</v>
      </c>
      <c r="G42" s="473"/>
      <c r="H42" s="229"/>
      <c r="I42" s="229"/>
      <c r="J42" s="229"/>
      <c r="K42" s="229"/>
      <c r="L42" s="229"/>
      <c r="M42" s="229"/>
      <c r="N42" s="229"/>
      <c r="O42" s="229"/>
      <c r="P42" s="229"/>
      <c r="Q42" s="229"/>
      <c r="R42" s="229"/>
      <c r="S42" s="1045"/>
      <c r="T42" s="908">
        <f t="shared" ref="T42:V51" si="18">G42</f>
        <v>0</v>
      </c>
      <c r="U42" s="908">
        <f t="shared" si="18"/>
        <v>0</v>
      </c>
      <c r="V42" s="908">
        <f t="shared" si="18"/>
        <v>0</v>
      </c>
      <c r="W42" s="908">
        <f t="shared" si="17"/>
        <v>0</v>
      </c>
      <c r="X42" s="908">
        <f t="shared" si="17"/>
        <v>0</v>
      </c>
      <c r="Y42" s="908">
        <f t="shared" si="17"/>
        <v>0</v>
      </c>
      <c r="Z42" s="908">
        <f t="shared" si="17"/>
        <v>0</v>
      </c>
      <c r="AA42" s="908">
        <f t="shared" si="17"/>
        <v>0</v>
      </c>
      <c r="AB42" s="908">
        <f t="shared" si="17"/>
        <v>0</v>
      </c>
      <c r="AC42" s="908">
        <f t="shared" si="17"/>
        <v>0</v>
      </c>
      <c r="AD42" s="908">
        <f t="shared" si="17"/>
        <v>0</v>
      </c>
      <c r="AE42" s="908">
        <f t="shared" si="17"/>
        <v>0</v>
      </c>
      <c r="AF42" s="6" t="s">
        <v>69</v>
      </c>
      <c r="AG42" s="86"/>
      <c r="AH42" s="86"/>
      <c r="AI42" s="86"/>
      <c r="AJ42" s="86"/>
      <c r="AK42" s="86"/>
      <c r="AL42" s="86"/>
    </row>
    <row r="43" spans="1:38" ht="12" customHeight="1">
      <c r="A43" s="1180"/>
      <c r="B43" s="4">
        <f t="shared" si="2"/>
        <v>40</v>
      </c>
      <c r="C43" s="388"/>
      <c r="D43" s="389"/>
      <c r="E43" s="390"/>
      <c r="F43" s="486" t="s">
        <v>147</v>
      </c>
      <c r="G43" s="864"/>
      <c r="H43" s="229"/>
      <c r="I43" s="229"/>
      <c r="J43" s="229"/>
      <c r="K43" s="229"/>
      <c r="L43" s="229"/>
      <c r="M43" s="229"/>
      <c r="N43" s="229"/>
      <c r="O43" s="229"/>
      <c r="P43" s="229"/>
      <c r="Q43" s="229"/>
      <c r="R43" s="229"/>
      <c r="S43" s="1045"/>
      <c r="T43" s="908">
        <f t="shared" si="18"/>
        <v>0</v>
      </c>
      <c r="U43" s="908">
        <f t="shared" si="18"/>
        <v>0</v>
      </c>
      <c r="V43" s="908">
        <f t="shared" si="18"/>
        <v>0</v>
      </c>
      <c r="W43" s="908">
        <f t="shared" si="17"/>
        <v>0</v>
      </c>
      <c r="X43" s="908">
        <f t="shared" si="17"/>
        <v>0</v>
      </c>
      <c r="Y43" s="908">
        <f t="shared" si="17"/>
        <v>0</v>
      </c>
      <c r="Z43" s="908">
        <f t="shared" si="17"/>
        <v>0</v>
      </c>
      <c r="AA43" s="908">
        <f t="shared" si="17"/>
        <v>0</v>
      </c>
      <c r="AB43" s="908">
        <f t="shared" si="17"/>
        <v>0</v>
      </c>
      <c r="AC43" s="908">
        <f t="shared" si="17"/>
        <v>0</v>
      </c>
      <c r="AD43" s="908">
        <f t="shared" si="17"/>
        <v>0</v>
      </c>
      <c r="AE43" s="908">
        <f t="shared" si="17"/>
        <v>0</v>
      </c>
      <c r="AF43" s="6" t="str">
        <f>"I juli eller ved fratræden.  "&amp;"Se pjecen ""Ferievejledning "&amp;MID($A$1,1,4)+1&amp;""""</f>
        <v>I juli eller ved fratræden.  Se pjecen "Ferievejledning 2025"</v>
      </c>
      <c r="AG43" s="86"/>
      <c r="AH43" s="86"/>
      <c r="AI43" s="86"/>
      <c r="AJ43" s="86"/>
      <c r="AK43" s="86"/>
      <c r="AL43" s="86"/>
    </row>
    <row r="44" spans="1:38" ht="12" customHeight="1">
      <c r="A44" s="1180"/>
      <c r="B44" s="4">
        <f t="shared" si="2"/>
        <v>41</v>
      </c>
      <c r="C44" s="388"/>
      <c r="D44" s="389"/>
      <c r="E44" s="390"/>
      <c r="F44" s="853" t="s">
        <v>687</v>
      </c>
      <c r="G44" s="939">
        <f>(A117+G117)*2.02%</f>
        <v>0</v>
      </c>
      <c r="H44" s="229"/>
      <c r="I44" s="229"/>
      <c r="J44" s="229"/>
      <c r="K44" s="229"/>
      <c r="L44" s="229"/>
      <c r="M44" s="229"/>
      <c r="N44" s="229"/>
      <c r="O44" s="861"/>
      <c r="P44" s="940">
        <f>AF117*1.5%</f>
        <v>0</v>
      </c>
      <c r="Q44" s="253"/>
      <c r="R44" s="253"/>
      <c r="S44" s="1046"/>
      <c r="T44" s="908">
        <f t="shared" si="18"/>
        <v>0</v>
      </c>
      <c r="U44" s="908">
        <f t="shared" si="18"/>
        <v>0</v>
      </c>
      <c r="V44" s="908">
        <f t="shared" si="18"/>
        <v>0</v>
      </c>
      <c r="W44" s="908">
        <f t="shared" si="17"/>
        <v>0</v>
      </c>
      <c r="X44" s="908">
        <f t="shared" si="17"/>
        <v>0</v>
      </c>
      <c r="Y44" s="908">
        <f t="shared" si="17"/>
        <v>0</v>
      </c>
      <c r="Z44" s="908">
        <f t="shared" si="17"/>
        <v>0</v>
      </c>
      <c r="AA44" s="908">
        <f t="shared" si="17"/>
        <v>0</v>
      </c>
      <c r="AB44" s="908">
        <f t="shared" si="17"/>
        <v>0</v>
      </c>
      <c r="AC44" s="908">
        <f t="shared" si="17"/>
        <v>0</v>
      </c>
      <c r="AD44" s="908">
        <f t="shared" si="17"/>
        <v>0</v>
      </c>
      <c r="AE44" s="908">
        <f t="shared" si="17"/>
        <v>0</v>
      </c>
      <c r="AF44" s="6" t="s">
        <v>631</v>
      </c>
      <c r="AG44" s="501"/>
      <c r="AH44" s="86"/>
      <c r="AI44" s="86"/>
      <c r="AJ44" s="86"/>
      <c r="AK44" s="86"/>
      <c r="AL44" s="86"/>
    </row>
    <row r="45" spans="1:38" ht="12" customHeight="1">
      <c r="A45" s="1180"/>
      <c r="B45" s="4">
        <f t="shared" si="2"/>
        <v>42</v>
      </c>
      <c r="C45" s="391" t="s">
        <v>404</v>
      </c>
      <c r="D45" s="389"/>
      <c r="E45" s="390"/>
      <c r="F45" s="606" t="s">
        <v>133</v>
      </c>
      <c r="G45" s="864"/>
      <c r="H45" s="229"/>
      <c r="I45" s="229"/>
      <c r="J45" s="229"/>
      <c r="K45" s="229"/>
      <c r="L45" s="229"/>
      <c r="M45" s="229"/>
      <c r="N45" s="229"/>
      <c r="O45" s="229"/>
      <c r="P45" s="229"/>
      <c r="Q45" s="229"/>
      <c r="R45" s="229"/>
      <c r="S45" s="1045"/>
      <c r="T45" s="908">
        <f t="shared" si="18"/>
        <v>0</v>
      </c>
      <c r="U45" s="908">
        <f t="shared" si="18"/>
        <v>0</v>
      </c>
      <c r="V45" s="908">
        <f t="shared" si="18"/>
        <v>0</v>
      </c>
      <c r="W45" s="908">
        <f t="shared" si="17"/>
        <v>0</v>
      </c>
      <c r="X45" s="908">
        <f t="shared" si="17"/>
        <v>0</v>
      </c>
      <c r="Y45" s="908">
        <f t="shared" si="17"/>
        <v>0</v>
      </c>
      <c r="Z45" s="908">
        <f t="shared" si="17"/>
        <v>0</v>
      </c>
      <c r="AA45" s="908">
        <f t="shared" si="17"/>
        <v>0</v>
      </c>
      <c r="AB45" s="908">
        <f t="shared" si="17"/>
        <v>0</v>
      </c>
      <c r="AC45" s="908">
        <f t="shared" si="17"/>
        <v>0</v>
      </c>
      <c r="AD45" s="908">
        <f t="shared" si="17"/>
        <v>0</v>
      </c>
      <c r="AE45" s="908">
        <f t="shared" si="17"/>
        <v>0</v>
      </c>
      <c r="AF45" s="85" t="s">
        <v>548</v>
      </c>
      <c r="AG45" s="86"/>
      <c r="AH45" s="86"/>
      <c r="AI45" s="86"/>
      <c r="AJ45" s="86"/>
      <c r="AK45" s="86"/>
      <c r="AL45" s="86"/>
    </row>
    <row r="46" spans="1:38" ht="12" customHeight="1">
      <c r="A46" s="1180"/>
      <c r="B46" s="4">
        <f t="shared" si="2"/>
        <v>43</v>
      </c>
      <c r="C46" s="391" t="s">
        <v>404</v>
      </c>
      <c r="D46" s="389"/>
      <c r="E46" s="390"/>
      <c r="F46" s="606" t="s">
        <v>148</v>
      </c>
      <c r="G46" s="473"/>
      <c r="H46" s="229"/>
      <c r="I46" s="229"/>
      <c r="J46" s="229"/>
      <c r="K46" s="229"/>
      <c r="L46" s="229"/>
      <c r="M46" s="229"/>
      <c r="N46" s="229"/>
      <c r="O46" s="229"/>
      <c r="P46" s="229"/>
      <c r="Q46" s="229"/>
      <c r="R46" s="229"/>
      <c r="S46" s="1045"/>
      <c r="T46" s="908">
        <f t="shared" si="18"/>
        <v>0</v>
      </c>
      <c r="U46" s="908">
        <f t="shared" si="18"/>
        <v>0</v>
      </c>
      <c r="V46" s="908">
        <f t="shared" si="18"/>
        <v>0</v>
      </c>
      <c r="W46" s="908">
        <f t="shared" si="17"/>
        <v>0</v>
      </c>
      <c r="X46" s="908">
        <f t="shared" si="17"/>
        <v>0</v>
      </c>
      <c r="Y46" s="908">
        <f t="shared" si="17"/>
        <v>0</v>
      </c>
      <c r="Z46" s="908">
        <f t="shared" si="17"/>
        <v>0</v>
      </c>
      <c r="AA46" s="908">
        <f t="shared" si="17"/>
        <v>0</v>
      </c>
      <c r="AB46" s="908">
        <f t="shared" si="17"/>
        <v>0</v>
      </c>
      <c r="AC46" s="908">
        <f t="shared" si="17"/>
        <v>0</v>
      </c>
      <c r="AD46" s="908">
        <f t="shared" si="17"/>
        <v>0</v>
      </c>
      <c r="AE46" s="908">
        <f t="shared" si="17"/>
        <v>0</v>
      </c>
      <c r="AF46" s="85" t="s">
        <v>548</v>
      </c>
      <c r="AG46" s="86"/>
      <c r="AH46" s="86"/>
      <c r="AI46" s="86"/>
      <c r="AJ46" s="86"/>
      <c r="AK46" s="86"/>
      <c r="AL46" s="86"/>
    </row>
    <row r="47" spans="1:38" ht="12" customHeight="1">
      <c r="A47" s="1180"/>
      <c r="B47" s="4">
        <f t="shared" si="2"/>
        <v>44</v>
      </c>
      <c r="C47" s="388"/>
      <c r="D47" s="389"/>
      <c r="E47" s="390"/>
      <c r="F47" s="606" t="s">
        <v>131</v>
      </c>
      <c r="G47" s="473"/>
      <c r="H47" s="229"/>
      <c r="I47" s="229"/>
      <c r="J47" s="229"/>
      <c r="K47" s="229"/>
      <c r="L47" s="229"/>
      <c r="M47" s="229"/>
      <c r="N47" s="229"/>
      <c r="O47" s="229"/>
      <c r="P47" s="229"/>
      <c r="Q47" s="229"/>
      <c r="R47" s="229"/>
      <c r="S47" s="1045"/>
      <c r="T47" s="908">
        <f t="shared" si="18"/>
        <v>0</v>
      </c>
      <c r="U47" s="908">
        <f t="shared" si="18"/>
        <v>0</v>
      </c>
      <c r="V47" s="908">
        <f t="shared" si="18"/>
        <v>0</v>
      </c>
      <c r="W47" s="908">
        <f t="shared" si="17"/>
        <v>0</v>
      </c>
      <c r="X47" s="908">
        <f t="shared" si="17"/>
        <v>0</v>
      </c>
      <c r="Y47" s="908">
        <f t="shared" si="17"/>
        <v>0</v>
      </c>
      <c r="Z47" s="908">
        <f t="shared" si="17"/>
        <v>0</v>
      </c>
      <c r="AA47" s="908">
        <f t="shared" si="17"/>
        <v>0</v>
      </c>
      <c r="AB47" s="908">
        <f t="shared" si="17"/>
        <v>0</v>
      </c>
      <c r="AC47" s="908">
        <f t="shared" si="17"/>
        <v>0</v>
      </c>
      <c r="AD47" s="908">
        <f t="shared" si="17"/>
        <v>0</v>
      </c>
      <c r="AE47" s="908">
        <f t="shared" si="17"/>
        <v>0</v>
      </c>
      <c r="AF47" s="85"/>
      <c r="AG47" s="86"/>
      <c r="AH47" s="86"/>
      <c r="AI47" s="86"/>
      <c r="AJ47" s="86"/>
      <c r="AK47" s="86"/>
      <c r="AL47" s="86"/>
    </row>
    <row r="48" spans="1:38" ht="12" customHeight="1">
      <c r="A48" s="1180"/>
      <c r="B48" s="4">
        <f>B47+1</f>
        <v>45</v>
      </c>
      <c r="C48" s="388"/>
      <c r="D48" s="389"/>
      <c r="E48" s="390"/>
      <c r="F48" s="607" t="s">
        <v>710</v>
      </c>
      <c r="G48" s="474"/>
      <c r="H48" s="820"/>
      <c r="I48" s="820"/>
      <c r="J48" s="820"/>
      <c r="K48" s="820"/>
      <c r="L48" s="820"/>
      <c r="M48" s="820"/>
      <c r="N48" s="820"/>
      <c r="O48" s="820"/>
      <c r="P48" s="820"/>
      <c r="Q48" s="820"/>
      <c r="R48" s="233"/>
      <c r="S48" s="1047"/>
      <c r="T48" s="908">
        <f t="shared" si="18"/>
        <v>0</v>
      </c>
      <c r="U48" s="908">
        <f t="shared" si="18"/>
        <v>0</v>
      </c>
      <c r="V48" s="908">
        <f t="shared" si="18"/>
        <v>0</v>
      </c>
      <c r="W48" s="908">
        <f t="shared" si="17"/>
        <v>0</v>
      </c>
      <c r="X48" s="908">
        <f t="shared" si="17"/>
        <v>0</v>
      </c>
      <c r="Y48" s="908">
        <f t="shared" si="17"/>
        <v>0</v>
      </c>
      <c r="Z48" s="908">
        <f t="shared" si="17"/>
        <v>0</v>
      </c>
      <c r="AA48" s="908">
        <f t="shared" si="17"/>
        <v>0</v>
      </c>
      <c r="AB48" s="908">
        <f t="shared" si="17"/>
        <v>0</v>
      </c>
      <c r="AC48" s="908">
        <f t="shared" si="17"/>
        <v>0</v>
      </c>
      <c r="AD48" s="908">
        <f t="shared" si="17"/>
        <v>0</v>
      </c>
      <c r="AE48" s="908">
        <f t="shared" si="17"/>
        <v>0</v>
      </c>
      <c r="AF48" s="141"/>
      <c r="AG48" s="86"/>
      <c r="AH48" s="86"/>
      <c r="AI48" s="86"/>
      <c r="AJ48" s="86"/>
      <c r="AK48" s="86"/>
      <c r="AL48" s="86"/>
    </row>
    <row r="49" spans="1:38" ht="12" customHeight="1">
      <c r="A49" s="1180"/>
      <c r="B49" s="4">
        <f t="shared" si="2"/>
        <v>46</v>
      </c>
      <c r="C49" s="1182" t="s">
        <v>544</v>
      </c>
      <c r="D49" s="1183"/>
      <c r="E49" s="1184"/>
      <c r="F49" s="560" t="s">
        <v>593</v>
      </c>
      <c r="G49" s="591"/>
      <c r="H49" s="563">
        <f>G49</f>
        <v>0</v>
      </c>
      <c r="I49" s="563">
        <f t="shared" ref="I49:R51" si="19">H49</f>
        <v>0</v>
      </c>
      <c r="J49" s="563">
        <f t="shared" si="19"/>
        <v>0</v>
      </c>
      <c r="K49" s="563">
        <f t="shared" si="19"/>
        <v>0</v>
      </c>
      <c r="L49" s="563">
        <f t="shared" si="19"/>
        <v>0</v>
      </c>
      <c r="M49" s="563">
        <f t="shared" si="19"/>
        <v>0</v>
      </c>
      <c r="N49" s="563">
        <f t="shared" si="19"/>
        <v>0</v>
      </c>
      <c r="O49" s="563">
        <f t="shared" si="19"/>
        <v>0</v>
      </c>
      <c r="P49" s="563">
        <f t="shared" si="19"/>
        <v>0</v>
      </c>
      <c r="Q49" s="563">
        <f t="shared" si="19"/>
        <v>0</v>
      </c>
      <c r="R49" s="563">
        <f t="shared" si="19"/>
        <v>0</v>
      </c>
      <c r="S49" s="1048"/>
      <c r="T49" s="908">
        <f t="shared" si="18"/>
        <v>0</v>
      </c>
      <c r="U49" s="908">
        <f t="shared" si="18"/>
        <v>0</v>
      </c>
      <c r="V49" s="908">
        <f t="shared" si="18"/>
        <v>0</v>
      </c>
      <c r="W49" s="908">
        <f t="shared" si="17"/>
        <v>0</v>
      </c>
      <c r="X49" s="908">
        <f t="shared" si="17"/>
        <v>0</v>
      </c>
      <c r="Y49" s="908">
        <f t="shared" si="17"/>
        <v>0</v>
      </c>
      <c r="Z49" s="908">
        <f t="shared" si="17"/>
        <v>0</v>
      </c>
      <c r="AA49" s="908">
        <f t="shared" si="17"/>
        <v>0</v>
      </c>
      <c r="AB49" s="908">
        <f t="shared" si="17"/>
        <v>0</v>
      </c>
      <c r="AC49" s="908">
        <f t="shared" si="17"/>
        <v>0</v>
      </c>
      <c r="AD49" s="908">
        <f t="shared" si="17"/>
        <v>0</v>
      </c>
      <c r="AE49" s="908">
        <f t="shared" si="17"/>
        <v>0</v>
      </c>
      <c r="AF49" s="564" t="s">
        <v>542</v>
      </c>
      <c r="AG49" s="86"/>
      <c r="AH49" s="86"/>
      <c r="AI49" s="86"/>
      <c r="AJ49" s="86"/>
      <c r="AK49" s="86"/>
      <c r="AL49" s="86"/>
    </row>
    <row r="50" spans="1:38" ht="12" customHeight="1">
      <c r="A50" s="1180"/>
      <c r="B50" s="4">
        <f t="shared" si="2"/>
        <v>47</v>
      </c>
      <c r="C50" s="1185"/>
      <c r="D50" s="1186"/>
      <c r="E50" s="1187"/>
      <c r="F50" s="561" t="s">
        <v>594</v>
      </c>
      <c r="G50" s="592"/>
      <c r="H50" s="565">
        <f>G50</f>
        <v>0</v>
      </c>
      <c r="I50" s="565">
        <f t="shared" si="19"/>
        <v>0</v>
      </c>
      <c r="J50" s="565">
        <f t="shared" si="19"/>
        <v>0</v>
      </c>
      <c r="K50" s="565">
        <f t="shared" si="19"/>
        <v>0</v>
      </c>
      <c r="L50" s="565">
        <f t="shared" si="19"/>
        <v>0</v>
      </c>
      <c r="M50" s="565">
        <f t="shared" si="19"/>
        <v>0</v>
      </c>
      <c r="N50" s="565">
        <f t="shared" si="19"/>
        <v>0</v>
      </c>
      <c r="O50" s="565">
        <f t="shared" si="19"/>
        <v>0</v>
      </c>
      <c r="P50" s="565">
        <f t="shared" si="19"/>
        <v>0</v>
      </c>
      <c r="Q50" s="565">
        <f t="shared" si="19"/>
        <v>0</v>
      </c>
      <c r="R50" s="565">
        <f t="shared" si="19"/>
        <v>0</v>
      </c>
      <c r="S50" s="1049"/>
      <c r="T50" s="908">
        <f t="shared" si="18"/>
        <v>0</v>
      </c>
      <c r="U50" s="908">
        <f t="shared" si="18"/>
        <v>0</v>
      </c>
      <c r="V50" s="908">
        <f t="shared" si="18"/>
        <v>0</v>
      </c>
      <c r="W50" s="908">
        <f t="shared" si="17"/>
        <v>0</v>
      </c>
      <c r="X50" s="908">
        <f t="shared" si="17"/>
        <v>0</v>
      </c>
      <c r="Y50" s="908">
        <f t="shared" si="17"/>
        <v>0</v>
      </c>
      <c r="Z50" s="908">
        <f t="shared" si="17"/>
        <v>0</v>
      </c>
      <c r="AA50" s="908">
        <f t="shared" si="17"/>
        <v>0</v>
      </c>
      <c r="AB50" s="908">
        <f t="shared" si="17"/>
        <v>0</v>
      </c>
      <c r="AC50" s="908">
        <f t="shared" si="17"/>
        <v>0</v>
      </c>
      <c r="AD50" s="908">
        <f t="shared" si="17"/>
        <v>0</v>
      </c>
      <c r="AE50" s="908">
        <f t="shared" si="17"/>
        <v>0</v>
      </c>
      <c r="AF50" s="566" t="s">
        <v>541</v>
      </c>
      <c r="AG50" s="86"/>
      <c r="AH50" s="86"/>
      <c r="AI50" s="86"/>
      <c r="AJ50" s="86"/>
      <c r="AK50" s="86"/>
      <c r="AL50" s="86"/>
    </row>
    <row r="51" spans="1:38" ht="12" customHeight="1">
      <c r="A51" s="1181"/>
      <c r="B51" s="4">
        <f t="shared" si="2"/>
        <v>48</v>
      </c>
      <c r="C51" s="1188"/>
      <c r="D51" s="1189"/>
      <c r="E51" s="1190"/>
      <c r="F51" s="562" t="s">
        <v>539</v>
      </c>
      <c r="G51" s="593"/>
      <c r="H51" s="567">
        <f>G51</f>
        <v>0</v>
      </c>
      <c r="I51" s="567">
        <f t="shared" si="19"/>
        <v>0</v>
      </c>
      <c r="J51" s="567">
        <f t="shared" si="19"/>
        <v>0</v>
      </c>
      <c r="K51" s="567">
        <f t="shared" si="19"/>
        <v>0</v>
      </c>
      <c r="L51" s="567">
        <f t="shared" si="19"/>
        <v>0</v>
      </c>
      <c r="M51" s="567">
        <f t="shared" si="19"/>
        <v>0</v>
      </c>
      <c r="N51" s="567">
        <f t="shared" si="19"/>
        <v>0</v>
      </c>
      <c r="O51" s="567">
        <f t="shared" si="19"/>
        <v>0</v>
      </c>
      <c r="P51" s="567">
        <f t="shared" si="19"/>
        <v>0</v>
      </c>
      <c r="Q51" s="567">
        <f t="shared" si="19"/>
        <v>0</v>
      </c>
      <c r="R51" s="567">
        <f t="shared" si="19"/>
        <v>0</v>
      </c>
      <c r="S51" s="1050"/>
      <c r="T51" s="908">
        <f t="shared" si="18"/>
        <v>0</v>
      </c>
      <c r="U51" s="908">
        <f t="shared" si="18"/>
        <v>0</v>
      </c>
      <c r="V51" s="908">
        <f t="shared" si="18"/>
        <v>0</v>
      </c>
      <c r="W51" s="908">
        <f t="shared" si="17"/>
        <v>0</v>
      </c>
      <c r="X51" s="908">
        <f t="shared" si="17"/>
        <v>0</v>
      </c>
      <c r="Y51" s="908">
        <f t="shared" si="17"/>
        <v>0</v>
      </c>
      <c r="Z51" s="908">
        <f t="shared" si="17"/>
        <v>0</v>
      </c>
      <c r="AA51" s="908">
        <f t="shared" si="17"/>
        <v>0</v>
      </c>
      <c r="AB51" s="908">
        <f t="shared" si="17"/>
        <v>0</v>
      </c>
      <c r="AC51" s="908">
        <f t="shared" si="17"/>
        <v>0</v>
      </c>
      <c r="AD51" s="908">
        <f t="shared" si="17"/>
        <v>0</v>
      </c>
      <c r="AE51" s="908">
        <f t="shared" si="17"/>
        <v>0</v>
      </c>
      <c r="AF51" s="568" t="s">
        <v>543</v>
      </c>
      <c r="AG51" s="86"/>
      <c r="AH51" s="86"/>
      <c r="AI51" s="86"/>
      <c r="AJ51" s="86"/>
      <c r="AK51" s="86"/>
      <c r="AL51" s="86"/>
    </row>
    <row r="52" spans="1:38" ht="32" customHeight="1">
      <c r="A52" s="722" t="str">
        <f>A2</f>
        <v>jan-juli</v>
      </c>
      <c r="B52" s="4">
        <f t="shared" si="2"/>
        <v>49</v>
      </c>
      <c r="C52" s="640"/>
      <c r="D52" s="73"/>
      <c r="E52" s="73"/>
      <c r="F52" s="180" t="s">
        <v>214</v>
      </c>
      <c r="G52" s="206" t="str">
        <f t="shared" ref="G52:AE52" si="20">G2</f>
        <v>AUG 25</v>
      </c>
      <c r="H52" s="76" t="str">
        <f t="shared" si="20"/>
        <v>SEP 25</v>
      </c>
      <c r="I52" s="76" t="str">
        <f t="shared" si="20"/>
        <v>OKT 25</v>
      </c>
      <c r="J52" s="76" t="str">
        <f t="shared" si="20"/>
        <v>NOV 25</v>
      </c>
      <c r="K52" s="76" t="str">
        <f t="shared" si="20"/>
        <v>DEC 25</v>
      </c>
      <c r="L52" s="76" t="str">
        <f t="shared" si="20"/>
        <v>JAN 26</v>
      </c>
      <c r="M52" s="76" t="str">
        <f t="shared" si="20"/>
        <v>FEB 26</v>
      </c>
      <c r="N52" s="76" t="str">
        <f t="shared" si="20"/>
        <v>MAR 26</v>
      </c>
      <c r="O52" s="76" t="str">
        <f t="shared" si="20"/>
        <v>APR 26</v>
      </c>
      <c r="P52" s="76" t="str">
        <f t="shared" si="20"/>
        <v>MAJ 26</v>
      </c>
      <c r="Q52" s="76" t="str">
        <f t="shared" si="20"/>
        <v>JUN 26</v>
      </c>
      <c r="R52" s="76" t="str">
        <f t="shared" si="20"/>
        <v>JUL 26</v>
      </c>
      <c r="S52" s="206"/>
      <c r="T52" s="906" t="str">
        <f t="shared" si="20"/>
        <v>AUG 25</v>
      </c>
      <c r="U52" s="76" t="str">
        <f t="shared" si="20"/>
        <v>SEP 25</v>
      </c>
      <c r="V52" s="76" t="str">
        <f t="shared" si="20"/>
        <v>OKT 25</v>
      </c>
      <c r="W52" s="76" t="str">
        <f t="shared" si="20"/>
        <v>NOV 25</v>
      </c>
      <c r="X52" s="76" t="str">
        <f t="shared" si="20"/>
        <v>DEC 25</v>
      </c>
      <c r="Y52" s="76" t="str">
        <f t="shared" si="20"/>
        <v>JAN 26</v>
      </c>
      <c r="Z52" s="76" t="str">
        <f t="shared" si="20"/>
        <v>FEB 26</v>
      </c>
      <c r="AA52" s="76" t="str">
        <f t="shared" si="20"/>
        <v>MAR 26</v>
      </c>
      <c r="AB52" s="76" t="str">
        <f t="shared" si="20"/>
        <v>APR 26</v>
      </c>
      <c r="AC52" s="76" t="str">
        <f t="shared" si="20"/>
        <v>MAJ 26</v>
      </c>
      <c r="AD52" s="76" t="str">
        <f t="shared" si="20"/>
        <v>JUN 26</v>
      </c>
      <c r="AE52" s="76" t="str">
        <f t="shared" si="20"/>
        <v>JUL 26</v>
      </c>
      <c r="AF52" s="80" t="s">
        <v>111</v>
      </c>
      <c r="AG52" s="689"/>
      <c r="AH52" s="689"/>
      <c r="AI52" s="690" t="s">
        <v>554</v>
      </c>
      <c r="AJ52" s="690" t="s">
        <v>555</v>
      </c>
      <c r="AK52" s="690" t="s">
        <v>556</v>
      </c>
      <c r="AL52" s="86"/>
    </row>
    <row r="53" spans="1:38">
      <c r="A53" s="379"/>
      <c r="B53" s="22">
        <f t="shared" si="2"/>
        <v>50</v>
      </c>
      <c r="C53" s="641">
        <v>1</v>
      </c>
      <c r="D53" s="1">
        <v>1</v>
      </c>
      <c r="E53" s="1">
        <v>1</v>
      </c>
      <c r="F53" s="154" t="s">
        <v>85</v>
      </c>
      <c r="G53" s="897">
        <f>IF(G8="Ja",0,ROUND(IF(G10&gt;0,ROUND((ROUND(VLOOKUP(G4,Grundlon12!$A$75:$G$82,2,0)*G6,0))/12,2),0)*G10*G3,2))</f>
        <v>0</v>
      </c>
      <c r="H53" s="897">
        <f>IF(H8="Ja",0,ROUND(IF(H10&gt;0,ROUND((ROUND(VLOOKUP(H4,Grundlon12!$A$75:$G$82,2,0)*H6,0))/12,2),0)*H10*H3,2))</f>
        <v>0</v>
      </c>
      <c r="I53" s="897">
        <f>IF(I8="Ja",0,ROUND(IF(I10&gt;0,ROUND((ROUND(VLOOKUP(I4,Grundlon12!$A$75:$G$82,2,0)*I6,0))/12,2),0)*I10*I3,2))</f>
        <v>0</v>
      </c>
      <c r="J53" s="897">
        <f>IF(J8="Ja",0,ROUND(IF(J10&gt;0,ROUND((ROUND(VLOOKUP(J4,Grundlon12!$A$75:$G$82,2,0)*J6,0))/12,2),0)*J10*J3,2))</f>
        <v>0</v>
      </c>
      <c r="K53" s="897">
        <f>IF(K8="Ja",0,ROUND(IF(K10&gt;0,ROUND((ROUND(VLOOKUP(K4,Grundlon12!$A$75:$G$82,2,0)*K6,0))/12,2),0)*K10*K3,2))</f>
        <v>0</v>
      </c>
      <c r="L53" s="897">
        <f>IF(L8="Ja",0,ROUND(IF(L10&gt;0,ROUND((ROUND(VLOOKUP(L4,Grundlon12!$A$75:$G$82,2,0)*L6,0))/12,2),0)*L10*L3,2))</f>
        <v>0</v>
      </c>
      <c r="M53" s="897">
        <f>IF(M8="Ja",0,ROUND(IF(M10&gt;0,ROUND((ROUND(VLOOKUP(M4,Grundlon12!$A$75:$G$82,2,0)*M6,0))/12,2),0)*M10*M3,2))</f>
        <v>0</v>
      </c>
      <c r="N53" s="897">
        <f>IF(N8="Ja",0,ROUND(IF(N10&gt;0,ROUND((ROUND(VLOOKUP(N4,Grundlon12!$A$75:$G$82,2,0)*N6,0))/12,2),0)*N10*N3,2))</f>
        <v>0</v>
      </c>
      <c r="O53" s="897">
        <f>IF(O8="Ja",0,ROUND(IF(O10&gt;0,ROUND((ROUND(VLOOKUP(O4,Grundlon12!$A$75:$G$82,2,0)*O6,0))/12,2),0)*O10*O3,2))</f>
        <v>0</v>
      </c>
      <c r="P53" s="897">
        <f>IF(P8="Ja",0,ROUND(IF(P10&gt;0,ROUND((ROUND(VLOOKUP(P4,Grundlon12!$A$75:$G$82,2,0)*P6,0))/12,2),0)*P10*P3,2))</f>
        <v>0</v>
      </c>
      <c r="Q53" s="897">
        <f>IF(Q8="Ja",0,ROUND(IF(Q10&gt;0,ROUND((ROUND(VLOOKUP(Q4,Grundlon12!$A$75:$G$82,2,0)*Q6,0))/12,2),0)*Q10*Q3,2))</f>
        <v>0</v>
      </c>
      <c r="R53" s="897">
        <f>IF(R8="Ja",0,ROUND(IF(R10&gt;0,ROUND((ROUND(VLOOKUP(R4,Grundlon12!$A$75:$G$82,2,0)*R6,0))/12,2),0)*R10*R3,2))</f>
        <v>0</v>
      </c>
      <c r="S53" s="897"/>
      <c r="T53" s="909">
        <f>ROUND(IF(T10&gt;0,ROUND((ROUND(VLOOKUP(T4,Grundlon12!$A$75:$G$82,2,0)*T6,0))/12,2),0)*T10*T3,2)</f>
        <v>0</v>
      </c>
      <c r="U53" s="897">
        <f>ROUND(IF(U10&gt;0,ROUND((ROUND(VLOOKUP(U4,Grundlon12!$A$75:$G$82,2,0)*U6,0))/12,2),0)*U10*U3,2)</f>
        <v>0</v>
      </c>
      <c r="V53" s="897">
        <f>ROUND(IF(V10&gt;0,ROUND((ROUND(VLOOKUP(V4,Grundlon12!$A$75:$G$82,2,0)*V6,0))/12,2),0)*V10*V3,2)</f>
        <v>0</v>
      </c>
      <c r="W53" s="897">
        <f>ROUND(IF(W10&gt;0,ROUND((ROUND(VLOOKUP(W4,Grundlon12!$A$75:$G$82,2,0)*W6,0))/12,2),0)*W10*W3,2)</f>
        <v>0</v>
      </c>
      <c r="X53" s="897">
        <f>ROUND(IF(X10&gt;0,ROUND((ROUND(VLOOKUP(X4,Grundlon12!$A$75:$G$82,2,0)*X6,0))/12,2),0)*X10*X3,2)</f>
        <v>0</v>
      </c>
      <c r="Y53" s="897">
        <f>ROUND(IF(Y10&gt;0,ROUND((ROUND(VLOOKUP(Y4,Grundlon12!$A$75:$G$82,2,0)*Y6,0))/12,2),0)*Y10*Y3,2)</f>
        <v>0</v>
      </c>
      <c r="Z53" s="897">
        <f>ROUND(IF(Z10&gt;0,ROUND((ROUND(VLOOKUP(Z4,Grundlon12!$A$75:$G$82,2,0)*Z6,0))/12,2),0)*Z10*Z3,2)</f>
        <v>0</v>
      </c>
      <c r="AA53" s="897">
        <f>ROUND(IF(AA10&gt;0,ROUND((ROUND(VLOOKUP(AA4,Grundlon12!$A$75:$G$82,2,0)*AA6,0))/12,2),0)*AA10*AA3,2)</f>
        <v>0</v>
      </c>
      <c r="AB53" s="897">
        <f>ROUND(IF(AB10&gt;0,ROUND((ROUND(VLOOKUP(AB4,Grundlon12!$A$75:$G$82,2,0)*AB6,0))/12,2),0)*AB10*AB3,2)</f>
        <v>0</v>
      </c>
      <c r="AC53" s="897">
        <f>ROUND(IF(AC10&gt;0,ROUND((ROUND(VLOOKUP(AC4,Grundlon12!$A$75:$G$82,2,0)*AC6,0))/12,2),0)*AC10*AC3,2)</f>
        <v>0</v>
      </c>
      <c r="AD53" s="897">
        <f>ROUND(IF(AD10&gt;0,ROUND((ROUND(VLOOKUP(AD4,Grundlon12!$A$75:$G$82,2,0)*AD6,0))/12,2),0)*AD10*AD3,2)</f>
        <v>0</v>
      </c>
      <c r="AE53" s="897">
        <f>ROUND(IF(AE10&gt;0,ROUND((ROUND(VLOOKUP(AE4,Grundlon12!$A$75:$G$82,2,0)*AE6,0))/12,2),0)*AE10*AE3,2)</f>
        <v>0</v>
      </c>
      <c r="AF53" s="117">
        <f t="shared" ref="AF53:AF87" si="21">SUM(G53:R53)</f>
        <v>0</v>
      </c>
      <c r="AG53" s="689" t="str">
        <f>F53</f>
        <v>Basisløn</v>
      </c>
      <c r="AH53" s="697">
        <v>48</v>
      </c>
      <c r="AI53" s="690" t="s">
        <v>557</v>
      </c>
      <c r="AJ53" s="690"/>
      <c r="AK53" s="690" t="s">
        <v>557</v>
      </c>
      <c r="AL53" s="697">
        <v>1</v>
      </c>
    </row>
    <row r="54" spans="1:38">
      <c r="A54" s="379"/>
      <c r="B54" s="22">
        <f>B53+1</f>
        <v>51</v>
      </c>
      <c r="C54" s="641"/>
      <c r="D54" s="1">
        <v>1</v>
      </c>
      <c r="E54" s="1">
        <v>0</v>
      </c>
      <c r="F54" s="155" t="s">
        <v>86</v>
      </c>
      <c r="G54" s="105">
        <f t="shared" ref="G54:R54" si="22">IF(G8="Ja",0,ROUND(IF(G10&gt;0,ROUND((VLOOKUP(G4,omraadetabel12,G7,0))/12,2),0)*G10*G3,2))</f>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5">
        <f t="shared" si="22"/>
        <v>0</v>
      </c>
      <c r="Q54" s="105">
        <f t="shared" si="22"/>
        <v>0</v>
      </c>
      <c r="R54" s="105">
        <f t="shared" si="22"/>
        <v>0</v>
      </c>
      <c r="S54" s="105"/>
      <c r="T54" s="910">
        <f t="shared" ref="T54:AE54" si="23">ROUND(IF(T10&gt;0,ROUND((VLOOKUP(T4,omraadetabel12,T7,0))/12,2),0)*T10*T3,2)</f>
        <v>0</v>
      </c>
      <c r="U54" s="105">
        <f t="shared" si="23"/>
        <v>0</v>
      </c>
      <c r="V54" s="105">
        <f t="shared" si="23"/>
        <v>0</v>
      </c>
      <c r="W54" s="105">
        <f t="shared" si="23"/>
        <v>0</v>
      </c>
      <c r="X54" s="105">
        <f t="shared" si="23"/>
        <v>0</v>
      </c>
      <c r="Y54" s="105">
        <f t="shared" si="23"/>
        <v>0</v>
      </c>
      <c r="Z54" s="105">
        <f t="shared" si="23"/>
        <v>0</v>
      </c>
      <c r="AA54" s="105">
        <f t="shared" si="23"/>
        <v>0</v>
      </c>
      <c r="AB54" s="105">
        <f t="shared" si="23"/>
        <v>0</v>
      </c>
      <c r="AC54" s="105">
        <f t="shared" si="23"/>
        <v>0</v>
      </c>
      <c r="AD54" s="105">
        <f t="shared" si="23"/>
        <v>0</v>
      </c>
      <c r="AE54" s="105">
        <f t="shared" si="23"/>
        <v>0</v>
      </c>
      <c r="AF54" s="106">
        <f t="shared" si="21"/>
        <v>0</v>
      </c>
      <c r="AG54" s="689" t="str">
        <f t="shared" ref="AG54:AG68" si="24">F54</f>
        <v>Områdetillæg</v>
      </c>
      <c r="AH54" s="87">
        <v>49</v>
      </c>
      <c r="AI54" s="690"/>
      <c r="AJ54" s="690"/>
      <c r="AK54" s="690"/>
      <c r="AL54" s="87">
        <v>2</v>
      </c>
    </row>
    <row r="55" spans="1:38">
      <c r="A55" s="379"/>
      <c r="B55" s="22">
        <f t="shared" ref="B55:B87" si="25">B54+1</f>
        <v>52</v>
      </c>
      <c r="C55" s="641">
        <v>1</v>
      </c>
      <c r="D55" s="1">
        <v>0</v>
      </c>
      <c r="E55" s="1">
        <v>1</v>
      </c>
      <c r="F55" s="155" t="s">
        <v>170</v>
      </c>
      <c r="G55" s="105">
        <f>IF(G8="Ja",0,ROUND(SUM(G131:G134)*G3,2))</f>
        <v>0</v>
      </c>
      <c r="H55" s="105">
        <f>IF(H8="Ja",0,ROUND(SUM(H131:H134)*H3,2))</f>
        <v>0</v>
      </c>
      <c r="I55" s="105">
        <f t="shared" ref="I55:R55" si="26">IF(I8="Ja",0,ROUND(SUM(I131:I134)*I3,2))</f>
        <v>0</v>
      </c>
      <c r="J55" s="105">
        <f t="shared" si="26"/>
        <v>0</v>
      </c>
      <c r="K55" s="105">
        <f t="shared" si="26"/>
        <v>0</v>
      </c>
      <c r="L55" s="105">
        <f t="shared" si="26"/>
        <v>0</v>
      </c>
      <c r="M55" s="105">
        <f t="shared" si="26"/>
        <v>0</v>
      </c>
      <c r="N55" s="105">
        <f t="shared" si="26"/>
        <v>0</v>
      </c>
      <c r="O55" s="105">
        <f t="shared" si="26"/>
        <v>0</v>
      </c>
      <c r="P55" s="105">
        <f t="shared" si="26"/>
        <v>0</v>
      </c>
      <c r="Q55" s="105">
        <f t="shared" si="26"/>
        <v>0</v>
      </c>
      <c r="R55" s="105">
        <f t="shared" si="26"/>
        <v>0</v>
      </c>
      <c r="S55" s="105"/>
      <c r="T55" s="910">
        <f t="shared" ref="T55:AE55" si="27">ROUND(SUM(T131:T134)*T3,2)</f>
        <v>0</v>
      </c>
      <c r="U55" s="105">
        <f t="shared" si="27"/>
        <v>0</v>
      </c>
      <c r="V55" s="105">
        <f t="shared" si="27"/>
        <v>0</v>
      </c>
      <c r="W55" s="105">
        <f t="shared" si="27"/>
        <v>0</v>
      </c>
      <c r="X55" s="105">
        <f t="shared" si="27"/>
        <v>0</v>
      </c>
      <c r="Y55" s="105">
        <f t="shared" si="27"/>
        <v>0</v>
      </c>
      <c r="Z55" s="105">
        <f t="shared" si="27"/>
        <v>0</v>
      </c>
      <c r="AA55" s="105">
        <f t="shared" si="27"/>
        <v>0</v>
      </c>
      <c r="AB55" s="105">
        <f t="shared" si="27"/>
        <v>0</v>
      </c>
      <c r="AC55" s="105">
        <f t="shared" si="27"/>
        <v>0</v>
      </c>
      <c r="AD55" s="105">
        <f t="shared" si="27"/>
        <v>0</v>
      </c>
      <c r="AE55" s="105">
        <f t="shared" si="27"/>
        <v>0</v>
      </c>
      <c r="AF55" s="106">
        <f t="shared" si="21"/>
        <v>0</v>
      </c>
      <c r="AG55" s="689" t="str">
        <f t="shared" si="24"/>
        <v>Undervisningstillæg</v>
      </c>
      <c r="AH55" s="87">
        <v>50</v>
      </c>
      <c r="AI55" s="690" t="s">
        <v>557</v>
      </c>
      <c r="AJ55" s="690"/>
      <c r="AK55" s="690" t="s">
        <v>557</v>
      </c>
      <c r="AL55" s="87">
        <v>3</v>
      </c>
    </row>
    <row r="56" spans="1:38">
      <c r="A56" s="379"/>
      <c r="B56" s="22">
        <f t="shared" si="25"/>
        <v>53</v>
      </c>
      <c r="C56" s="641">
        <v>1</v>
      </c>
      <c r="D56" s="1">
        <v>0</v>
      </c>
      <c r="E56" s="1">
        <v>1</v>
      </c>
      <c r="F56" s="155" t="s">
        <v>171</v>
      </c>
      <c r="G56" s="105">
        <f>IF(G8="Ja",0,ROUND(G13*G$6*G3/12,2))</f>
        <v>0</v>
      </c>
      <c r="H56" s="105">
        <f>IF(H8="Ja",0,ROUND(H13*H$6*H3/12,2))</f>
        <v>0</v>
      </c>
      <c r="I56" s="105">
        <f t="shared" ref="I56:R56" si="28">IF(I8="Ja",0,ROUND(I13*I$6*I3/12,2))</f>
        <v>0</v>
      </c>
      <c r="J56" s="105">
        <f t="shared" si="28"/>
        <v>0</v>
      </c>
      <c r="K56" s="105">
        <f t="shared" si="28"/>
        <v>0</v>
      </c>
      <c r="L56" s="105">
        <f t="shared" si="28"/>
        <v>0</v>
      </c>
      <c r="M56" s="105">
        <f t="shared" si="28"/>
        <v>0</v>
      </c>
      <c r="N56" s="105">
        <f t="shared" si="28"/>
        <v>0</v>
      </c>
      <c r="O56" s="105">
        <f t="shared" si="28"/>
        <v>0</v>
      </c>
      <c r="P56" s="105">
        <f t="shared" si="28"/>
        <v>0</v>
      </c>
      <c r="Q56" s="105">
        <f t="shared" si="28"/>
        <v>0</v>
      </c>
      <c r="R56" s="105">
        <f t="shared" si="28"/>
        <v>0</v>
      </c>
      <c r="S56" s="105"/>
      <c r="T56" s="910">
        <f t="shared" ref="T56:AE56" si="29">ROUND(T13*T$6*T3/12,2)</f>
        <v>0</v>
      </c>
      <c r="U56" s="105">
        <f t="shared" si="29"/>
        <v>0</v>
      </c>
      <c r="V56" s="105">
        <f t="shared" si="29"/>
        <v>0</v>
      </c>
      <c r="W56" s="105">
        <f t="shared" si="29"/>
        <v>0</v>
      </c>
      <c r="X56" s="105">
        <f t="shared" si="29"/>
        <v>0</v>
      </c>
      <c r="Y56" s="105">
        <f t="shared" si="29"/>
        <v>0</v>
      </c>
      <c r="Z56" s="105">
        <f t="shared" si="29"/>
        <v>0</v>
      </c>
      <c r="AA56" s="105">
        <f t="shared" si="29"/>
        <v>0</v>
      </c>
      <c r="AB56" s="105">
        <f t="shared" si="29"/>
        <v>0</v>
      </c>
      <c r="AC56" s="105">
        <f t="shared" si="29"/>
        <v>0</v>
      </c>
      <c r="AD56" s="105">
        <f t="shared" si="29"/>
        <v>0</v>
      </c>
      <c r="AE56" s="105">
        <f t="shared" si="29"/>
        <v>0</v>
      </c>
      <c r="AF56" s="106">
        <f t="shared" si="21"/>
        <v>0</v>
      </c>
      <c r="AG56" s="689" t="str">
        <f t="shared" si="24"/>
        <v>Souscheftillæg</v>
      </c>
      <c r="AH56" s="87">
        <v>51</v>
      </c>
      <c r="AI56" s="690" t="s">
        <v>557</v>
      </c>
      <c r="AJ56" s="691" t="s">
        <v>557</v>
      </c>
      <c r="AK56" s="690" t="s">
        <v>557</v>
      </c>
      <c r="AL56" s="87">
        <v>4</v>
      </c>
    </row>
    <row r="57" spans="1:38">
      <c r="A57" s="379"/>
      <c r="B57" s="22">
        <f t="shared" si="25"/>
        <v>54</v>
      </c>
      <c r="C57" s="642">
        <f t="shared" ref="C57:E62" si="30">(C14&lt;&gt;"")*1</f>
        <v>1</v>
      </c>
      <c r="D57" s="642">
        <f t="shared" si="30"/>
        <v>0</v>
      </c>
      <c r="E57" s="641">
        <f t="shared" si="30"/>
        <v>1</v>
      </c>
      <c r="F57" s="155" t="s">
        <v>172</v>
      </c>
      <c r="G57" s="105">
        <f>IF(G8="Ja",0,ROUND(G14*G$6*G$3*IF($D57&gt;0,G$10,1)/12,2))</f>
        <v>0</v>
      </c>
      <c r="H57" s="105">
        <f>IF(H8="Ja",0,ROUND(H14*H$6*H$3*IF($D57&gt;0,H$10,1)/12,2))</f>
        <v>0</v>
      </c>
      <c r="I57" s="105">
        <f t="shared" ref="I57:R57" si="31">IF(I8="Ja",0,ROUND(I14*I$6*I$3*IF($D57&gt;0,I$10,1)/12,2))</f>
        <v>0</v>
      </c>
      <c r="J57" s="105">
        <f t="shared" si="31"/>
        <v>0</v>
      </c>
      <c r="K57" s="105">
        <f t="shared" si="31"/>
        <v>0</v>
      </c>
      <c r="L57" s="105">
        <f t="shared" si="31"/>
        <v>0</v>
      </c>
      <c r="M57" s="105">
        <f t="shared" si="31"/>
        <v>0</v>
      </c>
      <c r="N57" s="105">
        <f t="shared" si="31"/>
        <v>0</v>
      </c>
      <c r="O57" s="105">
        <f t="shared" si="31"/>
        <v>0</v>
      </c>
      <c r="P57" s="105">
        <f t="shared" si="31"/>
        <v>0</v>
      </c>
      <c r="Q57" s="105">
        <f t="shared" si="31"/>
        <v>0</v>
      </c>
      <c r="R57" s="105">
        <f t="shared" si="31"/>
        <v>0</v>
      </c>
      <c r="S57" s="105"/>
      <c r="T57" s="910">
        <f t="shared" ref="T57:AE62" si="32">ROUND(T14*T$6*T$3*IF($D57&gt;0,T$10,1)/12,2)</f>
        <v>0</v>
      </c>
      <c r="U57" s="105">
        <f t="shared" si="32"/>
        <v>0</v>
      </c>
      <c r="V57" s="105">
        <f t="shared" si="32"/>
        <v>0</v>
      </c>
      <c r="W57" s="105">
        <f t="shared" si="32"/>
        <v>0</v>
      </c>
      <c r="X57" s="105">
        <f t="shared" si="32"/>
        <v>0</v>
      </c>
      <c r="Y57" s="105">
        <f t="shared" si="32"/>
        <v>0</v>
      </c>
      <c r="Z57" s="105">
        <f t="shared" si="32"/>
        <v>0</v>
      </c>
      <c r="AA57" s="105">
        <f t="shared" si="32"/>
        <v>0</v>
      </c>
      <c r="AB57" s="105">
        <f t="shared" si="32"/>
        <v>0</v>
      </c>
      <c r="AC57" s="105">
        <f t="shared" si="32"/>
        <v>0</v>
      </c>
      <c r="AD57" s="105">
        <f t="shared" si="32"/>
        <v>0</v>
      </c>
      <c r="AE57" s="105">
        <f t="shared" si="32"/>
        <v>0</v>
      </c>
      <c r="AF57" s="106">
        <f t="shared" si="21"/>
        <v>0</v>
      </c>
      <c r="AG57" s="689" t="str">
        <f t="shared" si="24"/>
        <v>Funktionstillæg 1</v>
      </c>
      <c r="AH57" s="697">
        <v>52</v>
      </c>
      <c r="AI57" s="690" t="s">
        <v>557</v>
      </c>
      <c r="AJ57" s="690"/>
      <c r="AK57" s="690" t="s">
        <v>557</v>
      </c>
      <c r="AL57" s="697">
        <v>5</v>
      </c>
    </row>
    <row r="58" spans="1:38">
      <c r="A58" s="379"/>
      <c r="B58" s="22">
        <f t="shared" si="25"/>
        <v>55</v>
      </c>
      <c r="C58" s="642">
        <f t="shared" si="30"/>
        <v>1</v>
      </c>
      <c r="D58" s="642">
        <f t="shared" si="30"/>
        <v>0</v>
      </c>
      <c r="E58" s="641">
        <f t="shared" si="30"/>
        <v>1</v>
      </c>
      <c r="F58" s="155" t="s">
        <v>173</v>
      </c>
      <c r="G58" s="105">
        <f>IF(G8="Ja",0,ROUND(G15*G$6*G$3*IF($D58&gt;0,G$10,1)/12,2))</f>
        <v>0</v>
      </c>
      <c r="H58" s="105">
        <f>IF(H8="Ja",0,ROUND(H15*H$6*H$3*IF($D58&gt;0,H$10,1)/12,2))</f>
        <v>0</v>
      </c>
      <c r="I58" s="105">
        <f t="shared" ref="I58:R58" si="33">IF(I8="Ja",0,ROUND(I15*I$6*I$3*IF($D58&gt;0,I$10,1)/12,2))</f>
        <v>0</v>
      </c>
      <c r="J58" s="105">
        <f t="shared" si="33"/>
        <v>0</v>
      </c>
      <c r="K58" s="105">
        <f t="shared" si="33"/>
        <v>0</v>
      </c>
      <c r="L58" s="105">
        <f t="shared" si="33"/>
        <v>0</v>
      </c>
      <c r="M58" s="105">
        <f t="shared" si="33"/>
        <v>0</v>
      </c>
      <c r="N58" s="105">
        <f t="shared" si="33"/>
        <v>0</v>
      </c>
      <c r="O58" s="105">
        <f t="shared" si="33"/>
        <v>0</v>
      </c>
      <c r="P58" s="105">
        <f t="shared" si="33"/>
        <v>0</v>
      </c>
      <c r="Q58" s="105">
        <f t="shared" si="33"/>
        <v>0</v>
      </c>
      <c r="R58" s="105">
        <f t="shared" si="33"/>
        <v>0</v>
      </c>
      <c r="S58" s="105"/>
      <c r="T58" s="910">
        <f t="shared" si="32"/>
        <v>0</v>
      </c>
      <c r="U58" s="105">
        <f t="shared" si="32"/>
        <v>0</v>
      </c>
      <c r="V58" s="105">
        <f t="shared" si="32"/>
        <v>0</v>
      </c>
      <c r="W58" s="105">
        <f t="shared" si="32"/>
        <v>0</v>
      </c>
      <c r="X58" s="105">
        <f t="shared" si="32"/>
        <v>0</v>
      </c>
      <c r="Y58" s="105">
        <f t="shared" si="32"/>
        <v>0</v>
      </c>
      <c r="Z58" s="105">
        <f t="shared" si="32"/>
        <v>0</v>
      </c>
      <c r="AA58" s="105">
        <f t="shared" si="32"/>
        <v>0</v>
      </c>
      <c r="AB58" s="105">
        <f t="shared" si="32"/>
        <v>0</v>
      </c>
      <c r="AC58" s="105">
        <f t="shared" si="32"/>
        <v>0</v>
      </c>
      <c r="AD58" s="105">
        <f t="shared" si="32"/>
        <v>0</v>
      </c>
      <c r="AE58" s="105">
        <f t="shared" si="32"/>
        <v>0</v>
      </c>
      <c r="AF58" s="106">
        <f t="shared" si="21"/>
        <v>0</v>
      </c>
      <c r="AG58" s="689" t="str">
        <f t="shared" si="24"/>
        <v>Funktionstillæg 2</v>
      </c>
      <c r="AH58" s="697">
        <v>53</v>
      </c>
      <c r="AI58" s="690" t="s">
        <v>557</v>
      </c>
      <c r="AJ58" s="690"/>
      <c r="AK58" s="690" t="s">
        <v>557</v>
      </c>
      <c r="AL58" s="697">
        <v>6</v>
      </c>
    </row>
    <row r="59" spans="1:38">
      <c r="A59" s="379"/>
      <c r="B59" s="22">
        <f t="shared" si="25"/>
        <v>56</v>
      </c>
      <c r="C59" s="642">
        <f t="shared" si="30"/>
        <v>1</v>
      </c>
      <c r="D59" s="642">
        <f t="shared" si="30"/>
        <v>0</v>
      </c>
      <c r="E59" s="641">
        <f t="shared" si="30"/>
        <v>1</v>
      </c>
      <c r="F59" s="155" t="s">
        <v>174</v>
      </c>
      <c r="G59" s="105">
        <f>IF(G8="Ja",0,ROUND(G16*G$6*G$3*IF($D59&gt;0,G$10,1)/12,2))</f>
        <v>0</v>
      </c>
      <c r="H59" s="105">
        <f>IF(H8="Ja",0,ROUND(H16*H$6*H$3*IF($D59&gt;0,H$10,1)/12,2))</f>
        <v>0</v>
      </c>
      <c r="I59" s="105">
        <f t="shared" ref="I59:R59" si="34">IF(I8="Ja",0,ROUND(I16*I$6*I$3*IF($D59&gt;0,I$10,1)/12,2))</f>
        <v>0</v>
      </c>
      <c r="J59" s="105">
        <f t="shared" si="34"/>
        <v>0</v>
      </c>
      <c r="K59" s="105">
        <f t="shared" si="34"/>
        <v>0</v>
      </c>
      <c r="L59" s="105">
        <f t="shared" si="34"/>
        <v>0</v>
      </c>
      <c r="M59" s="105">
        <f t="shared" si="34"/>
        <v>0</v>
      </c>
      <c r="N59" s="105">
        <f t="shared" si="34"/>
        <v>0</v>
      </c>
      <c r="O59" s="105">
        <f t="shared" si="34"/>
        <v>0</v>
      </c>
      <c r="P59" s="105">
        <f t="shared" si="34"/>
        <v>0</v>
      </c>
      <c r="Q59" s="105">
        <f t="shared" si="34"/>
        <v>0</v>
      </c>
      <c r="R59" s="105">
        <f t="shared" si="34"/>
        <v>0</v>
      </c>
      <c r="S59" s="105"/>
      <c r="T59" s="910">
        <f t="shared" si="32"/>
        <v>0</v>
      </c>
      <c r="U59" s="105">
        <f t="shared" si="32"/>
        <v>0</v>
      </c>
      <c r="V59" s="105">
        <f t="shared" si="32"/>
        <v>0</v>
      </c>
      <c r="W59" s="105">
        <f t="shared" si="32"/>
        <v>0</v>
      </c>
      <c r="X59" s="105">
        <f t="shared" si="32"/>
        <v>0</v>
      </c>
      <c r="Y59" s="105">
        <f t="shared" si="32"/>
        <v>0</v>
      </c>
      <c r="Z59" s="105">
        <f t="shared" si="32"/>
        <v>0</v>
      </c>
      <c r="AA59" s="105">
        <f t="shared" si="32"/>
        <v>0</v>
      </c>
      <c r="AB59" s="105">
        <f t="shared" si="32"/>
        <v>0</v>
      </c>
      <c r="AC59" s="105">
        <f t="shared" si="32"/>
        <v>0</v>
      </c>
      <c r="AD59" s="105">
        <f t="shared" si="32"/>
        <v>0</v>
      </c>
      <c r="AE59" s="105">
        <f t="shared" si="32"/>
        <v>0</v>
      </c>
      <c r="AF59" s="106">
        <f t="shared" si="21"/>
        <v>0</v>
      </c>
      <c r="AG59" s="689" t="str">
        <f t="shared" si="24"/>
        <v>Funktionstillæg 3</v>
      </c>
      <c r="AH59" s="697">
        <v>54</v>
      </c>
      <c r="AI59" s="690" t="s">
        <v>557</v>
      </c>
      <c r="AJ59" s="690"/>
      <c r="AK59" s="690" t="s">
        <v>557</v>
      </c>
      <c r="AL59" s="697">
        <v>7</v>
      </c>
    </row>
    <row r="60" spans="1:38">
      <c r="A60" s="379"/>
      <c r="B60" s="22">
        <f t="shared" si="25"/>
        <v>57</v>
      </c>
      <c r="C60" s="642">
        <f t="shared" si="30"/>
        <v>1</v>
      </c>
      <c r="D60" s="642">
        <f t="shared" si="30"/>
        <v>1</v>
      </c>
      <c r="E60" s="641">
        <f>(E18&lt;&gt;"")*1</f>
        <v>1</v>
      </c>
      <c r="F60" s="155" t="s">
        <v>175</v>
      </c>
      <c r="G60" s="105">
        <f>IF(G8="Ja",0,ROUND(G17*G$6*G$3*IF($D60&gt;0,G$10,1)/12,2))</f>
        <v>0</v>
      </c>
      <c r="H60" s="105">
        <f>IF(H8="Ja",0,ROUND(H17*H$6*H$3*IF($D60&gt;0,H$10,1)/12,2))</f>
        <v>0</v>
      </c>
      <c r="I60" s="105">
        <f t="shared" ref="I60:R60" si="35">IF(I8="Ja",0,ROUND(I17*I$6*I$3*IF($D60&gt;0,I$10,1)/12,2))</f>
        <v>0</v>
      </c>
      <c r="J60" s="105">
        <f t="shared" si="35"/>
        <v>0</v>
      </c>
      <c r="K60" s="105">
        <f t="shared" si="35"/>
        <v>0</v>
      </c>
      <c r="L60" s="105">
        <f t="shared" si="35"/>
        <v>0</v>
      </c>
      <c r="M60" s="105">
        <f t="shared" si="35"/>
        <v>0</v>
      </c>
      <c r="N60" s="105">
        <f t="shared" si="35"/>
        <v>0</v>
      </c>
      <c r="O60" s="105">
        <f t="shared" si="35"/>
        <v>0</v>
      </c>
      <c r="P60" s="105">
        <f t="shared" si="35"/>
        <v>0</v>
      </c>
      <c r="Q60" s="105">
        <f t="shared" si="35"/>
        <v>0</v>
      </c>
      <c r="R60" s="105">
        <f t="shared" si="35"/>
        <v>0</v>
      </c>
      <c r="S60" s="105"/>
      <c r="T60" s="910">
        <f t="shared" si="32"/>
        <v>0</v>
      </c>
      <c r="U60" s="105">
        <f t="shared" si="32"/>
        <v>0</v>
      </c>
      <c r="V60" s="105">
        <f t="shared" si="32"/>
        <v>0</v>
      </c>
      <c r="W60" s="105">
        <f t="shared" si="32"/>
        <v>0</v>
      </c>
      <c r="X60" s="105">
        <f t="shared" si="32"/>
        <v>0</v>
      </c>
      <c r="Y60" s="105">
        <f t="shared" si="32"/>
        <v>0</v>
      </c>
      <c r="Z60" s="105">
        <f t="shared" si="32"/>
        <v>0</v>
      </c>
      <c r="AA60" s="105">
        <f t="shared" si="32"/>
        <v>0</v>
      </c>
      <c r="AB60" s="105">
        <f t="shared" si="32"/>
        <v>0</v>
      </c>
      <c r="AC60" s="105">
        <f t="shared" si="32"/>
        <v>0</v>
      </c>
      <c r="AD60" s="105">
        <f t="shared" si="32"/>
        <v>0</v>
      </c>
      <c r="AE60" s="105">
        <f t="shared" si="32"/>
        <v>0</v>
      </c>
      <c r="AF60" s="106">
        <f t="shared" si="21"/>
        <v>0</v>
      </c>
      <c r="AG60" s="689" t="str">
        <f t="shared" si="24"/>
        <v>Kvalifikationstillæg 1</v>
      </c>
      <c r="AH60" s="697">
        <v>55</v>
      </c>
      <c r="AI60" s="690" t="s">
        <v>557</v>
      </c>
      <c r="AJ60" s="690"/>
      <c r="AK60" s="690" t="s">
        <v>557</v>
      </c>
      <c r="AL60" s="697">
        <v>8</v>
      </c>
    </row>
    <row r="61" spans="1:38">
      <c r="A61" s="379"/>
      <c r="B61" s="22">
        <f t="shared" si="25"/>
        <v>58</v>
      </c>
      <c r="C61" s="642">
        <f t="shared" si="30"/>
        <v>1</v>
      </c>
      <c r="D61" s="642">
        <f t="shared" si="30"/>
        <v>1</v>
      </c>
      <c r="E61" s="641">
        <f>(E18&lt;&gt;"")*1</f>
        <v>1</v>
      </c>
      <c r="F61" s="155" t="s">
        <v>176</v>
      </c>
      <c r="G61" s="105">
        <f>IF(G8="Ja",0,ROUND(G18*G$6*G$3*IF($D61&gt;0,G$10,1)/12,2))</f>
        <v>0</v>
      </c>
      <c r="H61" s="105">
        <f>IF(H8="Ja",0,ROUND(H18*H$6*H$3*IF($D61&gt;0,H$10,1)/12,2))</f>
        <v>0</v>
      </c>
      <c r="I61" s="105">
        <f t="shared" ref="I61:R61" si="36">IF(I8="Ja",0,ROUND(I18*I$6*I$3*IF($D61&gt;0,I$10,1)/12,2))</f>
        <v>0</v>
      </c>
      <c r="J61" s="105">
        <f t="shared" si="36"/>
        <v>0</v>
      </c>
      <c r="K61" s="105">
        <f t="shared" si="36"/>
        <v>0</v>
      </c>
      <c r="L61" s="105">
        <f t="shared" si="36"/>
        <v>0</v>
      </c>
      <c r="M61" s="105">
        <f t="shared" si="36"/>
        <v>0</v>
      </c>
      <c r="N61" s="105">
        <f t="shared" si="36"/>
        <v>0</v>
      </c>
      <c r="O61" s="105">
        <f t="shared" si="36"/>
        <v>0</v>
      </c>
      <c r="P61" s="105">
        <f t="shared" si="36"/>
        <v>0</v>
      </c>
      <c r="Q61" s="105">
        <f t="shared" si="36"/>
        <v>0</v>
      </c>
      <c r="R61" s="105">
        <f t="shared" si="36"/>
        <v>0</v>
      </c>
      <c r="S61" s="105"/>
      <c r="T61" s="910">
        <f t="shared" si="32"/>
        <v>0</v>
      </c>
      <c r="U61" s="105">
        <f t="shared" si="32"/>
        <v>0</v>
      </c>
      <c r="V61" s="105">
        <f t="shared" si="32"/>
        <v>0</v>
      </c>
      <c r="W61" s="105">
        <f t="shared" si="32"/>
        <v>0</v>
      </c>
      <c r="X61" s="105">
        <f t="shared" si="32"/>
        <v>0</v>
      </c>
      <c r="Y61" s="105">
        <f t="shared" si="32"/>
        <v>0</v>
      </c>
      <c r="Z61" s="105">
        <f t="shared" si="32"/>
        <v>0</v>
      </c>
      <c r="AA61" s="105">
        <f t="shared" si="32"/>
        <v>0</v>
      </c>
      <c r="AB61" s="105">
        <f t="shared" si="32"/>
        <v>0</v>
      </c>
      <c r="AC61" s="105">
        <f t="shared" si="32"/>
        <v>0</v>
      </c>
      <c r="AD61" s="105">
        <f t="shared" si="32"/>
        <v>0</v>
      </c>
      <c r="AE61" s="105">
        <f t="shared" si="32"/>
        <v>0</v>
      </c>
      <c r="AF61" s="106">
        <f t="shared" si="21"/>
        <v>0</v>
      </c>
      <c r="AG61" s="689" t="str">
        <f t="shared" si="24"/>
        <v>Kvalifikationstillæg 2</v>
      </c>
      <c r="AH61" s="697">
        <v>56</v>
      </c>
      <c r="AI61" s="690" t="s">
        <v>557</v>
      </c>
      <c r="AJ61" s="690"/>
      <c r="AK61" s="690" t="s">
        <v>557</v>
      </c>
      <c r="AL61" s="697">
        <v>9</v>
      </c>
    </row>
    <row r="62" spans="1:38">
      <c r="A62" s="379"/>
      <c r="B62" s="22">
        <f t="shared" si="25"/>
        <v>59</v>
      </c>
      <c r="C62" s="642">
        <f t="shared" si="30"/>
        <v>1</v>
      </c>
      <c r="D62" s="642">
        <f t="shared" si="30"/>
        <v>1</v>
      </c>
      <c r="E62" s="641">
        <f>(E19&lt;&gt;"")*1</f>
        <v>1</v>
      </c>
      <c r="F62" s="155" t="s">
        <v>177</v>
      </c>
      <c r="G62" s="105">
        <f>IF(G8="Ja",0,ROUND(G19*G$6*G$3*IF($D62&gt;0,G$10,1)/12,2))</f>
        <v>0</v>
      </c>
      <c r="H62" s="105">
        <f>IF(H8="Ja",0,ROUND(H19*H$6*H$3*IF($D62&gt;0,H$10,1)/12,2))</f>
        <v>0</v>
      </c>
      <c r="I62" s="105">
        <f t="shared" ref="I62:R62" si="37">IF(I8="Ja",0,ROUND(I19*I$6*I$3*IF($D62&gt;0,I$10,1)/12,2))</f>
        <v>0</v>
      </c>
      <c r="J62" s="105">
        <f t="shared" si="37"/>
        <v>0</v>
      </c>
      <c r="K62" s="105">
        <f t="shared" si="37"/>
        <v>0</v>
      </c>
      <c r="L62" s="105">
        <f t="shared" si="37"/>
        <v>0</v>
      </c>
      <c r="M62" s="105">
        <f t="shared" si="37"/>
        <v>0</v>
      </c>
      <c r="N62" s="105">
        <f t="shared" si="37"/>
        <v>0</v>
      </c>
      <c r="O62" s="105">
        <f t="shared" si="37"/>
        <v>0</v>
      </c>
      <c r="P62" s="105">
        <f t="shared" si="37"/>
        <v>0</v>
      </c>
      <c r="Q62" s="105">
        <f t="shared" si="37"/>
        <v>0</v>
      </c>
      <c r="R62" s="105">
        <f t="shared" si="37"/>
        <v>0</v>
      </c>
      <c r="S62" s="105"/>
      <c r="T62" s="910">
        <f t="shared" si="32"/>
        <v>0</v>
      </c>
      <c r="U62" s="105">
        <f t="shared" si="32"/>
        <v>0</v>
      </c>
      <c r="V62" s="105">
        <f t="shared" si="32"/>
        <v>0</v>
      </c>
      <c r="W62" s="105">
        <f t="shared" si="32"/>
        <v>0</v>
      </c>
      <c r="X62" s="105">
        <f t="shared" si="32"/>
        <v>0</v>
      </c>
      <c r="Y62" s="105">
        <f t="shared" si="32"/>
        <v>0</v>
      </c>
      <c r="Z62" s="105">
        <f t="shared" si="32"/>
        <v>0</v>
      </c>
      <c r="AA62" s="105">
        <f t="shared" si="32"/>
        <v>0</v>
      </c>
      <c r="AB62" s="105">
        <f t="shared" si="32"/>
        <v>0</v>
      </c>
      <c r="AC62" s="105">
        <f t="shared" si="32"/>
        <v>0</v>
      </c>
      <c r="AD62" s="105">
        <f t="shared" si="32"/>
        <v>0</v>
      </c>
      <c r="AE62" s="105">
        <f t="shared" si="32"/>
        <v>0</v>
      </c>
      <c r="AF62" s="106">
        <f t="shared" si="21"/>
        <v>0</v>
      </c>
      <c r="AG62" s="689" t="str">
        <f t="shared" si="24"/>
        <v>Kvalifikationstillæg 3</v>
      </c>
      <c r="AH62" s="697">
        <v>57</v>
      </c>
      <c r="AI62" s="690" t="s">
        <v>557</v>
      </c>
      <c r="AJ62" s="690"/>
      <c r="AK62" s="690" t="s">
        <v>557</v>
      </c>
      <c r="AL62" s="697">
        <v>10</v>
      </c>
    </row>
    <row r="63" spans="1:38">
      <c r="A63" s="379"/>
      <c r="B63" s="22">
        <f t="shared" si="25"/>
        <v>60</v>
      </c>
      <c r="C63" s="641">
        <v>1</v>
      </c>
      <c r="D63" s="1">
        <v>1</v>
      </c>
      <c r="E63" s="1">
        <v>1</v>
      </c>
      <c r="F63" s="155" t="s">
        <v>535</v>
      </c>
      <c r="G63" s="105">
        <f>IF(G8="Ja",0,ROUND(G20*G$6*G$10/12*G3,2))</f>
        <v>0</v>
      </c>
      <c r="H63" s="105">
        <f>IF(H8="Ja",0,ROUND(H20*H$6*H$10/12*H3,2))</f>
        <v>0</v>
      </c>
      <c r="I63" s="105">
        <f t="shared" ref="I63:R63" si="38">IF(I8="Ja",0,ROUND(I20*I$6*I$10/12*I3,2))</f>
        <v>0</v>
      </c>
      <c r="J63" s="105">
        <f t="shared" si="38"/>
        <v>0</v>
      </c>
      <c r="K63" s="105">
        <f t="shared" si="38"/>
        <v>0</v>
      </c>
      <c r="L63" s="105">
        <f t="shared" si="38"/>
        <v>0</v>
      </c>
      <c r="M63" s="105">
        <f t="shared" si="38"/>
        <v>0</v>
      </c>
      <c r="N63" s="105">
        <f t="shared" si="38"/>
        <v>0</v>
      </c>
      <c r="O63" s="105">
        <f t="shared" si="38"/>
        <v>0</v>
      </c>
      <c r="P63" s="105">
        <f t="shared" si="38"/>
        <v>0</v>
      </c>
      <c r="Q63" s="105">
        <f t="shared" si="38"/>
        <v>0</v>
      </c>
      <c r="R63" s="105">
        <f t="shared" si="38"/>
        <v>0</v>
      </c>
      <c r="S63" s="105"/>
      <c r="T63" s="910">
        <f t="shared" ref="T63:AE63" si="39">ROUND(T20*T$6*T$10/12*T3,2)</f>
        <v>0</v>
      </c>
      <c r="U63" s="105">
        <f t="shared" si="39"/>
        <v>0</v>
      </c>
      <c r="V63" s="105">
        <f t="shared" si="39"/>
        <v>0</v>
      </c>
      <c r="W63" s="105">
        <f t="shared" si="39"/>
        <v>0</v>
      </c>
      <c r="X63" s="105">
        <f t="shared" si="39"/>
        <v>0</v>
      </c>
      <c r="Y63" s="105">
        <f t="shared" si="39"/>
        <v>0</v>
      </c>
      <c r="Z63" s="105">
        <f t="shared" si="39"/>
        <v>0</v>
      </c>
      <c r="AA63" s="105">
        <f t="shared" si="39"/>
        <v>0</v>
      </c>
      <c r="AB63" s="105">
        <f t="shared" si="39"/>
        <v>0</v>
      </c>
      <c r="AC63" s="105">
        <f t="shared" si="39"/>
        <v>0</v>
      </c>
      <c r="AD63" s="105">
        <f t="shared" si="39"/>
        <v>0</v>
      </c>
      <c r="AE63" s="105">
        <f t="shared" si="39"/>
        <v>0</v>
      </c>
      <c r="AF63" s="106">
        <f t="shared" si="21"/>
        <v>0</v>
      </c>
      <c r="AG63" s="689" t="str">
        <f t="shared" si="24"/>
        <v>Trin 4-tillæg beregnet 1. aug 2013</v>
      </c>
      <c r="AH63" s="697">
        <v>58</v>
      </c>
      <c r="AI63" s="690" t="s">
        <v>557</v>
      </c>
      <c r="AJ63" s="690"/>
      <c r="AK63" s="690" t="s">
        <v>557</v>
      </c>
      <c r="AL63" s="697">
        <v>11</v>
      </c>
    </row>
    <row r="64" spans="1:38">
      <c r="A64" s="379"/>
      <c r="B64" s="22">
        <f t="shared" si="25"/>
        <v>61</v>
      </c>
      <c r="C64" s="641">
        <v>1</v>
      </c>
      <c r="D64" s="1">
        <v>1</v>
      </c>
      <c r="E64" s="1">
        <v>1</v>
      </c>
      <c r="F64" s="155" t="s">
        <v>114</v>
      </c>
      <c r="G64" s="105">
        <f>IF(G8="Ja",0,ROUND(G21*G$6*G$10/12*G3,2))</f>
        <v>0</v>
      </c>
      <c r="H64" s="105">
        <f>IF(H8="Ja",0,ROUND(H21*H$6*H$10/12*H3,2))</f>
        <v>0</v>
      </c>
      <c r="I64" s="105">
        <f t="shared" ref="I64:R64" si="40">IF(I8="Ja",0,ROUND(I21*I$6*I$10/12*I3,2))</f>
        <v>0</v>
      </c>
      <c r="J64" s="105">
        <f t="shared" si="40"/>
        <v>0</v>
      </c>
      <c r="K64" s="105">
        <f t="shared" si="40"/>
        <v>0</v>
      </c>
      <c r="L64" s="105">
        <f t="shared" si="40"/>
        <v>0</v>
      </c>
      <c r="M64" s="105">
        <f t="shared" si="40"/>
        <v>0</v>
      </c>
      <c r="N64" s="105">
        <f t="shared" si="40"/>
        <v>0</v>
      </c>
      <c r="O64" s="105">
        <f t="shared" si="40"/>
        <v>0</v>
      </c>
      <c r="P64" s="105">
        <f t="shared" si="40"/>
        <v>0</v>
      </c>
      <c r="Q64" s="105">
        <f t="shared" si="40"/>
        <v>0</v>
      </c>
      <c r="R64" s="105">
        <f t="shared" si="40"/>
        <v>0</v>
      </c>
      <c r="S64" s="105"/>
      <c r="T64" s="910">
        <f t="shared" ref="T64:AE64" si="41">ROUND(T21*T$6*T$10/12*T3,2)</f>
        <v>0</v>
      </c>
      <c r="U64" s="105">
        <f t="shared" si="41"/>
        <v>0</v>
      </c>
      <c r="V64" s="105">
        <f t="shared" si="41"/>
        <v>0</v>
      </c>
      <c r="W64" s="105">
        <f t="shared" si="41"/>
        <v>0</v>
      </c>
      <c r="X64" s="105">
        <f t="shared" si="41"/>
        <v>0</v>
      </c>
      <c r="Y64" s="105">
        <f t="shared" si="41"/>
        <v>0</v>
      </c>
      <c r="Z64" s="105">
        <f t="shared" si="41"/>
        <v>0</v>
      </c>
      <c r="AA64" s="105">
        <f t="shared" si="41"/>
        <v>0</v>
      </c>
      <c r="AB64" s="105">
        <f t="shared" si="41"/>
        <v>0</v>
      </c>
      <c r="AC64" s="105">
        <f t="shared" si="41"/>
        <v>0</v>
      </c>
      <c r="AD64" s="105">
        <f t="shared" si="41"/>
        <v>0</v>
      </c>
      <c r="AE64" s="105">
        <f t="shared" si="41"/>
        <v>0</v>
      </c>
      <c r="AF64" s="106">
        <f t="shared" si="21"/>
        <v>0</v>
      </c>
      <c r="AG64" s="689" t="str">
        <f t="shared" si="24"/>
        <v>Udligningstillæg beregnet 1. aug 2004</v>
      </c>
      <c r="AH64" s="697">
        <v>59</v>
      </c>
      <c r="AI64" s="690" t="s">
        <v>557</v>
      </c>
      <c r="AJ64" s="690"/>
      <c r="AK64" s="690" t="s">
        <v>557</v>
      </c>
      <c r="AL64" s="697">
        <v>12</v>
      </c>
    </row>
    <row r="65" spans="1:38">
      <c r="A65" s="379"/>
      <c r="B65" s="22">
        <f t="shared" si="25"/>
        <v>62</v>
      </c>
      <c r="C65" s="641"/>
      <c r="D65" s="1">
        <v>1</v>
      </c>
      <c r="E65" s="1">
        <v>1</v>
      </c>
      <c r="F65" s="155" t="s">
        <v>367</v>
      </c>
      <c r="G65" s="105">
        <f>IF(G8="Ja",0,ROUND((IF(RIGHT(G4)="1",5200)+IF(OR(RIGHT(G4)="2",RIGHT(G4)="3"),7900))*G6/12*G10*G3,2))</f>
        <v>0</v>
      </c>
      <c r="H65" s="105">
        <f>IF(H8="Ja",0,ROUND((IF(RIGHT(H4)="1",5200)+IF(OR(RIGHT(H4)="2",RIGHT(H4)="3"),7900))*H6/12*H10*H3,2))</f>
        <v>0</v>
      </c>
      <c r="I65" s="105">
        <f t="shared" ref="I65:R65" si="42">IF(I8="Ja",0,ROUND((IF(RIGHT(I4)="1",5200)+IF(OR(RIGHT(I4)="2",RIGHT(I4)="3"),7900))*I6/12*I10*I3,2))</f>
        <v>0</v>
      </c>
      <c r="J65" s="105">
        <f t="shared" si="42"/>
        <v>0</v>
      </c>
      <c r="K65" s="105">
        <f t="shared" si="42"/>
        <v>0</v>
      </c>
      <c r="L65" s="105">
        <f t="shared" si="42"/>
        <v>0</v>
      </c>
      <c r="M65" s="105">
        <f t="shared" si="42"/>
        <v>0</v>
      </c>
      <c r="N65" s="105">
        <f t="shared" si="42"/>
        <v>0</v>
      </c>
      <c r="O65" s="105">
        <f t="shared" si="42"/>
        <v>0</v>
      </c>
      <c r="P65" s="105">
        <f t="shared" si="42"/>
        <v>0</v>
      </c>
      <c r="Q65" s="105">
        <f t="shared" si="42"/>
        <v>0</v>
      </c>
      <c r="R65" s="105">
        <f t="shared" si="42"/>
        <v>0</v>
      </c>
      <c r="S65" s="105"/>
      <c r="T65" s="910">
        <f t="shared" ref="T65:AE65" si="43">ROUND((IF(RIGHT(T4)="1",5200)+IF(OR(RIGHT(T4)="2",RIGHT(T4)="3"),7900))*T6/12*T10*T3,2)</f>
        <v>0</v>
      </c>
      <c r="U65" s="105">
        <f t="shared" si="43"/>
        <v>0</v>
      </c>
      <c r="V65" s="105">
        <f t="shared" si="43"/>
        <v>0</v>
      </c>
      <c r="W65" s="105">
        <f t="shared" si="43"/>
        <v>0</v>
      </c>
      <c r="X65" s="105">
        <f t="shared" si="43"/>
        <v>0</v>
      </c>
      <c r="Y65" s="105">
        <f t="shared" si="43"/>
        <v>0</v>
      </c>
      <c r="Z65" s="105">
        <f t="shared" si="43"/>
        <v>0</v>
      </c>
      <c r="AA65" s="105">
        <f t="shared" si="43"/>
        <v>0</v>
      </c>
      <c r="AB65" s="105">
        <f t="shared" si="43"/>
        <v>0</v>
      </c>
      <c r="AC65" s="105">
        <f t="shared" si="43"/>
        <v>0</v>
      </c>
      <c r="AD65" s="105">
        <f t="shared" si="43"/>
        <v>0</v>
      </c>
      <c r="AE65" s="105">
        <f t="shared" si="43"/>
        <v>0</v>
      </c>
      <c r="AF65" s="106">
        <f t="shared" si="21"/>
        <v>0</v>
      </c>
      <c r="AG65" s="689" t="str">
        <f t="shared" si="24"/>
        <v>OK08-tillæg</v>
      </c>
      <c r="AH65" s="697">
        <v>60</v>
      </c>
      <c r="AI65" s="690"/>
      <c r="AJ65" s="690"/>
      <c r="AK65" s="690"/>
      <c r="AL65" s="697">
        <v>13</v>
      </c>
    </row>
    <row r="66" spans="1:38">
      <c r="A66" s="379"/>
      <c r="B66" s="22">
        <f t="shared" si="25"/>
        <v>63</v>
      </c>
      <c r="C66" s="641">
        <v>1</v>
      </c>
      <c r="D66" s="1">
        <v>1</v>
      </c>
      <c r="E66" s="1">
        <v>1</v>
      </c>
      <c r="F66" s="155" t="s">
        <v>348</v>
      </c>
      <c r="G66" s="105">
        <f>IF(G8="Ja",0,ROUND(2800*G$6*G$10*G3/12,2))</f>
        <v>0</v>
      </c>
      <c r="H66" s="105">
        <f>IF(H8="Ja",0,ROUND(2800*H$6*H$10*H3/12,2))</f>
        <v>0</v>
      </c>
      <c r="I66" s="105">
        <f t="shared" ref="I66:R66" si="44">IF(I8="Ja",0,ROUND(2800*I$6*I$10*I3/12,2))</f>
        <v>0</v>
      </c>
      <c r="J66" s="105">
        <f t="shared" si="44"/>
        <v>0</v>
      </c>
      <c r="K66" s="105">
        <f t="shared" si="44"/>
        <v>0</v>
      </c>
      <c r="L66" s="105">
        <f t="shared" si="44"/>
        <v>0</v>
      </c>
      <c r="M66" s="105">
        <f t="shared" si="44"/>
        <v>0</v>
      </c>
      <c r="N66" s="105">
        <f t="shared" si="44"/>
        <v>0</v>
      </c>
      <c r="O66" s="105">
        <f t="shared" si="44"/>
        <v>0</v>
      </c>
      <c r="P66" s="105">
        <f t="shared" si="44"/>
        <v>0</v>
      </c>
      <c r="Q66" s="105">
        <f t="shared" si="44"/>
        <v>0</v>
      </c>
      <c r="R66" s="105">
        <f t="shared" si="44"/>
        <v>0</v>
      </c>
      <c r="S66" s="105"/>
      <c r="T66" s="910">
        <f t="shared" ref="T66:AE66" si="45">ROUND(2800*T$6*T$10*T3/12,2)</f>
        <v>0</v>
      </c>
      <c r="U66" s="105">
        <f t="shared" si="45"/>
        <v>0</v>
      </c>
      <c r="V66" s="105">
        <f t="shared" si="45"/>
        <v>0</v>
      </c>
      <c r="W66" s="105">
        <f t="shared" si="45"/>
        <v>0</v>
      </c>
      <c r="X66" s="105">
        <f t="shared" si="45"/>
        <v>0</v>
      </c>
      <c r="Y66" s="105">
        <f t="shared" si="45"/>
        <v>0</v>
      </c>
      <c r="Z66" s="105">
        <f t="shared" si="45"/>
        <v>0</v>
      </c>
      <c r="AA66" s="105">
        <f t="shared" si="45"/>
        <v>0</v>
      </c>
      <c r="AB66" s="105">
        <f t="shared" si="45"/>
        <v>0</v>
      </c>
      <c r="AC66" s="105">
        <f t="shared" si="45"/>
        <v>0</v>
      </c>
      <c r="AD66" s="105">
        <f t="shared" si="45"/>
        <v>0</v>
      </c>
      <c r="AE66" s="105">
        <f t="shared" si="45"/>
        <v>0</v>
      </c>
      <c r="AF66" s="106">
        <f t="shared" si="21"/>
        <v>0</v>
      </c>
      <c r="AG66" s="689" t="str">
        <f t="shared" si="24"/>
        <v>OK13-tillæg</v>
      </c>
      <c r="AH66" s="697">
        <v>61</v>
      </c>
      <c r="AI66" s="690" t="s">
        <v>557</v>
      </c>
      <c r="AJ66" s="690" t="s">
        <v>557</v>
      </c>
      <c r="AK66" s="690" t="s">
        <v>557</v>
      </c>
      <c r="AL66" s="697">
        <v>14</v>
      </c>
    </row>
    <row r="67" spans="1:38">
      <c r="A67" s="379"/>
      <c r="B67" s="22">
        <f t="shared" si="25"/>
        <v>64</v>
      </c>
      <c r="C67" s="641">
        <v>1</v>
      </c>
      <c r="D67" s="641">
        <v>1</v>
      </c>
      <c r="E67" s="641">
        <v>1</v>
      </c>
      <c r="F67" s="155" t="s">
        <v>711</v>
      </c>
      <c r="G67" s="1163">
        <f t="shared" ref="G67:N67" si="46">IF(G8="Ja",0,ROUND(4100*G$6*G$10*G3/12,2))</f>
        <v>0</v>
      </c>
      <c r="H67" s="1163">
        <f t="shared" si="46"/>
        <v>0</v>
      </c>
      <c r="I67" s="1163">
        <f t="shared" si="46"/>
        <v>0</v>
      </c>
      <c r="J67" s="1163">
        <f t="shared" si="46"/>
        <v>0</v>
      </c>
      <c r="K67" s="1163">
        <f t="shared" si="46"/>
        <v>0</v>
      </c>
      <c r="L67" s="1163">
        <f t="shared" si="46"/>
        <v>0</v>
      </c>
      <c r="M67" s="1163">
        <f t="shared" si="46"/>
        <v>0</v>
      </c>
      <c r="N67" s="1163">
        <f t="shared" si="46"/>
        <v>0</v>
      </c>
      <c r="O67" s="1163">
        <f>IF(O8="Ja",0,ROUND(4100*O$6*O$10*O3/12,2))</f>
        <v>0</v>
      </c>
      <c r="P67" s="105">
        <f t="shared" ref="P67:Q67" si="47">IF(P8="Ja",0,ROUND(4100*P$6*P$10*P3/12,2))</f>
        <v>0</v>
      </c>
      <c r="Q67" s="105">
        <f t="shared" si="47"/>
        <v>0</v>
      </c>
      <c r="R67" s="105">
        <f>IF(R8="Ja",0,ROUND(4100*R$6*R$10*R3/12,2))</f>
        <v>0</v>
      </c>
      <c r="S67" s="105"/>
      <c r="T67" s="910">
        <f>ROUND(4100*T$6*T$10*T3/12,2)</f>
        <v>0</v>
      </c>
      <c r="U67" s="910">
        <f t="shared" ref="U67:AE67" si="48">ROUND(4100*U$6*U$10*U3/12,2)</f>
        <v>0</v>
      </c>
      <c r="V67" s="910">
        <f t="shared" si="48"/>
        <v>0</v>
      </c>
      <c r="W67" s="910">
        <f t="shared" si="48"/>
        <v>0</v>
      </c>
      <c r="X67" s="910">
        <f t="shared" si="48"/>
        <v>0</v>
      </c>
      <c r="Y67" s="910">
        <f t="shared" si="48"/>
        <v>0</v>
      </c>
      <c r="Z67" s="910">
        <f t="shared" si="48"/>
        <v>0</v>
      </c>
      <c r="AA67" s="910">
        <f t="shared" si="48"/>
        <v>0</v>
      </c>
      <c r="AB67" s="910">
        <f t="shared" si="48"/>
        <v>0</v>
      </c>
      <c r="AC67" s="910">
        <f t="shared" si="48"/>
        <v>0</v>
      </c>
      <c r="AD67" s="910">
        <f t="shared" si="48"/>
        <v>0</v>
      </c>
      <c r="AE67" s="910">
        <f t="shared" si="48"/>
        <v>0</v>
      </c>
      <c r="AF67" s="106">
        <f t="shared" si="21"/>
        <v>0</v>
      </c>
      <c r="AG67" s="689" t="str">
        <f t="shared" si="24"/>
        <v>OK24-tillæg</v>
      </c>
      <c r="AH67" s="697">
        <v>62</v>
      </c>
      <c r="AI67" s="690" t="s">
        <v>557</v>
      </c>
      <c r="AJ67" s="690" t="s">
        <v>557</v>
      </c>
      <c r="AK67" s="690" t="s">
        <v>557</v>
      </c>
      <c r="AL67" s="697">
        <v>15</v>
      </c>
    </row>
    <row r="68" spans="1:38">
      <c r="A68" s="379"/>
      <c r="B68" s="22">
        <f t="shared" si="25"/>
        <v>65</v>
      </c>
      <c r="C68" s="642">
        <f>(C23&lt;&gt;"")*1</f>
        <v>1</v>
      </c>
      <c r="D68" s="642">
        <f>(D23&lt;&gt;"")*1</f>
        <v>0</v>
      </c>
      <c r="E68" s="642">
        <f>(E23&lt;&gt;"")*1</f>
        <v>0</v>
      </c>
      <c r="F68" s="155" t="s">
        <v>159</v>
      </c>
      <c r="G68" s="105">
        <f>IF(G8="Ja",0,G$23*IF($D68&gt;0,G$10,1)*IF($E68&gt;0,G$6,1)*$G3)</f>
        <v>0</v>
      </c>
      <c r="H68" s="105">
        <f>IF(H8="Ja",0,H$23*IF($D68&gt;0,H$10,1)*IF($E68&gt;0,H$6,1)*$G3)</f>
        <v>0</v>
      </c>
      <c r="I68" s="105">
        <f t="shared" ref="I68:R68" si="49">IF(I8="Ja",0,I$23*IF($D68&gt;0,I$10,1)*IF($E68&gt;0,I$6,1)*$G3)</f>
        <v>0</v>
      </c>
      <c r="J68" s="105">
        <f t="shared" si="49"/>
        <v>0</v>
      </c>
      <c r="K68" s="105">
        <f t="shared" si="49"/>
        <v>0</v>
      </c>
      <c r="L68" s="105">
        <f t="shared" si="49"/>
        <v>0</v>
      </c>
      <c r="M68" s="105">
        <f t="shared" si="49"/>
        <v>0</v>
      </c>
      <c r="N68" s="105">
        <f t="shared" si="49"/>
        <v>0</v>
      </c>
      <c r="O68" s="105">
        <f t="shared" si="49"/>
        <v>0</v>
      </c>
      <c r="P68" s="105">
        <f t="shared" si="49"/>
        <v>0</v>
      </c>
      <c r="Q68" s="105">
        <f t="shared" si="49"/>
        <v>0</v>
      </c>
      <c r="R68" s="105">
        <f t="shared" si="49"/>
        <v>0</v>
      </c>
      <c r="S68" s="105"/>
      <c r="T68" s="910">
        <f>T$23*IF($D68&gt;0,T$10,1)*IF($E68&gt;0,T$6,1)*$G3</f>
        <v>0</v>
      </c>
      <c r="U68" s="105">
        <f t="shared" ref="U68:AE68" si="50">U23*IF($D68&gt;0,U$10,1)*IF($E68&gt;0,U$6,1)*U3</f>
        <v>0</v>
      </c>
      <c r="V68" s="105">
        <f t="shared" si="50"/>
        <v>0</v>
      </c>
      <c r="W68" s="105">
        <f t="shared" si="50"/>
        <v>0</v>
      </c>
      <c r="X68" s="105">
        <f t="shared" si="50"/>
        <v>0</v>
      </c>
      <c r="Y68" s="105">
        <f t="shared" si="50"/>
        <v>0</v>
      </c>
      <c r="Z68" s="105">
        <f t="shared" si="50"/>
        <v>0</v>
      </c>
      <c r="AA68" s="105">
        <f t="shared" si="50"/>
        <v>0</v>
      </c>
      <c r="AB68" s="105">
        <f t="shared" si="50"/>
        <v>0</v>
      </c>
      <c r="AC68" s="105">
        <f t="shared" si="50"/>
        <v>0</v>
      </c>
      <c r="AD68" s="105">
        <f t="shared" si="50"/>
        <v>0</v>
      </c>
      <c r="AE68" s="105">
        <f t="shared" si="50"/>
        <v>0</v>
      </c>
      <c r="AF68" s="106">
        <f t="shared" si="21"/>
        <v>0</v>
      </c>
      <c r="AG68" s="689" t="str">
        <f t="shared" si="24"/>
        <v>Fast lokalaftalt godtgørelse</v>
      </c>
      <c r="AH68" s="697">
        <v>63</v>
      </c>
      <c r="AI68" s="690" t="s">
        <v>558</v>
      </c>
      <c r="AJ68" s="690"/>
      <c r="AK68" s="690" t="s">
        <v>558</v>
      </c>
      <c r="AL68" s="697">
        <v>16</v>
      </c>
    </row>
    <row r="69" spans="1:38">
      <c r="A69" s="379"/>
      <c r="B69" s="22">
        <f t="shared" si="25"/>
        <v>66</v>
      </c>
      <c r="C69" s="643"/>
      <c r="D69" s="644"/>
      <c r="E69" s="644"/>
      <c r="F69" s="155" t="s">
        <v>160</v>
      </c>
      <c r="G69" s="208">
        <f>IF(G8="Ja",0,IF(G10&gt;0,108.35*G3,0))</f>
        <v>0</v>
      </c>
      <c r="H69" s="208">
        <f>IF(H8="Ja",0,IF(H10&gt;0,108.35*H3,0))</f>
        <v>0</v>
      </c>
      <c r="I69" s="208">
        <f t="shared" ref="I69:R69" si="51">IF(I8="Ja",0,IF(I10&gt;0,108.35*I3,0))</f>
        <v>0</v>
      </c>
      <c r="J69" s="208">
        <f t="shared" si="51"/>
        <v>0</v>
      </c>
      <c r="K69" s="208">
        <f t="shared" si="51"/>
        <v>0</v>
      </c>
      <c r="L69" s="208">
        <f t="shared" si="51"/>
        <v>0</v>
      </c>
      <c r="M69" s="208">
        <f t="shared" si="51"/>
        <v>0</v>
      </c>
      <c r="N69" s="208">
        <f t="shared" si="51"/>
        <v>0</v>
      </c>
      <c r="O69" s="208">
        <f t="shared" si="51"/>
        <v>0</v>
      </c>
      <c r="P69" s="208">
        <f t="shared" si="51"/>
        <v>0</v>
      </c>
      <c r="Q69" s="208">
        <f t="shared" si="51"/>
        <v>0</v>
      </c>
      <c r="R69" s="208">
        <f t="shared" si="51"/>
        <v>0</v>
      </c>
      <c r="S69" s="208"/>
      <c r="T69" s="911">
        <f t="shared" ref="T69:AE69" si="52">IF(T10&gt;0,108.35*T3,0)</f>
        <v>0</v>
      </c>
      <c r="U69" s="208">
        <f t="shared" si="52"/>
        <v>0</v>
      </c>
      <c r="V69" s="208">
        <f t="shared" si="52"/>
        <v>0</v>
      </c>
      <c r="W69" s="208">
        <f t="shared" si="52"/>
        <v>0</v>
      </c>
      <c r="X69" s="208">
        <f t="shared" si="52"/>
        <v>0</v>
      </c>
      <c r="Y69" s="208">
        <f t="shared" si="52"/>
        <v>0</v>
      </c>
      <c r="Z69" s="208">
        <f t="shared" si="52"/>
        <v>0</v>
      </c>
      <c r="AA69" s="208">
        <f t="shared" si="52"/>
        <v>0</v>
      </c>
      <c r="AB69" s="208">
        <f t="shared" si="52"/>
        <v>0</v>
      </c>
      <c r="AC69" s="208">
        <f t="shared" si="52"/>
        <v>0</v>
      </c>
      <c r="AD69" s="208">
        <f t="shared" si="52"/>
        <v>0</v>
      </c>
      <c r="AE69" s="208">
        <f t="shared" si="52"/>
        <v>0</v>
      </c>
      <c r="AF69" s="106">
        <f t="shared" si="21"/>
        <v>0</v>
      </c>
      <c r="AG69" s="86"/>
      <c r="AH69" s="86"/>
      <c r="AI69" s="86"/>
      <c r="AJ69" s="86"/>
      <c r="AK69" s="86"/>
      <c r="AL69" s="86"/>
    </row>
    <row r="70" spans="1:38">
      <c r="A70" s="379"/>
      <c r="B70" s="22">
        <f t="shared" si="25"/>
        <v>67</v>
      </c>
      <c r="C70" s="643"/>
      <c r="D70" s="644"/>
      <c r="E70" s="644"/>
      <c r="F70" s="155" t="s">
        <v>549</v>
      </c>
      <c r="G70" s="208">
        <f>-(MAX(0,MIN(G$24,G$25*1))+G$28)*4.62%*(SUM(G$53:G$69)+G88-G$54-G$65-G$69-G68*($C$68=0))</f>
        <v>0</v>
      </c>
      <c r="H70" s="208">
        <f t="shared" ref="H70:R70" si="53">-(MAX(0,MIN(H$24,H$25*1))+H$28)*4.62%*(SUM(H$53:H$69)+H88-H$54-H$65-H$69-H68*($C$68=0))</f>
        <v>0</v>
      </c>
      <c r="I70" s="208">
        <f t="shared" si="53"/>
        <v>0</v>
      </c>
      <c r="J70" s="208">
        <f t="shared" si="53"/>
        <v>0</v>
      </c>
      <c r="K70" s="208">
        <f t="shared" si="53"/>
        <v>0</v>
      </c>
      <c r="L70" s="208">
        <f t="shared" si="53"/>
        <v>0</v>
      </c>
      <c r="M70" s="208">
        <f t="shared" si="53"/>
        <v>0</v>
      </c>
      <c r="N70" s="208">
        <f t="shared" si="53"/>
        <v>0</v>
      </c>
      <c r="O70" s="208">
        <f t="shared" si="53"/>
        <v>0</v>
      </c>
      <c r="P70" s="208">
        <f t="shared" si="53"/>
        <v>0</v>
      </c>
      <c r="Q70" s="208">
        <f t="shared" si="53"/>
        <v>0</v>
      </c>
      <c r="R70" s="208">
        <f t="shared" si="53"/>
        <v>0</v>
      </c>
      <c r="S70" s="208"/>
      <c r="T70" s="911">
        <f t="shared" ref="T70:AE70" si="54">-(MAX(0,MIN(T$24,T$25*1))+T$28)*4.62%*(SUM(T$53:T$69)-T$54-T$65-T$69-T68*($C$68=0))</f>
        <v>0</v>
      </c>
      <c r="U70" s="208">
        <f t="shared" si="54"/>
        <v>0</v>
      </c>
      <c r="V70" s="208">
        <f t="shared" si="54"/>
        <v>0</v>
      </c>
      <c r="W70" s="208">
        <f t="shared" si="54"/>
        <v>0</v>
      </c>
      <c r="X70" s="208">
        <f t="shared" si="54"/>
        <v>0</v>
      </c>
      <c r="Y70" s="208">
        <f t="shared" si="54"/>
        <v>0</v>
      </c>
      <c r="Z70" s="208">
        <f t="shared" si="54"/>
        <v>0</v>
      </c>
      <c r="AA70" s="208">
        <f t="shared" si="54"/>
        <v>0</v>
      </c>
      <c r="AB70" s="208">
        <f t="shared" si="54"/>
        <v>0</v>
      </c>
      <c r="AC70" s="208">
        <f t="shared" si="54"/>
        <v>0</v>
      </c>
      <c r="AD70" s="208">
        <f t="shared" si="54"/>
        <v>0</v>
      </c>
      <c r="AE70" s="208">
        <f t="shared" si="54"/>
        <v>0</v>
      </c>
      <c r="AF70" s="106">
        <f t="shared" si="21"/>
        <v>0</v>
      </c>
      <c r="AG70" s="86">
        <f>-10*4.62%*(R53+R55+R66+R68)</f>
        <v>0</v>
      </c>
      <c r="AH70" s="86"/>
      <c r="AI70" s="86"/>
      <c r="AJ70" s="86"/>
      <c r="AK70" s="86"/>
      <c r="AL70" s="86"/>
    </row>
    <row r="71" spans="1:38">
      <c r="A71" s="379"/>
      <c r="B71" s="22">
        <f t="shared" si="25"/>
        <v>68</v>
      </c>
      <c r="C71" s="643"/>
      <c r="D71" s="644"/>
      <c r="E71" s="644"/>
      <c r="F71" s="155" t="s">
        <v>550</v>
      </c>
      <c r="G71" s="208">
        <f>-(MAX(0,MIN(G$24,G$25*1))+G$28)*4.62%*SUM(G54+G65+G68*($C68&lt;&gt;1))</f>
        <v>0</v>
      </c>
      <c r="H71" s="208">
        <f>-(MAX(0,MIN(H$24,H$25*1))+H$28)*4.62%*SUM(H54+H65+H68*($C68&lt;&gt;1))</f>
        <v>0</v>
      </c>
      <c r="I71" s="208">
        <f t="shared" ref="I71:R71" si="55">-(MAX(0,MIN(I$24,I$25*1))+I$28)*4.62%*SUM(I54+I65+I68*($C68&lt;&gt;1))</f>
        <v>0</v>
      </c>
      <c r="J71" s="208">
        <f t="shared" si="55"/>
        <v>0</v>
      </c>
      <c r="K71" s="208">
        <f t="shared" si="55"/>
        <v>0</v>
      </c>
      <c r="L71" s="208">
        <f t="shared" si="55"/>
        <v>0</v>
      </c>
      <c r="M71" s="208">
        <f t="shared" si="55"/>
        <v>0</v>
      </c>
      <c r="N71" s="208">
        <f t="shared" si="55"/>
        <v>0</v>
      </c>
      <c r="O71" s="208">
        <f t="shared" si="55"/>
        <v>0</v>
      </c>
      <c r="P71" s="208">
        <f t="shared" si="55"/>
        <v>0</v>
      </c>
      <c r="Q71" s="208">
        <f t="shared" si="55"/>
        <v>0</v>
      </c>
      <c r="R71" s="208">
        <f t="shared" si="55"/>
        <v>0</v>
      </c>
      <c r="S71" s="208"/>
      <c r="T71" s="911">
        <f t="shared" ref="T71:AE71" si="56">-(MAX(0,MIN(T$24,T$25*1))+T$28)*4.62%*SUM(T54+T65+T68*($C68&lt;&gt;1)+T69)</f>
        <v>0</v>
      </c>
      <c r="U71" s="208">
        <f t="shared" si="56"/>
        <v>0</v>
      </c>
      <c r="V71" s="208">
        <f t="shared" si="56"/>
        <v>0</v>
      </c>
      <c r="W71" s="208">
        <f t="shared" si="56"/>
        <v>0</v>
      </c>
      <c r="X71" s="208">
        <f t="shared" si="56"/>
        <v>0</v>
      </c>
      <c r="Y71" s="208">
        <f t="shared" si="56"/>
        <v>0</v>
      </c>
      <c r="Z71" s="208">
        <f t="shared" si="56"/>
        <v>0</v>
      </c>
      <c r="AA71" s="208">
        <f t="shared" si="56"/>
        <v>0</v>
      </c>
      <c r="AB71" s="208">
        <f t="shared" si="56"/>
        <v>0</v>
      </c>
      <c r="AC71" s="208">
        <f t="shared" si="56"/>
        <v>0</v>
      </c>
      <c r="AD71" s="208">
        <f t="shared" si="56"/>
        <v>0</v>
      </c>
      <c r="AE71" s="208">
        <f t="shared" si="56"/>
        <v>0</v>
      </c>
      <c r="AF71" s="106">
        <f t="shared" si="21"/>
        <v>0</v>
      </c>
      <c r="AG71" s="86"/>
      <c r="AH71" s="86"/>
      <c r="AI71" s="86"/>
      <c r="AJ71" s="86"/>
      <c r="AK71" s="86"/>
      <c r="AL71" s="86"/>
    </row>
    <row r="72" spans="1:38">
      <c r="A72" s="379"/>
      <c r="B72" s="22">
        <f t="shared" si="25"/>
        <v>69</v>
      </c>
      <c r="C72" s="643"/>
      <c r="D72" s="644"/>
      <c r="E72" s="644"/>
      <c r="F72" s="693" t="s">
        <v>559</v>
      </c>
      <c r="G72" s="694">
        <f t="shared" ref="G72:AE73" si="57">G26</f>
        <v>0</v>
      </c>
      <c r="H72" s="694">
        <f t="shared" si="57"/>
        <v>0</v>
      </c>
      <c r="I72" s="694">
        <f t="shared" si="57"/>
        <v>0</v>
      </c>
      <c r="J72" s="694">
        <f t="shared" si="57"/>
        <v>0</v>
      </c>
      <c r="K72" s="694">
        <f t="shared" si="57"/>
        <v>0</v>
      </c>
      <c r="L72" s="694">
        <f t="shared" si="57"/>
        <v>0</v>
      </c>
      <c r="M72" s="694">
        <f t="shared" si="57"/>
        <v>0</v>
      </c>
      <c r="N72" s="694">
        <f t="shared" si="57"/>
        <v>0</v>
      </c>
      <c r="O72" s="694">
        <f t="shared" si="57"/>
        <v>0</v>
      </c>
      <c r="P72" s="694">
        <f t="shared" si="57"/>
        <v>0</v>
      </c>
      <c r="Q72" s="694">
        <f t="shared" si="57"/>
        <v>0</v>
      </c>
      <c r="R72" s="694">
        <f t="shared" si="57"/>
        <v>0</v>
      </c>
      <c r="S72" s="694"/>
      <c r="T72" s="911">
        <f t="shared" si="57"/>
        <v>0</v>
      </c>
      <c r="U72" s="694">
        <f t="shared" si="57"/>
        <v>0</v>
      </c>
      <c r="V72" s="694">
        <f t="shared" si="57"/>
        <v>0</v>
      </c>
      <c r="W72" s="694">
        <f t="shared" si="57"/>
        <v>0</v>
      </c>
      <c r="X72" s="694">
        <f t="shared" si="57"/>
        <v>0</v>
      </c>
      <c r="Y72" s="694">
        <f t="shared" si="57"/>
        <v>0</v>
      </c>
      <c r="Z72" s="694">
        <f t="shared" si="57"/>
        <v>0</v>
      </c>
      <c r="AA72" s="694">
        <f t="shared" si="57"/>
        <v>0</v>
      </c>
      <c r="AB72" s="694">
        <f t="shared" si="57"/>
        <v>0</v>
      </c>
      <c r="AC72" s="694">
        <f t="shared" si="57"/>
        <v>0</v>
      </c>
      <c r="AD72" s="694">
        <f t="shared" si="57"/>
        <v>0</v>
      </c>
      <c r="AE72" s="694">
        <f t="shared" si="57"/>
        <v>0</v>
      </c>
      <c r="AF72" s="106">
        <f t="shared" si="21"/>
        <v>0</v>
      </c>
      <c r="AG72" s="86"/>
      <c r="AH72" s="86"/>
      <c r="AI72" s="86"/>
      <c r="AJ72" s="86"/>
      <c r="AK72" s="86"/>
      <c r="AL72" s="86"/>
    </row>
    <row r="73" spans="1:38">
      <c r="A73" s="379"/>
      <c r="B73" s="22">
        <f t="shared" si="25"/>
        <v>70</v>
      </c>
      <c r="C73" s="643"/>
      <c r="D73" s="644"/>
      <c r="E73" s="644"/>
      <c r="F73" s="693" t="s">
        <v>560</v>
      </c>
      <c r="G73" s="694">
        <f t="shared" si="57"/>
        <v>0</v>
      </c>
      <c r="H73" s="694">
        <f t="shared" si="57"/>
        <v>0</v>
      </c>
      <c r="I73" s="694">
        <f t="shared" si="57"/>
        <v>0</v>
      </c>
      <c r="J73" s="694">
        <f t="shared" si="57"/>
        <v>0</v>
      </c>
      <c r="K73" s="694">
        <f t="shared" si="57"/>
        <v>0</v>
      </c>
      <c r="L73" s="694">
        <f t="shared" si="57"/>
        <v>0</v>
      </c>
      <c r="M73" s="694">
        <f t="shared" si="57"/>
        <v>0</v>
      </c>
      <c r="N73" s="694">
        <f t="shared" si="57"/>
        <v>0</v>
      </c>
      <c r="O73" s="694">
        <f t="shared" si="57"/>
        <v>0</v>
      </c>
      <c r="P73" s="694">
        <f t="shared" si="57"/>
        <v>0</v>
      </c>
      <c r="Q73" s="694">
        <f t="shared" si="57"/>
        <v>0</v>
      </c>
      <c r="R73" s="694">
        <f t="shared" si="57"/>
        <v>0</v>
      </c>
      <c r="S73" s="694"/>
      <c r="T73" s="911">
        <f t="shared" si="57"/>
        <v>0</v>
      </c>
      <c r="U73" s="694">
        <f t="shared" si="57"/>
        <v>0</v>
      </c>
      <c r="V73" s="694">
        <f t="shared" si="57"/>
        <v>0</v>
      </c>
      <c r="W73" s="694">
        <f t="shared" si="57"/>
        <v>0</v>
      </c>
      <c r="X73" s="694">
        <f t="shared" si="57"/>
        <v>0</v>
      </c>
      <c r="Y73" s="694">
        <f t="shared" si="57"/>
        <v>0</v>
      </c>
      <c r="Z73" s="694">
        <f t="shared" si="57"/>
        <v>0</v>
      </c>
      <c r="AA73" s="694">
        <f t="shared" si="57"/>
        <v>0</v>
      </c>
      <c r="AB73" s="694">
        <f t="shared" si="57"/>
        <v>0</v>
      </c>
      <c r="AC73" s="694">
        <f t="shared" si="57"/>
        <v>0</v>
      </c>
      <c r="AD73" s="694">
        <f t="shared" si="57"/>
        <v>0</v>
      </c>
      <c r="AE73" s="694">
        <f t="shared" si="57"/>
        <v>0</v>
      </c>
      <c r="AF73" s="106">
        <f t="shared" si="21"/>
        <v>0</v>
      </c>
      <c r="AG73" s="86"/>
      <c r="AH73" s="86"/>
      <c r="AI73" s="86"/>
      <c r="AJ73" s="86"/>
      <c r="AK73" s="86"/>
      <c r="AL73" s="86"/>
    </row>
    <row r="74" spans="1:38">
      <c r="A74" s="379"/>
      <c r="B74" s="22">
        <f t="shared" si="25"/>
        <v>71</v>
      </c>
      <c r="C74" s="643"/>
      <c r="D74" s="644"/>
      <c r="E74" s="644"/>
      <c r="F74" s="155" t="s">
        <v>419</v>
      </c>
      <c r="G74" s="211">
        <f t="shared" ref="G74:K75" si="58">$D31*G31</f>
        <v>0</v>
      </c>
      <c r="H74" s="211">
        <f t="shared" si="58"/>
        <v>0</v>
      </c>
      <c r="I74" s="211">
        <f t="shared" si="58"/>
        <v>0</v>
      </c>
      <c r="J74" s="211">
        <f t="shared" si="58"/>
        <v>0</v>
      </c>
      <c r="K74" s="211">
        <f t="shared" si="58"/>
        <v>0</v>
      </c>
      <c r="L74" s="645">
        <f t="shared" ref="L74:R75" si="59">$E31*L31</f>
        <v>0</v>
      </c>
      <c r="M74" s="645">
        <f t="shared" si="59"/>
        <v>0</v>
      </c>
      <c r="N74" s="645">
        <f t="shared" si="59"/>
        <v>0</v>
      </c>
      <c r="O74" s="645">
        <f t="shared" si="59"/>
        <v>0</v>
      </c>
      <c r="P74" s="645">
        <f t="shared" si="59"/>
        <v>0</v>
      </c>
      <c r="Q74" s="645">
        <f t="shared" si="59"/>
        <v>0</v>
      </c>
      <c r="R74" s="645">
        <f t="shared" si="59"/>
        <v>0</v>
      </c>
      <c r="S74" s="645"/>
      <c r="T74" s="912">
        <f t="shared" ref="T74:X75" si="60">$D31*T31</f>
        <v>0</v>
      </c>
      <c r="U74" s="211">
        <f t="shared" si="60"/>
        <v>0</v>
      </c>
      <c r="V74" s="211">
        <f t="shared" si="60"/>
        <v>0</v>
      </c>
      <c r="W74" s="211">
        <f t="shared" si="60"/>
        <v>0</v>
      </c>
      <c r="X74" s="211">
        <f t="shared" si="60"/>
        <v>0</v>
      </c>
      <c r="Y74" s="645">
        <f t="shared" ref="Y74:AE75" si="61">$E31*Y31</f>
        <v>0</v>
      </c>
      <c r="Z74" s="645">
        <f t="shared" si="61"/>
        <v>0</v>
      </c>
      <c r="AA74" s="645">
        <f t="shared" si="61"/>
        <v>0</v>
      </c>
      <c r="AB74" s="645">
        <f t="shared" si="61"/>
        <v>0</v>
      </c>
      <c r="AC74" s="645">
        <f t="shared" si="61"/>
        <v>0</v>
      </c>
      <c r="AD74" s="645">
        <f t="shared" si="61"/>
        <v>0</v>
      </c>
      <c r="AE74" s="645">
        <f t="shared" si="61"/>
        <v>0</v>
      </c>
      <c r="AF74" s="106">
        <f t="shared" si="21"/>
        <v>0</v>
      </c>
      <c r="AG74" s="86"/>
      <c r="AH74" s="86"/>
      <c r="AI74" s="86"/>
      <c r="AJ74" s="86"/>
      <c r="AK74" s="86"/>
      <c r="AL74" s="86"/>
    </row>
    <row r="75" spans="1:38">
      <c r="A75" s="379"/>
      <c r="B75" s="22">
        <f t="shared" si="25"/>
        <v>72</v>
      </c>
      <c r="C75" s="643"/>
      <c r="D75" s="644"/>
      <c r="E75" s="644"/>
      <c r="F75" s="155" t="s">
        <v>420</v>
      </c>
      <c r="G75" s="211">
        <f t="shared" si="58"/>
        <v>0</v>
      </c>
      <c r="H75" s="211">
        <f t="shared" si="58"/>
        <v>0</v>
      </c>
      <c r="I75" s="211">
        <f t="shared" si="58"/>
        <v>0</v>
      </c>
      <c r="J75" s="211">
        <f t="shared" si="58"/>
        <v>0</v>
      </c>
      <c r="K75" s="211">
        <f t="shared" si="58"/>
        <v>0</v>
      </c>
      <c r="L75" s="645">
        <f t="shared" si="59"/>
        <v>0</v>
      </c>
      <c r="M75" s="645">
        <f t="shared" si="59"/>
        <v>0</v>
      </c>
      <c r="N75" s="645">
        <f t="shared" si="59"/>
        <v>0</v>
      </c>
      <c r="O75" s="645">
        <f t="shared" si="59"/>
        <v>0</v>
      </c>
      <c r="P75" s="645">
        <f t="shared" si="59"/>
        <v>0</v>
      </c>
      <c r="Q75" s="645">
        <f t="shared" si="59"/>
        <v>0</v>
      </c>
      <c r="R75" s="645">
        <f t="shared" si="59"/>
        <v>0</v>
      </c>
      <c r="S75" s="645"/>
      <c r="T75" s="912">
        <f t="shared" si="60"/>
        <v>0</v>
      </c>
      <c r="U75" s="211">
        <f t="shared" si="60"/>
        <v>0</v>
      </c>
      <c r="V75" s="211">
        <f t="shared" si="60"/>
        <v>0</v>
      </c>
      <c r="W75" s="211">
        <f t="shared" si="60"/>
        <v>0</v>
      </c>
      <c r="X75" s="211">
        <f t="shared" si="60"/>
        <v>0</v>
      </c>
      <c r="Y75" s="645">
        <f t="shared" si="61"/>
        <v>0</v>
      </c>
      <c r="Z75" s="645">
        <f t="shared" si="61"/>
        <v>0</v>
      </c>
      <c r="AA75" s="645">
        <f t="shared" si="61"/>
        <v>0</v>
      </c>
      <c r="AB75" s="645">
        <f t="shared" si="61"/>
        <v>0</v>
      </c>
      <c r="AC75" s="645">
        <f t="shared" si="61"/>
        <v>0</v>
      </c>
      <c r="AD75" s="645">
        <f t="shared" si="61"/>
        <v>0</v>
      </c>
      <c r="AE75" s="645">
        <f t="shared" si="61"/>
        <v>0</v>
      </c>
      <c r="AF75" s="106">
        <f t="shared" si="21"/>
        <v>0</v>
      </c>
      <c r="AG75" s="86"/>
      <c r="AH75" s="86"/>
      <c r="AI75" s="86"/>
      <c r="AJ75" s="86"/>
      <c r="AK75" s="86"/>
      <c r="AL75" s="86"/>
    </row>
    <row r="76" spans="1:38">
      <c r="A76" s="379"/>
      <c r="B76" s="22">
        <f t="shared" si="25"/>
        <v>73</v>
      </c>
      <c r="C76" s="643"/>
      <c r="D76" s="644"/>
      <c r="E76" s="644"/>
      <c r="F76" s="156" t="s">
        <v>421</v>
      </c>
      <c r="G76" s="211">
        <f t="shared" ref="G76:AE76" si="62">G33</f>
        <v>0</v>
      </c>
      <c r="H76" s="211">
        <f t="shared" si="62"/>
        <v>0</v>
      </c>
      <c r="I76" s="211">
        <f t="shared" si="62"/>
        <v>0</v>
      </c>
      <c r="J76" s="211">
        <f t="shared" si="62"/>
        <v>0</v>
      </c>
      <c r="K76" s="211">
        <f t="shared" si="62"/>
        <v>0</v>
      </c>
      <c r="L76" s="211">
        <f t="shared" si="62"/>
        <v>0</v>
      </c>
      <c r="M76" s="211">
        <f t="shared" si="62"/>
        <v>0</v>
      </c>
      <c r="N76" s="211">
        <f t="shared" si="62"/>
        <v>0</v>
      </c>
      <c r="O76" s="211">
        <f t="shared" si="62"/>
        <v>0</v>
      </c>
      <c r="P76" s="211">
        <f t="shared" si="62"/>
        <v>0</v>
      </c>
      <c r="Q76" s="211">
        <f t="shared" si="62"/>
        <v>0</v>
      </c>
      <c r="R76" s="211">
        <f t="shared" si="62"/>
        <v>0</v>
      </c>
      <c r="S76" s="211"/>
      <c r="T76" s="912">
        <f t="shared" si="62"/>
        <v>0</v>
      </c>
      <c r="U76" s="211">
        <f t="shared" si="62"/>
        <v>0</v>
      </c>
      <c r="V76" s="211">
        <f t="shared" si="62"/>
        <v>0</v>
      </c>
      <c r="W76" s="211">
        <f t="shared" si="62"/>
        <v>0</v>
      </c>
      <c r="X76" s="211">
        <f t="shared" si="62"/>
        <v>0</v>
      </c>
      <c r="Y76" s="211">
        <f t="shared" si="62"/>
        <v>0</v>
      </c>
      <c r="Z76" s="211">
        <f t="shared" si="62"/>
        <v>0</v>
      </c>
      <c r="AA76" s="211">
        <f t="shared" si="62"/>
        <v>0</v>
      </c>
      <c r="AB76" s="211">
        <f t="shared" si="62"/>
        <v>0</v>
      </c>
      <c r="AC76" s="211">
        <f t="shared" si="62"/>
        <v>0</v>
      </c>
      <c r="AD76" s="211">
        <f t="shared" si="62"/>
        <v>0</v>
      </c>
      <c r="AE76" s="211">
        <f t="shared" si="62"/>
        <v>0</v>
      </c>
      <c r="AF76" s="106">
        <f t="shared" si="21"/>
        <v>0</v>
      </c>
      <c r="AG76" s="86"/>
      <c r="AH76" s="86"/>
      <c r="AI76" s="86"/>
      <c r="AJ76" s="86"/>
      <c r="AK76" s="86"/>
      <c r="AL76" s="86"/>
    </row>
    <row r="77" spans="1:38">
      <c r="A77" s="379"/>
      <c r="B77" s="22">
        <f t="shared" si="25"/>
        <v>74</v>
      </c>
      <c r="C77" s="643"/>
      <c r="D77" s="644"/>
      <c r="E77" s="644"/>
      <c r="F77" s="156" t="s">
        <v>422</v>
      </c>
      <c r="G77" s="211">
        <f t="shared" ref="G77:AE77" si="63">MIN(8000,G34*G6)</f>
        <v>0</v>
      </c>
      <c r="H77" s="211">
        <f t="shared" si="63"/>
        <v>0</v>
      </c>
      <c r="I77" s="211">
        <f t="shared" si="63"/>
        <v>0</v>
      </c>
      <c r="J77" s="211">
        <f t="shared" si="63"/>
        <v>0</v>
      </c>
      <c r="K77" s="211">
        <f t="shared" si="63"/>
        <v>0</v>
      </c>
      <c r="L77" s="211">
        <f t="shared" si="63"/>
        <v>0</v>
      </c>
      <c r="M77" s="211">
        <f t="shared" si="63"/>
        <v>0</v>
      </c>
      <c r="N77" s="211">
        <f t="shared" si="63"/>
        <v>0</v>
      </c>
      <c r="O77" s="211">
        <f t="shared" si="63"/>
        <v>0</v>
      </c>
      <c r="P77" s="211">
        <f t="shared" si="63"/>
        <v>0</v>
      </c>
      <c r="Q77" s="211">
        <f t="shared" si="63"/>
        <v>0</v>
      </c>
      <c r="R77" s="211">
        <f t="shared" si="63"/>
        <v>0</v>
      </c>
      <c r="S77" s="211"/>
      <c r="T77" s="912">
        <f t="shared" si="63"/>
        <v>0</v>
      </c>
      <c r="U77" s="211">
        <f t="shared" si="63"/>
        <v>0</v>
      </c>
      <c r="V77" s="211">
        <f t="shared" si="63"/>
        <v>0</v>
      </c>
      <c r="W77" s="211">
        <f t="shared" si="63"/>
        <v>0</v>
      </c>
      <c r="X77" s="211">
        <f t="shared" si="63"/>
        <v>0</v>
      </c>
      <c r="Y77" s="211">
        <f t="shared" si="63"/>
        <v>0</v>
      </c>
      <c r="Z77" s="211">
        <f t="shared" si="63"/>
        <v>0</v>
      </c>
      <c r="AA77" s="211">
        <f t="shared" si="63"/>
        <v>0</v>
      </c>
      <c r="AB77" s="211">
        <f t="shared" si="63"/>
        <v>0</v>
      </c>
      <c r="AC77" s="211">
        <f t="shared" si="63"/>
        <v>0</v>
      </c>
      <c r="AD77" s="211">
        <f t="shared" si="63"/>
        <v>0</v>
      </c>
      <c r="AE77" s="211">
        <f t="shared" si="63"/>
        <v>0</v>
      </c>
      <c r="AF77" s="106">
        <f t="shared" si="21"/>
        <v>0</v>
      </c>
      <c r="AG77" s="86"/>
      <c r="AH77" s="86"/>
      <c r="AI77" s="86"/>
      <c r="AJ77" s="86"/>
      <c r="AK77" s="86"/>
      <c r="AL77" s="86"/>
    </row>
    <row r="78" spans="1:38">
      <c r="A78" s="379"/>
      <c r="B78" s="22">
        <f t="shared" si="25"/>
        <v>75</v>
      </c>
      <c r="C78" s="643"/>
      <c r="D78" s="644"/>
      <c r="E78" s="644"/>
      <c r="F78" s="156" t="s">
        <v>637</v>
      </c>
      <c r="G78" s="211">
        <f t="shared" ref="G78:AE78" si="64">IF(G36&gt;0,163.64*G6*G36,0)</f>
        <v>0</v>
      </c>
      <c r="H78" s="211">
        <f t="shared" si="64"/>
        <v>0</v>
      </c>
      <c r="I78" s="211">
        <f t="shared" si="64"/>
        <v>0</v>
      </c>
      <c r="J78" s="211">
        <f t="shared" si="64"/>
        <v>0</v>
      </c>
      <c r="K78" s="211">
        <f t="shared" si="64"/>
        <v>0</v>
      </c>
      <c r="L78" s="211">
        <f t="shared" si="64"/>
        <v>0</v>
      </c>
      <c r="M78" s="211">
        <f t="shared" si="64"/>
        <v>0</v>
      </c>
      <c r="N78" s="211">
        <f t="shared" si="64"/>
        <v>0</v>
      </c>
      <c r="O78" s="211">
        <f t="shared" si="64"/>
        <v>0</v>
      </c>
      <c r="P78" s="211">
        <f t="shared" si="64"/>
        <v>0</v>
      </c>
      <c r="Q78" s="211">
        <f t="shared" si="64"/>
        <v>0</v>
      </c>
      <c r="R78" s="211">
        <f t="shared" si="64"/>
        <v>0</v>
      </c>
      <c r="S78" s="211"/>
      <c r="T78" s="912">
        <f t="shared" si="64"/>
        <v>0</v>
      </c>
      <c r="U78" s="211">
        <f t="shared" si="64"/>
        <v>0</v>
      </c>
      <c r="V78" s="211">
        <f t="shared" si="64"/>
        <v>0</v>
      </c>
      <c r="W78" s="211">
        <f t="shared" si="64"/>
        <v>0</v>
      </c>
      <c r="X78" s="211">
        <f t="shared" si="64"/>
        <v>0</v>
      </c>
      <c r="Y78" s="211">
        <f t="shared" si="64"/>
        <v>0</v>
      </c>
      <c r="Z78" s="211">
        <f t="shared" si="64"/>
        <v>0</v>
      </c>
      <c r="AA78" s="211">
        <f t="shared" si="64"/>
        <v>0</v>
      </c>
      <c r="AB78" s="211">
        <f t="shared" si="64"/>
        <v>0</v>
      </c>
      <c r="AC78" s="211">
        <f t="shared" si="64"/>
        <v>0</v>
      </c>
      <c r="AD78" s="211">
        <f t="shared" si="64"/>
        <v>0</v>
      </c>
      <c r="AE78" s="211">
        <f t="shared" si="64"/>
        <v>0</v>
      </c>
      <c r="AF78" s="106"/>
      <c r="AG78" s="86"/>
      <c r="AH78" s="86"/>
      <c r="AI78" s="86"/>
      <c r="AJ78" s="86"/>
      <c r="AK78" s="86"/>
      <c r="AL78" s="86"/>
    </row>
    <row r="79" spans="1:38">
      <c r="A79" s="379"/>
      <c r="B79" s="22">
        <f t="shared" si="25"/>
        <v>76</v>
      </c>
      <c r="C79" s="643"/>
      <c r="D79" s="644"/>
      <c r="E79" s="644"/>
      <c r="F79" s="156" t="s">
        <v>639</v>
      </c>
      <c r="G79" s="211">
        <f t="shared" ref="G79:AE79" si="65">IF(G37&gt;0,372.2*G6*G37,0)</f>
        <v>0</v>
      </c>
      <c r="H79" s="211">
        <f t="shared" si="65"/>
        <v>0</v>
      </c>
      <c r="I79" s="211">
        <f t="shared" si="65"/>
        <v>0</v>
      </c>
      <c r="J79" s="211">
        <f t="shared" si="65"/>
        <v>0</v>
      </c>
      <c r="K79" s="211">
        <f t="shared" si="65"/>
        <v>0</v>
      </c>
      <c r="L79" s="211">
        <f t="shared" si="65"/>
        <v>0</v>
      </c>
      <c r="M79" s="211">
        <f t="shared" si="65"/>
        <v>0</v>
      </c>
      <c r="N79" s="211">
        <f t="shared" si="65"/>
        <v>0</v>
      </c>
      <c r="O79" s="211">
        <f t="shared" si="65"/>
        <v>0</v>
      </c>
      <c r="P79" s="211">
        <f t="shared" si="65"/>
        <v>0</v>
      </c>
      <c r="Q79" s="211">
        <f t="shared" si="65"/>
        <v>0</v>
      </c>
      <c r="R79" s="211">
        <f t="shared" si="65"/>
        <v>0</v>
      </c>
      <c r="S79" s="211"/>
      <c r="T79" s="912">
        <f t="shared" si="65"/>
        <v>0</v>
      </c>
      <c r="U79" s="211">
        <f t="shared" si="65"/>
        <v>0</v>
      </c>
      <c r="V79" s="211">
        <f t="shared" si="65"/>
        <v>0</v>
      </c>
      <c r="W79" s="211">
        <f t="shared" si="65"/>
        <v>0</v>
      </c>
      <c r="X79" s="211">
        <f t="shared" si="65"/>
        <v>0</v>
      </c>
      <c r="Y79" s="211">
        <f t="shared" si="65"/>
        <v>0</v>
      </c>
      <c r="Z79" s="211">
        <f t="shared" si="65"/>
        <v>0</v>
      </c>
      <c r="AA79" s="211">
        <f t="shared" si="65"/>
        <v>0</v>
      </c>
      <c r="AB79" s="211">
        <f t="shared" si="65"/>
        <v>0</v>
      </c>
      <c r="AC79" s="211">
        <f t="shared" si="65"/>
        <v>0</v>
      </c>
      <c r="AD79" s="211">
        <f t="shared" si="65"/>
        <v>0</v>
      </c>
      <c r="AE79" s="211">
        <f t="shared" si="65"/>
        <v>0</v>
      </c>
      <c r="AF79" s="106"/>
      <c r="AG79" s="86"/>
      <c r="AH79" s="86"/>
      <c r="AI79" s="86"/>
      <c r="AJ79" s="86"/>
      <c r="AK79" s="86"/>
      <c r="AL79" s="86"/>
    </row>
    <row r="80" spans="1:38">
      <c r="A80" s="379"/>
      <c r="B80" s="22">
        <f>B77+1</f>
        <v>75</v>
      </c>
      <c r="C80" s="643"/>
      <c r="D80" s="644"/>
      <c r="E80" s="644"/>
      <c r="F80" s="1055" t="s">
        <v>685</v>
      </c>
      <c r="G80" s="211">
        <f>IF(G35&gt;0,G35*(19*G$6),0)</f>
        <v>0</v>
      </c>
      <c r="H80" s="211">
        <f>IF(H35&gt;0,H35*(19*H$6),0)</f>
        <v>0</v>
      </c>
      <c r="I80" s="211">
        <f t="shared" ref="I80:R80" si="66">IF(I35&gt;0,I35*(19*I$6),0)</f>
        <v>0</v>
      </c>
      <c r="J80" s="211">
        <f t="shared" si="66"/>
        <v>0</v>
      </c>
      <c r="K80" s="211">
        <f t="shared" si="66"/>
        <v>0</v>
      </c>
      <c r="L80" s="211">
        <f t="shared" si="66"/>
        <v>0</v>
      </c>
      <c r="M80" s="211">
        <f t="shared" si="66"/>
        <v>0</v>
      </c>
      <c r="N80" s="211">
        <f t="shared" si="66"/>
        <v>0</v>
      </c>
      <c r="O80" s="211">
        <f t="shared" si="66"/>
        <v>0</v>
      </c>
      <c r="P80" s="211">
        <f t="shared" si="66"/>
        <v>0</v>
      </c>
      <c r="Q80" s="211">
        <f t="shared" si="66"/>
        <v>0</v>
      </c>
      <c r="R80" s="211">
        <f t="shared" si="66"/>
        <v>0</v>
      </c>
      <c r="S80" s="211"/>
      <c r="T80" s="912">
        <f t="shared" ref="T80:AE80" si="67">ROUND(T35*ROUND(19*T$6,2),0)</f>
        <v>0</v>
      </c>
      <c r="U80" s="211">
        <f t="shared" si="67"/>
        <v>0</v>
      </c>
      <c r="V80" s="211">
        <f t="shared" si="67"/>
        <v>0</v>
      </c>
      <c r="W80" s="211">
        <f t="shared" si="67"/>
        <v>0</v>
      </c>
      <c r="X80" s="211">
        <f t="shared" si="67"/>
        <v>0</v>
      </c>
      <c r="Y80" s="211">
        <f t="shared" si="67"/>
        <v>0</v>
      </c>
      <c r="Z80" s="211">
        <f t="shared" si="67"/>
        <v>0</v>
      </c>
      <c r="AA80" s="211">
        <f t="shared" si="67"/>
        <v>0</v>
      </c>
      <c r="AB80" s="211">
        <f t="shared" si="67"/>
        <v>0</v>
      </c>
      <c r="AC80" s="211">
        <f t="shared" si="67"/>
        <v>0</v>
      </c>
      <c r="AD80" s="211">
        <f t="shared" si="67"/>
        <v>0</v>
      </c>
      <c r="AE80" s="211">
        <f t="shared" si="67"/>
        <v>0</v>
      </c>
      <c r="AF80" s="106">
        <f>SUM(G80:R80)</f>
        <v>0</v>
      </c>
      <c r="AG80" s="86"/>
      <c r="AH80" s="86"/>
      <c r="AI80" s="86"/>
      <c r="AJ80" s="86"/>
      <c r="AK80" s="86"/>
      <c r="AL80" s="86"/>
    </row>
    <row r="81" spans="1:38">
      <c r="A81" s="379"/>
      <c r="B81" s="22">
        <f t="shared" si="25"/>
        <v>76</v>
      </c>
      <c r="C81" s="643"/>
      <c r="D81" s="644"/>
      <c r="E81" s="644"/>
      <c r="F81" s="156" t="s">
        <v>425</v>
      </c>
      <c r="G81" s="211">
        <f>IF(G38&gt;0,G38*G$163*25%,0)</f>
        <v>0</v>
      </c>
      <c r="H81" s="211">
        <f>IF(H38&gt;0,H38*H$163*25%,0)</f>
        <v>0</v>
      </c>
      <c r="I81" s="211">
        <f t="shared" ref="I81:AE81" si="68">IF(I38&gt;0,I38*I$163*25%,0)</f>
        <v>0</v>
      </c>
      <c r="J81" s="211">
        <f t="shared" si="68"/>
        <v>0</v>
      </c>
      <c r="K81" s="211">
        <f t="shared" si="68"/>
        <v>0</v>
      </c>
      <c r="L81" s="211">
        <f t="shared" si="68"/>
        <v>0</v>
      </c>
      <c r="M81" s="211">
        <f t="shared" si="68"/>
        <v>0</v>
      </c>
      <c r="N81" s="211">
        <f t="shared" si="68"/>
        <v>0</v>
      </c>
      <c r="O81" s="211">
        <f t="shared" si="68"/>
        <v>0</v>
      </c>
      <c r="P81" s="211">
        <f t="shared" si="68"/>
        <v>0</v>
      </c>
      <c r="Q81" s="211">
        <f t="shared" si="68"/>
        <v>0</v>
      </c>
      <c r="R81" s="211">
        <f t="shared" si="68"/>
        <v>0</v>
      </c>
      <c r="S81" s="211"/>
      <c r="T81" s="912">
        <f t="shared" si="68"/>
        <v>0</v>
      </c>
      <c r="U81" s="211">
        <f t="shared" si="68"/>
        <v>0</v>
      </c>
      <c r="V81" s="211">
        <f t="shared" si="68"/>
        <v>0</v>
      </c>
      <c r="W81" s="211">
        <f t="shared" si="68"/>
        <v>0</v>
      </c>
      <c r="X81" s="211">
        <f t="shared" si="68"/>
        <v>0</v>
      </c>
      <c r="Y81" s="211">
        <f t="shared" si="68"/>
        <v>0</v>
      </c>
      <c r="Z81" s="211">
        <f t="shared" si="68"/>
        <v>0</v>
      </c>
      <c r="AA81" s="211">
        <f t="shared" si="68"/>
        <v>0</v>
      </c>
      <c r="AB81" s="211">
        <f t="shared" si="68"/>
        <v>0</v>
      </c>
      <c r="AC81" s="211">
        <f t="shared" si="68"/>
        <v>0</v>
      </c>
      <c r="AD81" s="211">
        <f t="shared" si="68"/>
        <v>0</v>
      </c>
      <c r="AE81" s="211">
        <f t="shared" si="68"/>
        <v>0</v>
      </c>
      <c r="AF81" s="106">
        <f t="shared" si="21"/>
        <v>0</v>
      </c>
      <c r="AG81" s="86"/>
      <c r="AH81" s="86"/>
      <c r="AI81" s="86"/>
      <c r="AJ81" s="86"/>
      <c r="AK81" s="86"/>
      <c r="AL81" s="86"/>
    </row>
    <row r="82" spans="1:38">
      <c r="A82" s="379"/>
      <c r="B82" s="22">
        <f t="shared" si="25"/>
        <v>77</v>
      </c>
      <c r="C82" s="643"/>
      <c r="D82" s="644"/>
      <c r="E82" s="644"/>
      <c r="F82" s="156" t="s">
        <v>426</v>
      </c>
      <c r="G82" s="211">
        <f t="shared" ref="G82:AE82" si="69">IF(G39&gt;0,G39*G$163*50%,0)</f>
        <v>0</v>
      </c>
      <c r="H82" s="211">
        <f t="shared" si="69"/>
        <v>0</v>
      </c>
      <c r="I82" s="211">
        <f t="shared" si="69"/>
        <v>0</v>
      </c>
      <c r="J82" s="211">
        <f t="shared" si="69"/>
        <v>0</v>
      </c>
      <c r="K82" s="211">
        <f t="shared" si="69"/>
        <v>0</v>
      </c>
      <c r="L82" s="211">
        <f t="shared" si="69"/>
        <v>0</v>
      </c>
      <c r="M82" s="211">
        <f t="shared" si="69"/>
        <v>0</v>
      </c>
      <c r="N82" s="211">
        <f t="shared" si="69"/>
        <v>0</v>
      </c>
      <c r="O82" s="211">
        <f t="shared" si="69"/>
        <v>0</v>
      </c>
      <c r="P82" s="211">
        <f t="shared" si="69"/>
        <v>0</v>
      </c>
      <c r="Q82" s="211">
        <f t="shared" si="69"/>
        <v>0</v>
      </c>
      <c r="R82" s="211">
        <f t="shared" si="69"/>
        <v>0</v>
      </c>
      <c r="S82" s="211"/>
      <c r="T82" s="912">
        <f t="shared" si="69"/>
        <v>0</v>
      </c>
      <c r="U82" s="211">
        <f t="shared" si="69"/>
        <v>0</v>
      </c>
      <c r="V82" s="211">
        <f t="shared" si="69"/>
        <v>0</v>
      </c>
      <c r="W82" s="211">
        <f t="shared" si="69"/>
        <v>0</v>
      </c>
      <c r="X82" s="211">
        <f t="shared" si="69"/>
        <v>0</v>
      </c>
      <c r="Y82" s="211">
        <f t="shared" si="69"/>
        <v>0</v>
      </c>
      <c r="Z82" s="211">
        <f t="shared" si="69"/>
        <v>0</v>
      </c>
      <c r="AA82" s="211">
        <f t="shared" si="69"/>
        <v>0</v>
      </c>
      <c r="AB82" s="211">
        <f t="shared" si="69"/>
        <v>0</v>
      </c>
      <c r="AC82" s="211">
        <f t="shared" si="69"/>
        <v>0</v>
      </c>
      <c r="AD82" s="211">
        <f t="shared" si="69"/>
        <v>0</v>
      </c>
      <c r="AE82" s="211">
        <f t="shared" si="69"/>
        <v>0</v>
      </c>
      <c r="AF82" s="106">
        <f t="shared" si="21"/>
        <v>0</v>
      </c>
      <c r="AG82" s="86"/>
      <c r="AH82" s="86"/>
      <c r="AI82" s="86"/>
      <c r="AJ82" s="86"/>
      <c r="AK82" s="86"/>
      <c r="AL82" s="86"/>
    </row>
    <row r="83" spans="1:38">
      <c r="A83" s="379"/>
      <c r="B83" s="22">
        <f t="shared" si="25"/>
        <v>78</v>
      </c>
      <c r="C83" s="643"/>
      <c r="D83" s="644"/>
      <c r="E83" s="644"/>
      <c r="F83" s="156" t="s">
        <v>490</v>
      </c>
      <c r="G83" s="211">
        <f t="shared" ref="G83:AE83" si="70">IF(G40&gt;0,G40*G$163,0)</f>
        <v>0</v>
      </c>
      <c r="H83" s="211">
        <f t="shared" si="70"/>
        <v>0</v>
      </c>
      <c r="I83" s="211">
        <f t="shared" si="70"/>
        <v>0</v>
      </c>
      <c r="J83" s="211">
        <f t="shared" si="70"/>
        <v>0</v>
      </c>
      <c r="K83" s="211">
        <f t="shared" si="70"/>
        <v>0</v>
      </c>
      <c r="L83" s="211">
        <f t="shared" si="70"/>
        <v>0</v>
      </c>
      <c r="M83" s="211">
        <f t="shared" si="70"/>
        <v>0</v>
      </c>
      <c r="N83" s="211">
        <f t="shared" si="70"/>
        <v>0</v>
      </c>
      <c r="O83" s="211">
        <f t="shared" si="70"/>
        <v>0</v>
      </c>
      <c r="P83" s="211">
        <f t="shared" si="70"/>
        <v>0</v>
      </c>
      <c r="Q83" s="211">
        <f t="shared" si="70"/>
        <v>0</v>
      </c>
      <c r="R83" s="211">
        <f t="shared" si="70"/>
        <v>0</v>
      </c>
      <c r="S83" s="211"/>
      <c r="T83" s="912">
        <f t="shared" si="70"/>
        <v>0</v>
      </c>
      <c r="U83" s="211">
        <f t="shared" si="70"/>
        <v>0</v>
      </c>
      <c r="V83" s="211">
        <f t="shared" si="70"/>
        <v>0</v>
      </c>
      <c r="W83" s="211">
        <f t="shared" si="70"/>
        <v>0</v>
      </c>
      <c r="X83" s="211">
        <f t="shared" si="70"/>
        <v>0</v>
      </c>
      <c r="Y83" s="211">
        <f t="shared" si="70"/>
        <v>0</v>
      </c>
      <c r="Z83" s="211">
        <f t="shared" si="70"/>
        <v>0</v>
      </c>
      <c r="AA83" s="211">
        <f t="shared" si="70"/>
        <v>0</v>
      </c>
      <c r="AB83" s="211">
        <f t="shared" si="70"/>
        <v>0</v>
      </c>
      <c r="AC83" s="211">
        <f t="shared" si="70"/>
        <v>0</v>
      </c>
      <c r="AD83" s="211">
        <f t="shared" si="70"/>
        <v>0</v>
      </c>
      <c r="AE83" s="211">
        <f t="shared" si="70"/>
        <v>0</v>
      </c>
      <c r="AF83" s="106">
        <f t="shared" si="21"/>
        <v>0</v>
      </c>
      <c r="AG83" s="86"/>
      <c r="AH83" s="86"/>
      <c r="AI83" s="86"/>
      <c r="AJ83" s="86"/>
      <c r="AK83" s="86"/>
      <c r="AL83" s="86"/>
    </row>
    <row r="84" spans="1:38">
      <c r="A84" s="379"/>
      <c r="B84" s="22">
        <f t="shared" si="25"/>
        <v>79</v>
      </c>
      <c r="C84" s="643"/>
      <c r="D84" s="644"/>
      <c r="E84" s="644"/>
      <c r="F84" s="156" t="s">
        <v>640</v>
      </c>
      <c r="G84" s="211">
        <f t="shared" ref="G84:AE84" si="71">IF(G41&gt;0,267.31*G6*G41,0)</f>
        <v>0</v>
      </c>
      <c r="H84" s="211">
        <f t="shared" si="71"/>
        <v>0</v>
      </c>
      <c r="I84" s="211">
        <f t="shared" si="71"/>
        <v>0</v>
      </c>
      <c r="J84" s="211">
        <f t="shared" si="71"/>
        <v>0</v>
      </c>
      <c r="K84" s="211">
        <f t="shared" si="71"/>
        <v>0</v>
      </c>
      <c r="L84" s="211">
        <f t="shared" si="71"/>
        <v>0</v>
      </c>
      <c r="M84" s="211">
        <f t="shared" si="71"/>
        <v>0</v>
      </c>
      <c r="N84" s="211">
        <f t="shared" si="71"/>
        <v>0</v>
      </c>
      <c r="O84" s="211">
        <f t="shared" si="71"/>
        <v>0</v>
      </c>
      <c r="P84" s="211">
        <f t="shared" si="71"/>
        <v>0</v>
      </c>
      <c r="Q84" s="211">
        <f t="shared" si="71"/>
        <v>0</v>
      </c>
      <c r="R84" s="211">
        <f t="shared" si="71"/>
        <v>0</v>
      </c>
      <c r="S84" s="211"/>
      <c r="T84" s="912">
        <f t="shared" si="71"/>
        <v>0</v>
      </c>
      <c r="U84" s="211">
        <f t="shared" si="71"/>
        <v>0</v>
      </c>
      <c r="V84" s="211">
        <f t="shared" si="71"/>
        <v>0</v>
      </c>
      <c r="W84" s="211">
        <f t="shared" si="71"/>
        <v>0</v>
      </c>
      <c r="X84" s="211">
        <f t="shared" si="71"/>
        <v>0</v>
      </c>
      <c r="Y84" s="211">
        <f t="shared" si="71"/>
        <v>0</v>
      </c>
      <c r="Z84" s="211">
        <f t="shared" si="71"/>
        <v>0</v>
      </c>
      <c r="AA84" s="211">
        <f t="shared" si="71"/>
        <v>0</v>
      </c>
      <c r="AB84" s="211">
        <f t="shared" si="71"/>
        <v>0</v>
      </c>
      <c r="AC84" s="211">
        <f t="shared" si="71"/>
        <v>0</v>
      </c>
      <c r="AD84" s="211">
        <f t="shared" si="71"/>
        <v>0</v>
      </c>
      <c r="AE84" s="211">
        <f t="shared" si="71"/>
        <v>0</v>
      </c>
      <c r="AF84" s="123"/>
      <c r="AG84" s="86"/>
      <c r="AH84" s="86"/>
      <c r="AI84" s="86"/>
      <c r="AJ84" s="86"/>
      <c r="AK84" s="86"/>
      <c r="AL84" s="86"/>
    </row>
    <row r="85" spans="1:38">
      <c r="A85" s="379"/>
      <c r="B85" s="22">
        <f t="shared" si="25"/>
        <v>80</v>
      </c>
      <c r="C85" s="643"/>
      <c r="D85" s="644"/>
      <c r="E85" s="644"/>
      <c r="F85" s="156" t="s">
        <v>579</v>
      </c>
      <c r="G85" s="211">
        <f t="shared" ref="G85:AE85" si="72">IF(G34&gt;0,MAX(G34*G6-8000,0),0)</f>
        <v>0</v>
      </c>
      <c r="H85" s="211">
        <f t="shared" si="72"/>
        <v>0</v>
      </c>
      <c r="I85" s="211">
        <f t="shared" si="72"/>
        <v>0</v>
      </c>
      <c r="J85" s="211">
        <f t="shared" si="72"/>
        <v>0</v>
      </c>
      <c r="K85" s="211">
        <f t="shared" si="72"/>
        <v>0</v>
      </c>
      <c r="L85" s="211">
        <f t="shared" si="72"/>
        <v>0</v>
      </c>
      <c r="M85" s="211">
        <f t="shared" si="72"/>
        <v>0</v>
      </c>
      <c r="N85" s="211">
        <f t="shared" si="72"/>
        <v>0</v>
      </c>
      <c r="O85" s="211">
        <f t="shared" si="72"/>
        <v>0</v>
      </c>
      <c r="P85" s="211">
        <f t="shared" si="72"/>
        <v>0</v>
      </c>
      <c r="Q85" s="211">
        <f t="shared" si="72"/>
        <v>0</v>
      </c>
      <c r="R85" s="211">
        <f t="shared" si="72"/>
        <v>0</v>
      </c>
      <c r="S85" s="211"/>
      <c r="T85" s="912">
        <f t="shared" si="72"/>
        <v>0</v>
      </c>
      <c r="U85" s="211">
        <f t="shared" si="72"/>
        <v>0</v>
      </c>
      <c r="V85" s="211">
        <f t="shared" si="72"/>
        <v>0</v>
      </c>
      <c r="W85" s="211">
        <f t="shared" si="72"/>
        <v>0</v>
      </c>
      <c r="X85" s="211">
        <f t="shared" si="72"/>
        <v>0</v>
      </c>
      <c r="Y85" s="211">
        <f t="shared" si="72"/>
        <v>0</v>
      </c>
      <c r="Z85" s="211">
        <f t="shared" si="72"/>
        <v>0</v>
      </c>
      <c r="AA85" s="211">
        <f t="shared" si="72"/>
        <v>0</v>
      </c>
      <c r="AB85" s="211">
        <f t="shared" si="72"/>
        <v>0</v>
      </c>
      <c r="AC85" s="211">
        <f t="shared" si="72"/>
        <v>0</v>
      </c>
      <c r="AD85" s="211">
        <f t="shared" si="72"/>
        <v>0</v>
      </c>
      <c r="AE85" s="211">
        <f t="shared" si="72"/>
        <v>0</v>
      </c>
      <c r="AF85" s="123"/>
      <c r="AG85" s="86"/>
      <c r="AH85" s="86"/>
      <c r="AI85" s="86"/>
      <c r="AJ85" s="86"/>
      <c r="AK85" s="86"/>
      <c r="AL85" s="86"/>
    </row>
    <row r="86" spans="1:38">
      <c r="A86" s="379"/>
      <c r="B86" s="22">
        <f t="shared" si="25"/>
        <v>81</v>
      </c>
      <c r="C86" s="643"/>
      <c r="D86" s="644"/>
      <c r="E86" s="644"/>
      <c r="F86" s="156" t="s">
        <v>632</v>
      </c>
      <c r="G86" s="211">
        <f t="shared" ref="G86:AE86" si="73">G44</f>
        <v>0</v>
      </c>
      <c r="H86" s="211">
        <f t="shared" si="73"/>
        <v>0</v>
      </c>
      <c r="I86" s="211">
        <f t="shared" si="73"/>
        <v>0</v>
      </c>
      <c r="J86" s="211">
        <f t="shared" si="73"/>
        <v>0</v>
      </c>
      <c r="K86" s="211">
        <f t="shared" si="73"/>
        <v>0</v>
      </c>
      <c r="L86" s="211">
        <f t="shared" si="73"/>
        <v>0</v>
      </c>
      <c r="M86" s="211">
        <f t="shared" si="73"/>
        <v>0</v>
      </c>
      <c r="N86" s="211">
        <f t="shared" si="73"/>
        <v>0</v>
      </c>
      <c r="O86" s="211">
        <f t="shared" si="73"/>
        <v>0</v>
      </c>
      <c r="P86" s="211">
        <f t="shared" si="73"/>
        <v>0</v>
      </c>
      <c r="Q86" s="211">
        <f t="shared" si="73"/>
        <v>0</v>
      </c>
      <c r="R86" s="211">
        <f t="shared" si="73"/>
        <v>0</v>
      </c>
      <c r="S86" s="211"/>
      <c r="T86" s="912">
        <f t="shared" si="73"/>
        <v>0</v>
      </c>
      <c r="U86" s="211">
        <f t="shared" si="73"/>
        <v>0</v>
      </c>
      <c r="V86" s="211">
        <f t="shared" si="73"/>
        <v>0</v>
      </c>
      <c r="W86" s="211">
        <f t="shared" si="73"/>
        <v>0</v>
      </c>
      <c r="X86" s="211">
        <f t="shared" si="73"/>
        <v>0</v>
      </c>
      <c r="Y86" s="211">
        <f t="shared" si="73"/>
        <v>0</v>
      </c>
      <c r="Z86" s="211">
        <f t="shared" si="73"/>
        <v>0</v>
      </c>
      <c r="AA86" s="211">
        <f t="shared" si="73"/>
        <v>0</v>
      </c>
      <c r="AB86" s="211">
        <f t="shared" si="73"/>
        <v>0</v>
      </c>
      <c r="AC86" s="211">
        <f t="shared" si="73"/>
        <v>0</v>
      </c>
      <c r="AD86" s="211">
        <f t="shared" si="73"/>
        <v>0</v>
      </c>
      <c r="AE86" s="211">
        <f t="shared" si="73"/>
        <v>0</v>
      </c>
      <c r="AF86" s="123"/>
      <c r="AG86" s="86"/>
      <c r="AH86" s="86"/>
      <c r="AI86" s="86"/>
      <c r="AJ86" s="86"/>
      <c r="AK86" s="86"/>
      <c r="AL86" s="86"/>
    </row>
    <row r="87" spans="1:38">
      <c r="A87" s="379"/>
      <c r="B87" s="22">
        <f t="shared" si="25"/>
        <v>82</v>
      </c>
      <c r="C87" s="646"/>
      <c r="D87" s="647"/>
      <c r="E87" s="647"/>
      <c r="F87" s="181" t="s">
        <v>418</v>
      </c>
      <c r="G87" s="105">
        <f>SUM(G42:G43)+SUM(G45:G48)</f>
        <v>0</v>
      </c>
      <c r="H87" s="105">
        <f>SUM(H42:H43)+SUM(H45:H48)</f>
        <v>0</v>
      </c>
      <c r="I87" s="105">
        <f t="shared" ref="I87:AE87" si="74">SUM(I42:I43)+SUM(I45:I48)</f>
        <v>0</v>
      </c>
      <c r="J87" s="105">
        <f t="shared" si="74"/>
        <v>0</v>
      </c>
      <c r="K87" s="105">
        <f t="shared" si="74"/>
        <v>0</v>
      </c>
      <c r="L87" s="105">
        <f t="shared" si="74"/>
        <v>0</v>
      </c>
      <c r="M87" s="105">
        <f t="shared" si="74"/>
        <v>0</v>
      </c>
      <c r="N87" s="105">
        <f t="shared" si="74"/>
        <v>0</v>
      </c>
      <c r="O87" s="105">
        <f t="shared" si="74"/>
        <v>0</v>
      </c>
      <c r="P87" s="105">
        <f t="shared" si="74"/>
        <v>0</v>
      </c>
      <c r="Q87" s="105">
        <f t="shared" si="74"/>
        <v>0</v>
      </c>
      <c r="R87" s="105">
        <f t="shared" si="74"/>
        <v>0</v>
      </c>
      <c r="S87" s="105"/>
      <c r="T87" s="910">
        <f t="shared" si="74"/>
        <v>0</v>
      </c>
      <c r="U87" s="105">
        <f t="shared" si="74"/>
        <v>0</v>
      </c>
      <c r="V87" s="105">
        <f t="shared" si="74"/>
        <v>0</v>
      </c>
      <c r="W87" s="105">
        <f t="shared" si="74"/>
        <v>0</v>
      </c>
      <c r="X87" s="105">
        <f t="shared" si="74"/>
        <v>0</v>
      </c>
      <c r="Y87" s="105">
        <f t="shared" si="74"/>
        <v>0</v>
      </c>
      <c r="Z87" s="105">
        <f t="shared" si="74"/>
        <v>0</v>
      </c>
      <c r="AA87" s="105">
        <f t="shared" si="74"/>
        <v>0</v>
      </c>
      <c r="AB87" s="105">
        <f t="shared" si="74"/>
        <v>0</v>
      </c>
      <c r="AC87" s="105">
        <f t="shared" si="74"/>
        <v>0</v>
      </c>
      <c r="AD87" s="105">
        <f t="shared" si="74"/>
        <v>0</v>
      </c>
      <c r="AE87" s="105">
        <f t="shared" si="74"/>
        <v>0</v>
      </c>
      <c r="AF87" s="107">
        <f t="shared" si="21"/>
        <v>0</v>
      </c>
      <c r="AG87" s="86"/>
      <c r="AH87" s="86"/>
      <c r="AI87" s="86"/>
      <c r="AJ87" s="86"/>
      <c r="AK87" s="86"/>
      <c r="AL87" s="86"/>
    </row>
    <row r="88" spans="1:38">
      <c r="A88" s="379"/>
      <c r="C88" s="1060"/>
      <c r="D88" s="1060"/>
      <c r="E88" s="1060"/>
      <c r="F88" s="140" t="s">
        <v>689</v>
      </c>
      <c r="G88" s="903" cm="1">
        <f t="array" ref="G88">IF(G9="ja",SUM((G53:G68)*0.8%),0)</f>
        <v>0</v>
      </c>
      <c r="H88" s="903" cm="1">
        <f t="array" ref="H88">IF(H9="ja",SUM((H53:H68)*0.8%),0)</f>
        <v>0</v>
      </c>
      <c r="I88" s="903" cm="1">
        <f t="array" ref="I88">IF(I9="ja",SUM((I53:I68)*0.8%),0)</f>
        <v>0</v>
      </c>
      <c r="J88" s="903" cm="1">
        <f t="array" ref="J88">IF(J9="ja",SUM((J53:J68)*0.8%),0)</f>
        <v>0</v>
      </c>
      <c r="K88" s="903" cm="1">
        <f t="array" ref="K88">IF(K9="ja",SUM((K53:K68)*0.8%),0)</f>
        <v>0</v>
      </c>
      <c r="L88" s="903" cm="1">
        <f t="array" ref="L88">IF(L9="ja",SUM((L53:L68)*0.8%),0)</f>
        <v>0</v>
      </c>
      <c r="M88" s="903" cm="1">
        <f t="array" ref="M88">IF(M9="ja",SUM((M53:M68)*0.8%),0)</f>
        <v>0</v>
      </c>
      <c r="N88" s="903" cm="1">
        <f t="array" ref="N88">IF(N9="ja",SUM((N53:N68)*0.8%),0)</f>
        <v>0</v>
      </c>
      <c r="O88" s="903" cm="1">
        <f t="array" ref="O88">IF(O9="ja",SUM((O53:O68)*0.8%),0)</f>
        <v>0</v>
      </c>
      <c r="P88" s="903" cm="1">
        <f t="array" ref="P88">IF(P9="ja",SUM((P53:P68)*0.8%),0)</f>
        <v>0</v>
      </c>
      <c r="Q88" s="903" cm="1">
        <f t="array" ref="Q88">IF(Q9="ja",SUM((Q53:Q68)*0.8%),0)</f>
        <v>0</v>
      </c>
      <c r="R88" s="903" cm="1">
        <f t="array" ref="R88">IF(R9="ja",SUM((R53:R68)*0.8%),0)</f>
        <v>0</v>
      </c>
      <c r="S88" s="903"/>
      <c r="T88" s="914">
        <f>IF(T9="Ja",SUM(T53:T68)*0.8%,0)</f>
        <v>0</v>
      </c>
      <c r="U88" s="914">
        <f>IF(U9="Ja",SUM(U53:U68)*0.8%,0)</f>
        <v>0</v>
      </c>
      <c r="V88" s="914">
        <f t="shared" ref="V88:AE88" si="75">IF(V9="Ja",SUM(V53:V68)*0.8%,0)</f>
        <v>0</v>
      </c>
      <c r="W88" s="914">
        <f t="shared" si="75"/>
        <v>0</v>
      </c>
      <c r="X88" s="914">
        <f t="shared" si="75"/>
        <v>0</v>
      </c>
      <c r="Y88" s="914">
        <f t="shared" si="75"/>
        <v>0</v>
      </c>
      <c r="Z88" s="914">
        <f t="shared" si="75"/>
        <v>0</v>
      </c>
      <c r="AA88" s="914">
        <f t="shared" si="75"/>
        <v>0</v>
      </c>
      <c r="AB88" s="914">
        <f t="shared" si="75"/>
        <v>0</v>
      </c>
      <c r="AC88" s="914">
        <f t="shared" si="75"/>
        <v>0</v>
      </c>
      <c r="AD88" s="914">
        <f t="shared" si="75"/>
        <v>0</v>
      </c>
      <c r="AE88" s="914">
        <f t="shared" si="75"/>
        <v>0</v>
      </c>
      <c r="AF88" s="1061"/>
      <c r="AG88" s="86"/>
      <c r="AH88" s="86"/>
      <c r="AI88" s="86"/>
      <c r="AJ88" s="86"/>
      <c r="AK88" s="86"/>
      <c r="AL88" s="86"/>
    </row>
    <row r="89" spans="1:38" ht="14">
      <c r="A89" s="380"/>
      <c r="B89" s="648">
        <f>B87+1</f>
        <v>83</v>
      </c>
      <c r="C89" s="649"/>
      <c r="D89" s="649"/>
      <c r="E89" s="649"/>
      <c r="F89" s="75" t="s">
        <v>104</v>
      </c>
      <c r="G89" s="210">
        <f>SUM(G53:G88)</f>
        <v>0</v>
      </c>
      <c r="H89" s="210">
        <f t="shared" ref="H89:R89" si="76">SUM(H53:H88)</f>
        <v>0</v>
      </c>
      <c r="I89" s="210">
        <f>SUM(I53:I88)</f>
        <v>0</v>
      </c>
      <c r="J89" s="210">
        <f>SUM(J53:J88)</f>
        <v>0</v>
      </c>
      <c r="K89" s="210">
        <f>SUM(K53:K88)</f>
        <v>0</v>
      </c>
      <c r="L89" s="210">
        <f t="shared" si="76"/>
        <v>0</v>
      </c>
      <c r="M89" s="210">
        <f t="shared" si="76"/>
        <v>0</v>
      </c>
      <c r="N89" s="210">
        <f t="shared" si="76"/>
        <v>0</v>
      </c>
      <c r="O89" s="210">
        <f t="shared" si="76"/>
        <v>0</v>
      </c>
      <c r="P89" s="210">
        <f t="shared" si="76"/>
        <v>0</v>
      </c>
      <c r="Q89" s="210">
        <f t="shared" si="76"/>
        <v>0</v>
      </c>
      <c r="R89" s="210">
        <f t="shared" si="76"/>
        <v>0</v>
      </c>
      <c r="S89" s="210"/>
      <c r="T89" s="913">
        <f>SUM(T53:T87)</f>
        <v>0</v>
      </c>
      <c r="U89" s="210">
        <f t="shared" ref="U89:AB89" si="77">SUM(U53:U87)</f>
        <v>0</v>
      </c>
      <c r="V89" s="210">
        <f t="shared" si="77"/>
        <v>0</v>
      </c>
      <c r="W89" s="210">
        <f t="shared" si="77"/>
        <v>0</v>
      </c>
      <c r="X89" s="210">
        <f t="shared" si="77"/>
        <v>0</v>
      </c>
      <c r="Y89" s="210">
        <f t="shared" si="77"/>
        <v>0</v>
      </c>
      <c r="Z89" s="210">
        <f t="shared" si="77"/>
        <v>0</v>
      </c>
      <c r="AA89" s="210">
        <f t="shared" si="77"/>
        <v>0</v>
      </c>
      <c r="AB89" s="210">
        <f t="shared" si="77"/>
        <v>0</v>
      </c>
      <c r="AC89" s="210">
        <f>SUM(AC53:AC87)</f>
        <v>0</v>
      </c>
      <c r="AD89" s="210">
        <f t="shared" ref="AD89:AE89" si="78">SUM(AD53:AD87)</f>
        <v>0</v>
      </c>
      <c r="AE89" s="210">
        <f t="shared" si="78"/>
        <v>0</v>
      </c>
      <c r="AF89" s="81">
        <f t="shared" ref="AF89:AF110" si="79">SUM(G89:R89)</f>
        <v>0</v>
      </c>
      <c r="AG89" s="86"/>
      <c r="AH89" s="86"/>
      <c r="AI89" s="86"/>
      <c r="AJ89" s="86"/>
      <c r="AK89" s="86"/>
      <c r="AL89" s="86"/>
    </row>
    <row r="90" spans="1:38" ht="14">
      <c r="A90" s="379"/>
      <c r="B90" s="22">
        <f t="shared" ref="B90:B108" si="80">B89+1</f>
        <v>84</v>
      </c>
      <c r="C90"/>
      <c r="D90"/>
      <c r="E90"/>
      <c r="F90" s="154" t="s">
        <v>102</v>
      </c>
      <c r="G90" s="103">
        <f t="shared" ref="G90:R90" si="81">ROUND(G53*17.3%/3,2)*(G5="L")</f>
        <v>0</v>
      </c>
      <c r="H90" s="103">
        <f t="shared" si="81"/>
        <v>0</v>
      </c>
      <c r="I90" s="103">
        <f t="shared" si="81"/>
        <v>0</v>
      </c>
      <c r="J90" s="103">
        <f t="shared" si="81"/>
        <v>0</v>
      </c>
      <c r="K90" s="103">
        <f t="shared" si="81"/>
        <v>0</v>
      </c>
      <c r="L90" s="103">
        <f t="shared" si="81"/>
        <v>0</v>
      </c>
      <c r="M90" s="103">
        <f t="shared" si="81"/>
        <v>0</v>
      </c>
      <c r="N90" s="103">
        <f t="shared" si="81"/>
        <v>0</v>
      </c>
      <c r="O90" s="103">
        <f t="shared" si="81"/>
        <v>0</v>
      </c>
      <c r="P90" s="103">
        <f t="shared" si="81"/>
        <v>0</v>
      </c>
      <c r="Q90" s="103">
        <f t="shared" si="81"/>
        <v>0</v>
      </c>
      <c r="R90" s="103">
        <f t="shared" si="81"/>
        <v>0</v>
      </c>
      <c r="S90" s="103"/>
      <c r="T90" s="909" t="e">
        <f>ROUND(T53/T10*T11*17.3%/3,2)*(T5="L")</f>
        <v>#DIV/0!</v>
      </c>
      <c r="U90" s="103">
        <f t="shared" ref="U90:AE90" si="82">ROUND(U53*17.3%/3,2)*(U5="L")</f>
        <v>0</v>
      </c>
      <c r="V90" s="103">
        <f t="shared" si="82"/>
        <v>0</v>
      </c>
      <c r="W90" s="103">
        <f t="shared" si="82"/>
        <v>0</v>
      </c>
      <c r="X90" s="103">
        <f t="shared" si="82"/>
        <v>0</v>
      </c>
      <c r="Y90" s="103">
        <f t="shared" si="82"/>
        <v>0</v>
      </c>
      <c r="Z90" s="103">
        <f t="shared" si="82"/>
        <v>0</v>
      </c>
      <c r="AA90" s="103">
        <f t="shared" si="82"/>
        <v>0</v>
      </c>
      <c r="AB90" s="103">
        <f t="shared" si="82"/>
        <v>0</v>
      </c>
      <c r="AC90" s="103">
        <f t="shared" si="82"/>
        <v>0</v>
      </c>
      <c r="AD90" s="103">
        <f t="shared" si="82"/>
        <v>0</v>
      </c>
      <c r="AE90" s="103">
        <f t="shared" si="82"/>
        <v>0</v>
      </c>
      <c r="AF90" s="104">
        <f t="shared" si="79"/>
        <v>0</v>
      </c>
      <c r="AG90" s="86"/>
      <c r="AH90" s="86"/>
      <c r="AI90" s="86"/>
      <c r="AJ90" s="86"/>
      <c r="AK90" s="86"/>
      <c r="AL90" s="86"/>
    </row>
    <row r="91" spans="1:38" ht="14">
      <c r="A91" s="379"/>
      <c r="B91" s="22">
        <f t="shared" si="80"/>
        <v>85</v>
      </c>
      <c r="C91"/>
      <c r="D91"/>
      <c r="E91"/>
      <c r="F91" s="155" t="s">
        <v>183</v>
      </c>
      <c r="G91" s="105">
        <f t="shared" ref="G91:AE91" si="83">ROUND(G55*17.3%/3,2)*(G5="L")</f>
        <v>0</v>
      </c>
      <c r="H91" s="105">
        <f t="shared" si="83"/>
        <v>0</v>
      </c>
      <c r="I91" s="105">
        <f t="shared" si="83"/>
        <v>0</v>
      </c>
      <c r="J91" s="105">
        <f t="shared" si="83"/>
        <v>0</v>
      </c>
      <c r="K91" s="105">
        <f t="shared" si="83"/>
        <v>0</v>
      </c>
      <c r="L91" s="105">
        <f t="shared" si="83"/>
        <v>0</v>
      </c>
      <c r="M91" s="105">
        <f t="shared" si="83"/>
        <v>0</v>
      </c>
      <c r="N91" s="105">
        <f t="shared" si="83"/>
        <v>0</v>
      </c>
      <c r="O91" s="105">
        <f t="shared" si="83"/>
        <v>0</v>
      </c>
      <c r="P91" s="105">
        <f t="shared" si="83"/>
        <v>0</v>
      </c>
      <c r="Q91" s="105">
        <f t="shared" si="83"/>
        <v>0</v>
      </c>
      <c r="R91" s="105">
        <f t="shared" si="83"/>
        <v>0</v>
      </c>
      <c r="S91" s="105"/>
      <c r="T91" s="910">
        <f t="shared" si="83"/>
        <v>0</v>
      </c>
      <c r="U91" s="105">
        <f t="shared" si="83"/>
        <v>0</v>
      </c>
      <c r="V91" s="105">
        <f t="shared" si="83"/>
        <v>0</v>
      </c>
      <c r="W91" s="105">
        <f t="shared" si="83"/>
        <v>0</v>
      </c>
      <c r="X91" s="105">
        <f t="shared" si="83"/>
        <v>0</v>
      </c>
      <c r="Y91" s="105">
        <f t="shared" si="83"/>
        <v>0</v>
      </c>
      <c r="Z91" s="105">
        <f t="shared" si="83"/>
        <v>0</v>
      </c>
      <c r="AA91" s="105">
        <f t="shared" si="83"/>
        <v>0</v>
      </c>
      <c r="AB91" s="105">
        <f t="shared" si="83"/>
        <v>0</v>
      </c>
      <c r="AC91" s="105">
        <f t="shared" si="83"/>
        <v>0</v>
      </c>
      <c r="AD91" s="105">
        <f t="shared" si="83"/>
        <v>0</v>
      </c>
      <c r="AE91" s="105">
        <f t="shared" si="83"/>
        <v>0</v>
      </c>
      <c r="AF91" s="106">
        <f t="shared" si="79"/>
        <v>0</v>
      </c>
      <c r="AG91" s="86"/>
      <c r="AH91" s="86"/>
      <c r="AI91" s="86"/>
      <c r="AJ91" s="86"/>
      <c r="AK91" s="86"/>
      <c r="AL91" s="86"/>
    </row>
    <row r="92" spans="1:38" ht="14">
      <c r="A92" s="379"/>
      <c r="B92" s="22">
        <f t="shared" si="80"/>
        <v>86</v>
      </c>
      <c r="C92"/>
      <c r="D92"/>
      <c r="E92"/>
      <c r="F92" s="155" t="s">
        <v>103</v>
      </c>
      <c r="G92" s="105">
        <f t="shared" ref="G92:AE92" si="84">ROUND(G56*17.3%/3,2)*(G5="L")</f>
        <v>0</v>
      </c>
      <c r="H92" s="105">
        <f t="shared" si="84"/>
        <v>0</v>
      </c>
      <c r="I92" s="105">
        <f t="shared" si="84"/>
        <v>0</v>
      </c>
      <c r="J92" s="105">
        <f t="shared" si="84"/>
        <v>0</v>
      </c>
      <c r="K92" s="105">
        <f t="shared" si="84"/>
        <v>0</v>
      </c>
      <c r="L92" s="105">
        <f t="shared" si="84"/>
        <v>0</v>
      </c>
      <c r="M92" s="105">
        <f t="shared" si="84"/>
        <v>0</v>
      </c>
      <c r="N92" s="105">
        <f t="shared" si="84"/>
        <v>0</v>
      </c>
      <c r="O92" s="105">
        <f t="shared" si="84"/>
        <v>0</v>
      </c>
      <c r="P92" s="105">
        <f t="shared" si="84"/>
        <v>0</v>
      </c>
      <c r="Q92" s="105">
        <f t="shared" si="84"/>
        <v>0</v>
      </c>
      <c r="R92" s="105">
        <f t="shared" si="84"/>
        <v>0</v>
      </c>
      <c r="S92" s="105"/>
      <c r="T92" s="910">
        <f t="shared" si="84"/>
        <v>0</v>
      </c>
      <c r="U92" s="105">
        <f t="shared" si="84"/>
        <v>0</v>
      </c>
      <c r="V92" s="105">
        <f t="shared" si="84"/>
        <v>0</v>
      </c>
      <c r="W92" s="105">
        <f t="shared" si="84"/>
        <v>0</v>
      </c>
      <c r="X92" s="105">
        <f t="shared" si="84"/>
        <v>0</v>
      </c>
      <c r="Y92" s="105">
        <f t="shared" si="84"/>
        <v>0</v>
      </c>
      <c r="Z92" s="105">
        <f t="shared" si="84"/>
        <v>0</v>
      </c>
      <c r="AA92" s="105">
        <f t="shared" si="84"/>
        <v>0</v>
      </c>
      <c r="AB92" s="105">
        <f t="shared" si="84"/>
        <v>0</v>
      </c>
      <c r="AC92" s="105">
        <f t="shared" si="84"/>
        <v>0</v>
      </c>
      <c r="AD92" s="105">
        <f t="shared" si="84"/>
        <v>0</v>
      </c>
      <c r="AE92" s="105">
        <f t="shared" si="84"/>
        <v>0</v>
      </c>
      <c r="AF92" s="106">
        <f t="shared" si="79"/>
        <v>0</v>
      </c>
      <c r="AG92" s="86"/>
      <c r="AH92" s="86"/>
      <c r="AI92" s="86"/>
      <c r="AJ92" s="86"/>
      <c r="AK92" s="86"/>
      <c r="AL92" s="86"/>
    </row>
    <row r="93" spans="1:38" ht="14">
      <c r="A93" s="379"/>
      <c r="B93" s="22">
        <f t="shared" si="80"/>
        <v>87</v>
      </c>
      <c r="C93"/>
      <c r="D93" s="650">
        <f>(D14&lt;&gt;"")*1</f>
        <v>0</v>
      </c>
      <c r="E93"/>
      <c r="F93" s="155" t="s">
        <v>190</v>
      </c>
      <c r="G93" s="105">
        <f t="shared" ref="G93:AE93" si="85">ROUND(G57*17.3%/3,2)*(G5="L")</f>
        <v>0</v>
      </c>
      <c r="H93" s="105">
        <f t="shared" si="85"/>
        <v>0</v>
      </c>
      <c r="I93" s="105">
        <f t="shared" si="85"/>
        <v>0</v>
      </c>
      <c r="J93" s="105">
        <f t="shared" si="85"/>
        <v>0</v>
      </c>
      <c r="K93" s="105">
        <f t="shared" si="85"/>
        <v>0</v>
      </c>
      <c r="L93" s="105">
        <f t="shared" si="85"/>
        <v>0</v>
      </c>
      <c r="M93" s="105">
        <f t="shared" si="85"/>
        <v>0</v>
      </c>
      <c r="N93" s="105">
        <f t="shared" si="85"/>
        <v>0</v>
      </c>
      <c r="O93" s="105">
        <f t="shared" si="85"/>
        <v>0</v>
      </c>
      <c r="P93" s="105">
        <f t="shared" si="85"/>
        <v>0</v>
      </c>
      <c r="Q93" s="105">
        <f t="shared" si="85"/>
        <v>0</v>
      </c>
      <c r="R93" s="105">
        <f t="shared" si="85"/>
        <v>0</v>
      </c>
      <c r="S93" s="105"/>
      <c r="T93" s="910">
        <f t="shared" si="85"/>
        <v>0</v>
      </c>
      <c r="U93" s="105">
        <f t="shared" si="85"/>
        <v>0</v>
      </c>
      <c r="V93" s="105">
        <f t="shared" si="85"/>
        <v>0</v>
      </c>
      <c r="W93" s="105">
        <f t="shared" si="85"/>
        <v>0</v>
      </c>
      <c r="X93" s="105">
        <f t="shared" si="85"/>
        <v>0</v>
      </c>
      <c r="Y93" s="105">
        <f t="shared" si="85"/>
        <v>0</v>
      </c>
      <c r="Z93" s="105">
        <f t="shared" si="85"/>
        <v>0</v>
      </c>
      <c r="AA93" s="105">
        <f t="shared" si="85"/>
        <v>0</v>
      </c>
      <c r="AB93" s="105">
        <f t="shared" si="85"/>
        <v>0</v>
      </c>
      <c r="AC93" s="105">
        <f t="shared" si="85"/>
        <v>0</v>
      </c>
      <c r="AD93" s="105">
        <f t="shared" si="85"/>
        <v>0</v>
      </c>
      <c r="AE93" s="105">
        <f t="shared" si="85"/>
        <v>0</v>
      </c>
      <c r="AF93" s="106">
        <f t="shared" si="79"/>
        <v>0</v>
      </c>
      <c r="AG93" s="86"/>
      <c r="AH93" s="86"/>
      <c r="AI93" s="86"/>
      <c r="AJ93" s="86"/>
      <c r="AK93" s="86"/>
      <c r="AL93" s="86"/>
    </row>
    <row r="94" spans="1:38" ht="14">
      <c r="A94" s="379"/>
      <c r="B94" s="22">
        <f t="shared" si="80"/>
        <v>88</v>
      </c>
      <c r="C94"/>
      <c r="D94" s="650">
        <f>(D15&lt;&gt;"")*1</f>
        <v>0</v>
      </c>
      <c r="E94"/>
      <c r="F94" s="155" t="s">
        <v>191</v>
      </c>
      <c r="G94" s="105">
        <f t="shared" ref="G94:AE94" si="86">ROUND(G58*17.3%/3,2)*(G5="L")</f>
        <v>0</v>
      </c>
      <c r="H94" s="105">
        <f t="shared" si="86"/>
        <v>0</v>
      </c>
      <c r="I94" s="105">
        <f t="shared" si="86"/>
        <v>0</v>
      </c>
      <c r="J94" s="105">
        <f t="shared" si="86"/>
        <v>0</v>
      </c>
      <c r="K94" s="105">
        <f t="shared" si="86"/>
        <v>0</v>
      </c>
      <c r="L94" s="105">
        <f t="shared" si="86"/>
        <v>0</v>
      </c>
      <c r="M94" s="105">
        <f t="shared" si="86"/>
        <v>0</v>
      </c>
      <c r="N94" s="105">
        <f t="shared" si="86"/>
        <v>0</v>
      </c>
      <c r="O94" s="105">
        <f t="shared" si="86"/>
        <v>0</v>
      </c>
      <c r="P94" s="105">
        <f t="shared" si="86"/>
        <v>0</v>
      </c>
      <c r="Q94" s="105">
        <f t="shared" si="86"/>
        <v>0</v>
      </c>
      <c r="R94" s="105">
        <f t="shared" si="86"/>
        <v>0</v>
      </c>
      <c r="S94" s="105"/>
      <c r="T94" s="910">
        <f t="shared" si="86"/>
        <v>0</v>
      </c>
      <c r="U94" s="105">
        <f t="shared" si="86"/>
        <v>0</v>
      </c>
      <c r="V94" s="105">
        <f t="shared" si="86"/>
        <v>0</v>
      </c>
      <c r="W94" s="105">
        <f t="shared" si="86"/>
        <v>0</v>
      </c>
      <c r="X94" s="105">
        <f t="shared" si="86"/>
        <v>0</v>
      </c>
      <c r="Y94" s="105">
        <f t="shared" si="86"/>
        <v>0</v>
      </c>
      <c r="Z94" s="105">
        <f t="shared" si="86"/>
        <v>0</v>
      </c>
      <c r="AA94" s="105">
        <f t="shared" si="86"/>
        <v>0</v>
      </c>
      <c r="AB94" s="105">
        <f t="shared" si="86"/>
        <v>0</v>
      </c>
      <c r="AC94" s="105">
        <f t="shared" si="86"/>
        <v>0</v>
      </c>
      <c r="AD94" s="105">
        <f t="shared" si="86"/>
        <v>0</v>
      </c>
      <c r="AE94" s="105">
        <f t="shared" si="86"/>
        <v>0</v>
      </c>
      <c r="AF94" s="106">
        <f t="shared" si="79"/>
        <v>0</v>
      </c>
      <c r="AG94" s="86"/>
      <c r="AH94" s="86"/>
      <c r="AI94" s="86"/>
      <c r="AJ94" s="86"/>
      <c r="AK94" s="86"/>
      <c r="AL94" s="86"/>
    </row>
    <row r="95" spans="1:38" ht="14">
      <c r="A95" s="379"/>
      <c r="B95" s="22">
        <f t="shared" si="80"/>
        <v>89</v>
      </c>
      <c r="C95"/>
      <c r="D95" s="650">
        <f>(D16&lt;&gt;"")*1</f>
        <v>0</v>
      </c>
      <c r="E95"/>
      <c r="F95" s="155" t="s">
        <v>56</v>
      </c>
      <c r="G95" s="105">
        <f t="shared" ref="G95:AE95" si="87">ROUND(G59*17.3%/3,2)*(G5="L")</f>
        <v>0</v>
      </c>
      <c r="H95" s="105">
        <f t="shared" si="87"/>
        <v>0</v>
      </c>
      <c r="I95" s="105">
        <f t="shared" si="87"/>
        <v>0</v>
      </c>
      <c r="J95" s="105">
        <f t="shared" si="87"/>
        <v>0</v>
      </c>
      <c r="K95" s="105">
        <f t="shared" si="87"/>
        <v>0</v>
      </c>
      <c r="L95" s="105">
        <f t="shared" si="87"/>
        <v>0</v>
      </c>
      <c r="M95" s="105">
        <f t="shared" si="87"/>
        <v>0</v>
      </c>
      <c r="N95" s="105">
        <f t="shared" si="87"/>
        <v>0</v>
      </c>
      <c r="O95" s="105">
        <f t="shared" si="87"/>
        <v>0</v>
      </c>
      <c r="P95" s="105">
        <f t="shared" si="87"/>
        <v>0</v>
      </c>
      <c r="Q95" s="105">
        <f t="shared" si="87"/>
        <v>0</v>
      </c>
      <c r="R95" s="105">
        <f t="shared" si="87"/>
        <v>0</v>
      </c>
      <c r="S95" s="105"/>
      <c r="T95" s="910">
        <f t="shared" si="87"/>
        <v>0</v>
      </c>
      <c r="U95" s="105">
        <f t="shared" si="87"/>
        <v>0</v>
      </c>
      <c r="V95" s="105">
        <f t="shared" si="87"/>
        <v>0</v>
      </c>
      <c r="W95" s="105">
        <f t="shared" si="87"/>
        <v>0</v>
      </c>
      <c r="X95" s="105">
        <f t="shared" si="87"/>
        <v>0</v>
      </c>
      <c r="Y95" s="105">
        <f t="shared" si="87"/>
        <v>0</v>
      </c>
      <c r="Z95" s="105">
        <f t="shared" si="87"/>
        <v>0</v>
      </c>
      <c r="AA95" s="105">
        <f t="shared" si="87"/>
        <v>0</v>
      </c>
      <c r="AB95" s="105">
        <f t="shared" si="87"/>
        <v>0</v>
      </c>
      <c r="AC95" s="105">
        <f t="shared" si="87"/>
        <v>0</v>
      </c>
      <c r="AD95" s="105">
        <f t="shared" si="87"/>
        <v>0</v>
      </c>
      <c r="AE95" s="105">
        <f t="shared" si="87"/>
        <v>0</v>
      </c>
      <c r="AF95" s="106">
        <f t="shared" si="79"/>
        <v>0</v>
      </c>
      <c r="AG95" s="86"/>
      <c r="AH95" s="86"/>
      <c r="AI95" s="86"/>
      <c r="AJ95" s="86"/>
      <c r="AK95" s="86"/>
      <c r="AL95" s="86"/>
    </row>
    <row r="96" spans="1:38" ht="14">
      <c r="A96" s="379"/>
      <c r="B96" s="22">
        <f t="shared" si="80"/>
        <v>90</v>
      </c>
      <c r="C96"/>
      <c r="D96" s="650">
        <f>(D18&lt;&gt;"")*1</f>
        <v>1</v>
      </c>
      <c r="E96"/>
      <c r="F96" s="155" t="s">
        <v>57</v>
      </c>
      <c r="G96" s="105">
        <f t="shared" ref="G96:AE96" si="88">ROUND(G60*17.3%/3,2)*(G5="L")</f>
        <v>0</v>
      </c>
      <c r="H96" s="105">
        <f t="shared" si="88"/>
        <v>0</v>
      </c>
      <c r="I96" s="105">
        <f t="shared" si="88"/>
        <v>0</v>
      </c>
      <c r="J96" s="105">
        <f t="shared" si="88"/>
        <v>0</v>
      </c>
      <c r="K96" s="105">
        <f t="shared" si="88"/>
        <v>0</v>
      </c>
      <c r="L96" s="105">
        <f t="shared" si="88"/>
        <v>0</v>
      </c>
      <c r="M96" s="105">
        <f t="shared" si="88"/>
        <v>0</v>
      </c>
      <c r="N96" s="105">
        <f t="shared" si="88"/>
        <v>0</v>
      </c>
      <c r="O96" s="105">
        <f t="shared" si="88"/>
        <v>0</v>
      </c>
      <c r="P96" s="105">
        <f t="shared" si="88"/>
        <v>0</v>
      </c>
      <c r="Q96" s="105">
        <f t="shared" si="88"/>
        <v>0</v>
      </c>
      <c r="R96" s="105">
        <f t="shared" si="88"/>
        <v>0</v>
      </c>
      <c r="S96" s="105"/>
      <c r="T96" s="910">
        <f t="shared" si="88"/>
        <v>0</v>
      </c>
      <c r="U96" s="105">
        <f t="shared" si="88"/>
        <v>0</v>
      </c>
      <c r="V96" s="105">
        <f t="shared" si="88"/>
        <v>0</v>
      </c>
      <c r="W96" s="105">
        <f t="shared" si="88"/>
        <v>0</v>
      </c>
      <c r="X96" s="105">
        <f t="shared" si="88"/>
        <v>0</v>
      </c>
      <c r="Y96" s="105">
        <f t="shared" si="88"/>
        <v>0</v>
      </c>
      <c r="Z96" s="105">
        <f t="shared" si="88"/>
        <v>0</v>
      </c>
      <c r="AA96" s="105">
        <f t="shared" si="88"/>
        <v>0</v>
      </c>
      <c r="AB96" s="105">
        <f t="shared" si="88"/>
        <v>0</v>
      </c>
      <c r="AC96" s="105">
        <f t="shared" si="88"/>
        <v>0</v>
      </c>
      <c r="AD96" s="105">
        <f t="shared" si="88"/>
        <v>0</v>
      </c>
      <c r="AE96" s="105">
        <f t="shared" si="88"/>
        <v>0</v>
      </c>
      <c r="AF96" s="106">
        <f t="shared" si="79"/>
        <v>0</v>
      </c>
      <c r="AG96" s="86"/>
      <c r="AH96" s="86"/>
      <c r="AI96" s="86"/>
      <c r="AJ96" s="86"/>
      <c r="AK96" s="86"/>
      <c r="AL96" s="86"/>
    </row>
    <row r="97" spans="1:38" ht="14">
      <c r="A97" s="379"/>
      <c r="B97" s="22">
        <f t="shared" si="80"/>
        <v>91</v>
      </c>
      <c r="C97"/>
      <c r="D97" s="650">
        <f>(D18&lt;&gt;"")*1</f>
        <v>1</v>
      </c>
      <c r="E97"/>
      <c r="F97" s="155" t="s">
        <v>58</v>
      </c>
      <c r="G97" s="105">
        <f t="shared" ref="G97:AE97" si="89">ROUND(G61*17.3%/3,2)*(G5="L")</f>
        <v>0</v>
      </c>
      <c r="H97" s="105">
        <f t="shared" si="89"/>
        <v>0</v>
      </c>
      <c r="I97" s="105">
        <f t="shared" si="89"/>
        <v>0</v>
      </c>
      <c r="J97" s="105">
        <f t="shared" si="89"/>
        <v>0</v>
      </c>
      <c r="K97" s="105">
        <f t="shared" si="89"/>
        <v>0</v>
      </c>
      <c r="L97" s="105">
        <f t="shared" si="89"/>
        <v>0</v>
      </c>
      <c r="M97" s="105">
        <f t="shared" si="89"/>
        <v>0</v>
      </c>
      <c r="N97" s="105">
        <f t="shared" si="89"/>
        <v>0</v>
      </c>
      <c r="O97" s="105">
        <f t="shared" si="89"/>
        <v>0</v>
      </c>
      <c r="P97" s="105">
        <f t="shared" si="89"/>
        <v>0</v>
      </c>
      <c r="Q97" s="105">
        <f t="shared" si="89"/>
        <v>0</v>
      </c>
      <c r="R97" s="105">
        <f t="shared" si="89"/>
        <v>0</v>
      </c>
      <c r="S97" s="105"/>
      <c r="T97" s="910">
        <f t="shared" si="89"/>
        <v>0</v>
      </c>
      <c r="U97" s="105">
        <f t="shared" si="89"/>
        <v>0</v>
      </c>
      <c r="V97" s="105">
        <f t="shared" si="89"/>
        <v>0</v>
      </c>
      <c r="W97" s="105">
        <f t="shared" si="89"/>
        <v>0</v>
      </c>
      <c r="X97" s="105">
        <f t="shared" si="89"/>
        <v>0</v>
      </c>
      <c r="Y97" s="105">
        <f t="shared" si="89"/>
        <v>0</v>
      </c>
      <c r="Z97" s="105">
        <f t="shared" si="89"/>
        <v>0</v>
      </c>
      <c r="AA97" s="105">
        <f t="shared" si="89"/>
        <v>0</v>
      </c>
      <c r="AB97" s="105">
        <f t="shared" si="89"/>
        <v>0</v>
      </c>
      <c r="AC97" s="105">
        <f t="shared" si="89"/>
        <v>0</v>
      </c>
      <c r="AD97" s="105">
        <f t="shared" si="89"/>
        <v>0</v>
      </c>
      <c r="AE97" s="105">
        <f t="shared" si="89"/>
        <v>0</v>
      </c>
      <c r="AF97" s="106">
        <f t="shared" si="79"/>
        <v>0</v>
      </c>
      <c r="AG97" s="86"/>
      <c r="AH97" s="86"/>
      <c r="AI97" s="86"/>
      <c r="AJ97" s="86"/>
      <c r="AK97" s="86"/>
      <c r="AL97" s="86"/>
    </row>
    <row r="98" spans="1:38" ht="14">
      <c r="A98" s="379"/>
      <c r="B98" s="22">
        <f t="shared" si="80"/>
        <v>92</v>
      </c>
      <c r="C98"/>
      <c r="D98" s="650">
        <f>(D19&lt;&gt;"")*1</f>
        <v>1</v>
      </c>
      <c r="E98"/>
      <c r="F98" s="155" t="s">
        <v>59</v>
      </c>
      <c r="G98" s="105">
        <f t="shared" ref="G98:AE98" si="90">ROUND(G62*17.3%/3,2)*(G5="L")</f>
        <v>0</v>
      </c>
      <c r="H98" s="105">
        <f t="shared" si="90"/>
        <v>0</v>
      </c>
      <c r="I98" s="105">
        <f t="shared" si="90"/>
        <v>0</v>
      </c>
      <c r="J98" s="105">
        <f t="shared" si="90"/>
        <v>0</v>
      </c>
      <c r="K98" s="105">
        <f t="shared" si="90"/>
        <v>0</v>
      </c>
      <c r="L98" s="105">
        <f t="shared" si="90"/>
        <v>0</v>
      </c>
      <c r="M98" s="105">
        <f t="shared" si="90"/>
        <v>0</v>
      </c>
      <c r="N98" s="105">
        <f t="shared" si="90"/>
        <v>0</v>
      </c>
      <c r="O98" s="105">
        <f t="shared" si="90"/>
        <v>0</v>
      </c>
      <c r="P98" s="105">
        <f t="shared" si="90"/>
        <v>0</v>
      </c>
      <c r="Q98" s="105">
        <f t="shared" si="90"/>
        <v>0</v>
      </c>
      <c r="R98" s="105">
        <f t="shared" si="90"/>
        <v>0</v>
      </c>
      <c r="S98" s="105"/>
      <c r="T98" s="910">
        <f t="shared" si="90"/>
        <v>0</v>
      </c>
      <c r="U98" s="105">
        <f t="shared" si="90"/>
        <v>0</v>
      </c>
      <c r="V98" s="105">
        <f t="shared" si="90"/>
        <v>0</v>
      </c>
      <c r="W98" s="105">
        <f t="shared" si="90"/>
        <v>0</v>
      </c>
      <c r="X98" s="105">
        <f t="shared" si="90"/>
        <v>0</v>
      </c>
      <c r="Y98" s="105">
        <f t="shared" si="90"/>
        <v>0</v>
      </c>
      <c r="Z98" s="105">
        <f t="shared" si="90"/>
        <v>0</v>
      </c>
      <c r="AA98" s="105">
        <f t="shared" si="90"/>
        <v>0</v>
      </c>
      <c r="AB98" s="105">
        <f t="shared" si="90"/>
        <v>0</v>
      </c>
      <c r="AC98" s="105">
        <f t="shared" si="90"/>
        <v>0</v>
      </c>
      <c r="AD98" s="105">
        <f t="shared" si="90"/>
        <v>0</v>
      </c>
      <c r="AE98" s="105">
        <f t="shared" si="90"/>
        <v>0</v>
      </c>
      <c r="AF98" s="106">
        <f t="shared" si="79"/>
        <v>0</v>
      </c>
      <c r="AG98" s="86"/>
      <c r="AH98" s="86"/>
      <c r="AI98" s="86"/>
      <c r="AJ98" s="86"/>
      <c r="AK98" s="86"/>
      <c r="AL98" s="86"/>
    </row>
    <row r="99" spans="1:38" ht="14">
      <c r="A99" s="379"/>
      <c r="B99" s="22">
        <f t="shared" si="80"/>
        <v>93</v>
      </c>
      <c r="C99"/>
      <c r="D99"/>
      <c r="E99"/>
      <c r="F99" s="155" t="s">
        <v>340</v>
      </c>
      <c r="G99" s="105">
        <f t="shared" ref="G99:AE99" si="91">ROUND(G63*17.3%/3,2)*(G5="L")</f>
        <v>0</v>
      </c>
      <c r="H99" s="105">
        <f t="shared" si="91"/>
        <v>0</v>
      </c>
      <c r="I99" s="105">
        <f t="shared" si="91"/>
        <v>0</v>
      </c>
      <c r="J99" s="105">
        <f t="shared" si="91"/>
        <v>0</v>
      </c>
      <c r="K99" s="105">
        <f t="shared" si="91"/>
        <v>0</v>
      </c>
      <c r="L99" s="105">
        <f t="shared" si="91"/>
        <v>0</v>
      </c>
      <c r="M99" s="105">
        <f t="shared" si="91"/>
        <v>0</v>
      </c>
      <c r="N99" s="105">
        <f t="shared" si="91"/>
        <v>0</v>
      </c>
      <c r="O99" s="105">
        <f t="shared" si="91"/>
        <v>0</v>
      </c>
      <c r="P99" s="105">
        <f t="shared" si="91"/>
        <v>0</v>
      </c>
      <c r="Q99" s="105">
        <f t="shared" si="91"/>
        <v>0</v>
      </c>
      <c r="R99" s="105">
        <f t="shared" si="91"/>
        <v>0</v>
      </c>
      <c r="S99" s="105"/>
      <c r="T99" s="910">
        <f t="shared" si="91"/>
        <v>0</v>
      </c>
      <c r="U99" s="105">
        <f t="shared" si="91"/>
        <v>0</v>
      </c>
      <c r="V99" s="105">
        <f t="shared" si="91"/>
        <v>0</v>
      </c>
      <c r="W99" s="105">
        <f t="shared" si="91"/>
        <v>0</v>
      </c>
      <c r="X99" s="105">
        <f t="shared" si="91"/>
        <v>0</v>
      </c>
      <c r="Y99" s="105">
        <f t="shared" si="91"/>
        <v>0</v>
      </c>
      <c r="Z99" s="105">
        <f t="shared" si="91"/>
        <v>0</v>
      </c>
      <c r="AA99" s="105">
        <f t="shared" si="91"/>
        <v>0</v>
      </c>
      <c r="AB99" s="105">
        <f t="shared" si="91"/>
        <v>0</v>
      </c>
      <c r="AC99" s="105">
        <f t="shared" si="91"/>
        <v>0</v>
      </c>
      <c r="AD99" s="105">
        <f t="shared" si="91"/>
        <v>0</v>
      </c>
      <c r="AE99" s="105">
        <f t="shared" si="91"/>
        <v>0</v>
      </c>
      <c r="AF99" s="106">
        <f>SUM(G99:R99)</f>
        <v>0</v>
      </c>
      <c r="AG99" s="86"/>
      <c r="AH99" s="86"/>
      <c r="AI99" s="86"/>
      <c r="AJ99" s="86"/>
      <c r="AK99" s="86"/>
      <c r="AL99" s="86"/>
    </row>
    <row r="100" spans="1:38" ht="14">
      <c r="A100" s="379"/>
      <c r="B100" s="22">
        <f t="shared" si="80"/>
        <v>94</v>
      </c>
      <c r="C100"/>
      <c r="D100"/>
      <c r="E100"/>
      <c r="F100" s="155" t="s">
        <v>14</v>
      </c>
      <c r="G100" s="105">
        <f t="shared" ref="G100:AE100" si="92">ROUND(G64*17.3%/3,2)*(G5="L")</f>
        <v>0</v>
      </c>
      <c r="H100" s="105">
        <f t="shared" si="92"/>
        <v>0</v>
      </c>
      <c r="I100" s="105">
        <f t="shared" si="92"/>
        <v>0</v>
      </c>
      <c r="J100" s="105">
        <f t="shared" si="92"/>
        <v>0</v>
      </c>
      <c r="K100" s="105">
        <f t="shared" si="92"/>
        <v>0</v>
      </c>
      <c r="L100" s="105">
        <f t="shared" si="92"/>
        <v>0</v>
      </c>
      <c r="M100" s="105">
        <f t="shared" si="92"/>
        <v>0</v>
      </c>
      <c r="N100" s="105">
        <f t="shared" si="92"/>
        <v>0</v>
      </c>
      <c r="O100" s="105">
        <f t="shared" si="92"/>
        <v>0</v>
      </c>
      <c r="P100" s="105">
        <f t="shared" si="92"/>
        <v>0</v>
      </c>
      <c r="Q100" s="105">
        <f t="shared" si="92"/>
        <v>0</v>
      </c>
      <c r="R100" s="105">
        <f t="shared" si="92"/>
        <v>0</v>
      </c>
      <c r="S100" s="105"/>
      <c r="T100" s="910">
        <f t="shared" si="92"/>
        <v>0</v>
      </c>
      <c r="U100" s="105">
        <f t="shared" si="92"/>
        <v>0</v>
      </c>
      <c r="V100" s="105">
        <f t="shared" si="92"/>
        <v>0</v>
      </c>
      <c r="W100" s="105">
        <f t="shared" si="92"/>
        <v>0</v>
      </c>
      <c r="X100" s="105">
        <f t="shared" si="92"/>
        <v>0</v>
      </c>
      <c r="Y100" s="105">
        <f t="shared" si="92"/>
        <v>0</v>
      </c>
      <c r="Z100" s="105">
        <f t="shared" si="92"/>
        <v>0</v>
      </c>
      <c r="AA100" s="105">
        <f t="shared" si="92"/>
        <v>0</v>
      </c>
      <c r="AB100" s="105">
        <f t="shared" si="92"/>
        <v>0</v>
      </c>
      <c r="AC100" s="105">
        <f t="shared" si="92"/>
        <v>0</v>
      </c>
      <c r="AD100" s="105">
        <f t="shared" si="92"/>
        <v>0</v>
      </c>
      <c r="AE100" s="105">
        <f t="shared" si="92"/>
        <v>0</v>
      </c>
      <c r="AF100" s="106">
        <f t="shared" si="79"/>
        <v>0</v>
      </c>
      <c r="AG100" s="86"/>
      <c r="AH100" s="86"/>
      <c r="AI100" s="86"/>
      <c r="AJ100" s="86"/>
      <c r="AK100" s="86"/>
      <c r="AL100" s="86"/>
    </row>
    <row r="101" spans="1:38" ht="14">
      <c r="A101" s="379"/>
      <c r="B101" s="22">
        <f t="shared" si="80"/>
        <v>95</v>
      </c>
      <c r="C101"/>
      <c r="D101"/>
      <c r="E101"/>
      <c r="F101" s="155" t="s">
        <v>349</v>
      </c>
      <c r="G101" s="105">
        <f t="shared" ref="G101:AE101" si="93">ROUND(G66*17.3%/3,2)*(G5="L")</f>
        <v>0</v>
      </c>
      <c r="H101" s="105">
        <f t="shared" si="93"/>
        <v>0</v>
      </c>
      <c r="I101" s="105">
        <f t="shared" si="93"/>
        <v>0</v>
      </c>
      <c r="J101" s="105">
        <f t="shared" si="93"/>
        <v>0</v>
      </c>
      <c r="K101" s="105">
        <f t="shared" si="93"/>
        <v>0</v>
      </c>
      <c r="L101" s="105">
        <f t="shared" si="93"/>
        <v>0</v>
      </c>
      <c r="M101" s="105">
        <f t="shared" si="93"/>
        <v>0</v>
      </c>
      <c r="N101" s="105">
        <f t="shared" si="93"/>
        <v>0</v>
      </c>
      <c r="O101" s="105">
        <f t="shared" si="93"/>
        <v>0</v>
      </c>
      <c r="P101" s="105">
        <f t="shared" si="93"/>
        <v>0</v>
      </c>
      <c r="Q101" s="105">
        <f t="shared" si="93"/>
        <v>0</v>
      </c>
      <c r="R101" s="105">
        <f t="shared" si="93"/>
        <v>0</v>
      </c>
      <c r="S101" s="105"/>
      <c r="T101" s="910">
        <f t="shared" si="93"/>
        <v>0</v>
      </c>
      <c r="U101" s="105">
        <f t="shared" si="93"/>
        <v>0</v>
      </c>
      <c r="V101" s="105">
        <f t="shared" si="93"/>
        <v>0</v>
      </c>
      <c r="W101" s="105">
        <f t="shared" si="93"/>
        <v>0</v>
      </c>
      <c r="X101" s="105">
        <f t="shared" si="93"/>
        <v>0</v>
      </c>
      <c r="Y101" s="105">
        <f t="shared" si="93"/>
        <v>0</v>
      </c>
      <c r="Z101" s="105">
        <f t="shared" si="93"/>
        <v>0</v>
      </c>
      <c r="AA101" s="105">
        <f t="shared" si="93"/>
        <v>0</v>
      </c>
      <c r="AB101" s="105">
        <f t="shared" si="93"/>
        <v>0</v>
      </c>
      <c r="AC101" s="105">
        <f t="shared" si="93"/>
        <v>0</v>
      </c>
      <c r="AD101" s="105">
        <f t="shared" si="93"/>
        <v>0</v>
      </c>
      <c r="AE101" s="105">
        <f t="shared" si="93"/>
        <v>0</v>
      </c>
      <c r="AF101" s="106">
        <f t="shared" si="79"/>
        <v>0</v>
      </c>
      <c r="AG101" s="86"/>
      <c r="AH101" s="86"/>
      <c r="AI101" s="86"/>
      <c r="AJ101" s="86"/>
      <c r="AK101" s="86"/>
      <c r="AL101" s="86"/>
    </row>
    <row r="102" spans="1:38" ht="14">
      <c r="A102" s="379"/>
      <c r="B102" s="22">
        <f t="shared" si="80"/>
        <v>96</v>
      </c>
      <c r="C102"/>
      <c r="D102"/>
      <c r="E102"/>
      <c r="F102" s="155" t="s">
        <v>576</v>
      </c>
      <c r="G102" s="105">
        <f t="shared" ref="G102:AE102" si="94">ROUND(G67*17.3%/3,2)*(G5="L")</f>
        <v>0</v>
      </c>
      <c r="H102" s="105">
        <f t="shared" si="94"/>
        <v>0</v>
      </c>
      <c r="I102" s="105">
        <f t="shared" si="94"/>
        <v>0</v>
      </c>
      <c r="J102" s="105">
        <f t="shared" si="94"/>
        <v>0</v>
      </c>
      <c r="K102" s="105">
        <f t="shared" si="94"/>
        <v>0</v>
      </c>
      <c r="L102" s="105">
        <f t="shared" si="94"/>
        <v>0</v>
      </c>
      <c r="M102" s="105">
        <f t="shared" si="94"/>
        <v>0</v>
      </c>
      <c r="N102" s="105">
        <f t="shared" si="94"/>
        <v>0</v>
      </c>
      <c r="O102" s="105">
        <f t="shared" si="94"/>
        <v>0</v>
      </c>
      <c r="P102" s="105">
        <f t="shared" si="94"/>
        <v>0</v>
      </c>
      <c r="Q102" s="105">
        <f t="shared" si="94"/>
        <v>0</v>
      </c>
      <c r="R102" s="105">
        <f t="shared" si="94"/>
        <v>0</v>
      </c>
      <c r="S102" s="105"/>
      <c r="T102" s="910">
        <f>ROUND(T67*17.3%/3,2)*($T$5="L")</f>
        <v>0</v>
      </c>
      <c r="U102" s="105">
        <f t="shared" si="94"/>
        <v>0</v>
      </c>
      <c r="V102" s="105">
        <f t="shared" si="94"/>
        <v>0</v>
      </c>
      <c r="W102" s="105">
        <f t="shared" si="94"/>
        <v>0</v>
      </c>
      <c r="X102" s="105">
        <f t="shared" si="94"/>
        <v>0</v>
      </c>
      <c r="Y102" s="105">
        <f t="shared" si="94"/>
        <v>0</v>
      </c>
      <c r="Z102" s="105">
        <f t="shared" si="94"/>
        <v>0</v>
      </c>
      <c r="AA102" s="105">
        <f t="shared" si="94"/>
        <v>0</v>
      </c>
      <c r="AB102" s="105">
        <f t="shared" si="94"/>
        <v>0</v>
      </c>
      <c r="AC102" s="105">
        <f t="shared" si="94"/>
        <v>0</v>
      </c>
      <c r="AD102" s="105">
        <f t="shared" si="94"/>
        <v>0</v>
      </c>
      <c r="AE102" s="105">
        <f t="shared" si="94"/>
        <v>0</v>
      </c>
      <c r="AF102" s="106">
        <f t="shared" si="79"/>
        <v>0</v>
      </c>
      <c r="AG102" s="86"/>
      <c r="AH102" s="86"/>
      <c r="AI102" s="86"/>
      <c r="AJ102" s="86"/>
      <c r="AK102" s="86"/>
      <c r="AL102" s="86"/>
    </row>
    <row r="103" spans="1:38" ht="14">
      <c r="A103" s="379"/>
      <c r="B103" s="22">
        <f t="shared" si="80"/>
        <v>97</v>
      </c>
      <c r="C103"/>
      <c r="D103"/>
      <c r="E103"/>
      <c r="F103" s="155" t="s">
        <v>547</v>
      </c>
      <c r="G103" s="105">
        <f t="shared" ref="G103:AE103" si="95">G68*0.173*($C23="x")/3*(G5="L")</f>
        <v>0</v>
      </c>
      <c r="H103" s="105">
        <f t="shared" si="95"/>
        <v>0</v>
      </c>
      <c r="I103" s="105">
        <f t="shared" si="95"/>
        <v>0</v>
      </c>
      <c r="J103" s="105">
        <f t="shared" si="95"/>
        <v>0</v>
      </c>
      <c r="K103" s="105">
        <f t="shared" si="95"/>
        <v>0</v>
      </c>
      <c r="L103" s="105">
        <f t="shared" si="95"/>
        <v>0</v>
      </c>
      <c r="M103" s="105">
        <f t="shared" si="95"/>
        <v>0</v>
      </c>
      <c r="N103" s="105">
        <f t="shared" si="95"/>
        <v>0</v>
      </c>
      <c r="O103" s="105">
        <f t="shared" si="95"/>
        <v>0</v>
      </c>
      <c r="P103" s="105">
        <f t="shared" si="95"/>
        <v>0</v>
      </c>
      <c r="Q103" s="105">
        <f t="shared" si="95"/>
        <v>0</v>
      </c>
      <c r="R103" s="105">
        <f t="shared" si="95"/>
        <v>0</v>
      </c>
      <c r="S103" s="105"/>
      <c r="T103" s="910">
        <f t="shared" si="95"/>
        <v>0</v>
      </c>
      <c r="U103" s="105">
        <f t="shared" si="95"/>
        <v>0</v>
      </c>
      <c r="V103" s="105">
        <f t="shared" si="95"/>
        <v>0</v>
      </c>
      <c r="W103" s="105">
        <f t="shared" si="95"/>
        <v>0</v>
      </c>
      <c r="X103" s="105">
        <f t="shared" si="95"/>
        <v>0</v>
      </c>
      <c r="Y103" s="105">
        <f t="shared" si="95"/>
        <v>0</v>
      </c>
      <c r="Z103" s="105">
        <f t="shared" si="95"/>
        <v>0</v>
      </c>
      <c r="AA103" s="105">
        <f t="shared" si="95"/>
        <v>0</v>
      </c>
      <c r="AB103" s="105">
        <f t="shared" si="95"/>
        <v>0</v>
      </c>
      <c r="AC103" s="105">
        <f t="shared" si="95"/>
        <v>0</v>
      </c>
      <c r="AD103" s="105">
        <f t="shared" si="95"/>
        <v>0</v>
      </c>
      <c r="AE103" s="105">
        <f t="shared" si="95"/>
        <v>0</v>
      </c>
      <c r="AF103" s="106">
        <f t="shared" si="79"/>
        <v>0</v>
      </c>
      <c r="AG103" s="86"/>
      <c r="AH103" s="86"/>
      <c r="AI103" s="86"/>
      <c r="AJ103" s="86"/>
      <c r="AK103" s="86"/>
      <c r="AL103" s="86"/>
    </row>
    <row r="104" spans="1:38" ht="14">
      <c r="A104" s="379"/>
      <c r="B104" s="22">
        <f t="shared" si="80"/>
        <v>98</v>
      </c>
      <c r="C104"/>
      <c r="D104"/>
      <c r="E104"/>
      <c r="F104" s="155" t="s">
        <v>694</v>
      </c>
      <c r="G104" s="105">
        <f>(G84*0.173+(G45*0.173*($C45="x")+G46*0.173*($C46="x")+G42*0.173*(G11&lt;1)))/3*(G5="L")</f>
        <v>0</v>
      </c>
      <c r="H104" s="105">
        <f t="shared" ref="H104:R104" si="96">(H84*0.173+(H45*0.173*($C45="x")+H46*0.173*($C46="x")+H42*0.173*(H11&lt;1)))/3*(H5="L")</f>
        <v>0</v>
      </c>
      <c r="I104" s="105">
        <f t="shared" si="96"/>
        <v>0</v>
      </c>
      <c r="J104" s="105">
        <f t="shared" si="96"/>
        <v>0</v>
      </c>
      <c r="K104" s="105">
        <f t="shared" si="96"/>
        <v>0</v>
      </c>
      <c r="L104" s="105">
        <f t="shared" si="96"/>
        <v>0</v>
      </c>
      <c r="M104" s="105">
        <f t="shared" si="96"/>
        <v>0</v>
      </c>
      <c r="N104" s="105">
        <f t="shared" si="96"/>
        <v>0</v>
      </c>
      <c r="O104" s="105">
        <f t="shared" si="96"/>
        <v>0</v>
      </c>
      <c r="P104" s="105">
        <f t="shared" si="96"/>
        <v>0</v>
      </c>
      <c r="Q104" s="105">
        <f t="shared" si="96"/>
        <v>0</v>
      </c>
      <c r="R104" s="105">
        <f t="shared" si="96"/>
        <v>0</v>
      </c>
      <c r="S104" s="105"/>
      <c r="T104" s="910">
        <f t="shared" ref="T104:AE104" si="97">(T84*0.173+(T45*0.173*($C45="x")+T46*0.173*($C46="x")+T42*0.173*(T10&lt;1)))/3*(T5="L")</f>
        <v>0</v>
      </c>
      <c r="U104" s="105">
        <f t="shared" si="97"/>
        <v>0</v>
      </c>
      <c r="V104" s="105">
        <f t="shared" si="97"/>
        <v>0</v>
      </c>
      <c r="W104" s="105">
        <f t="shared" si="97"/>
        <v>0</v>
      </c>
      <c r="X104" s="105">
        <f t="shared" si="97"/>
        <v>0</v>
      </c>
      <c r="Y104" s="105">
        <f t="shared" si="97"/>
        <v>0</v>
      </c>
      <c r="Z104" s="105">
        <f t="shared" si="97"/>
        <v>0</v>
      </c>
      <c r="AA104" s="105">
        <f t="shared" si="97"/>
        <v>0</v>
      </c>
      <c r="AB104" s="105">
        <f t="shared" si="97"/>
        <v>0</v>
      </c>
      <c r="AC104" s="105">
        <f t="shared" si="97"/>
        <v>0</v>
      </c>
      <c r="AD104" s="105">
        <f t="shared" si="97"/>
        <v>0</v>
      </c>
      <c r="AE104" s="105">
        <f t="shared" si="97"/>
        <v>0</v>
      </c>
      <c r="AF104" s="106">
        <f t="shared" si="79"/>
        <v>0</v>
      </c>
      <c r="AG104" s="86"/>
      <c r="AH104" s="86"/>
      <c r="AI104" s="86"/>
      <c r="AJ104" s="86"/>
      <c r="AK104" s="86"/>
      <c r="AL104" s="86"/>
    </row>
    <row r="105" spans="1:38" ht="14">
      <c r="A105" s="379"/>
      <c r="B105" s="22">
        <f t="shared" si="80"/>
        <v>99</v>
      </c>
      <c r="C105"/>
      <c r="D105"/>
      <c r="E105"/>
      <c r="F105" s="155" t="s">
        <v>428</v>
      </c>
      <c r="G105" s="105">
        <f>IF(LEFT(G$5)&lt;&gt;"L",G148/3,0)</f>
        <v>0</v>
      </c>
      <c r="H105" s="105">
        <f t="shared" ref="H105:R105" si="98">IF(LEFT(H$5)&lt;&gt;"L",H148/3,0)</f>
        <v>0</v>
      </c>
      <c r="I105" s="105">
        <f t="shared" si="98"/>
        <v>0</v>
      </c>
      <c r="J105" s="105">
        <f t="shared" si="98"/>
        <v>0</v>
      </c>
      <c r="K105" s="105">
        <f t="shared" si="98"/>
        <v>0</v>
      </c>
      <c r="L105" s="105">
        <f t="shared" si="98"/>
        <v>0</v>
      </c>
      <c r="M105" s="105">
        <f t="shared" si="98"/>
        <v>0</v>
      </c>
      <c r="N105" s="105">
        <f t="shared" si="98"/>
        <v>0</v>
      </c>
      <c r="O105" s="105">
        <f t="shared" si="98"/>
        <v>0</v>
      </c>
      <c r="P105" s="105">
        <f t="shared" si="98"/>
        <v>0</v>
      </c>
      <c r="Q105" s="105">
        <f t="shared" si="98"/>
        <v>0</v>
      </c>
      <c r="R105" s="105">
        <f t="shared" si="98"/>
        <v>0</v>
      </c>
      <c r="S105" s="105"/>
      <c r="T105" s="910">
        <f>IF(LEFT(T$5)&lt;&gt;"L",T148/3,0)</f>
        <v>0</v>
      </c>
      <c r="U105" s="105">
        <f t="shared" ref="U105:AE105" si="99">IF(LEFT(U$5)&lt;&gt;"L",U148/3,0)</f>
        <v>0</v>
      </c>
      <c r="V105" s="105">
        <f t="shared" si="99"/>
        <v>0</v>
      </c>
      <c r="W105" s="105">
        <f t="shared" si="99"/>
        <v>0</v>
      </c>
      <c r="X105" s="105">
        <f t="shared" si="99"/>
        <v>0</v>
      </c>
      <c r="Y105" s="105">
        <f t="shared" si="99"/>
        <v>0</v>
      </c>
      <c r="Z105" s="105">
        <f t="shared" si="99"/>
        <v>0</v>
      </c>
      <c r="AA105" s="105">
        <f t="shared" si="99"/>
        <v>0</v>
      </c>
      <c r="AB105" s="105">
        <f t="shared" si="99"/>
        <v>0</v>
      </c>
      <c r="AC105" s="105">
        <f t="shared" si="99"/>
        <v>0</v>
      </c>
      <c r="AD105" s="105">
        <f t="shared" si="99"/>
        <v>0</v>
      </c>
      <c r="AE105" s="105">
        <f t="shared" si="99"/>
        <v>0</v>
      </c>
      <c r="AF105" s="106">
        <f t="shared" si="79"/>
        <v>0</v>
      </c>
      <c r="AG105" s="86"/>
      <c r="AH105" s="86"/>
      <c r="AI105" s="86"/>
      <c r="AJ105" s="86"/>
      <c r="AK105" s="86"/>
      <c r="AL105" s="86"/>
    </row>
    <row r="106" spans="1:38" ht="14">
      <c r="A106" s="379"/>
      <c r="B106" s="22">
        <v>96</v>
      </c>
      <c r="C106"/>
      <c r="D106"/>
      <c r="E106"/>
      <c r="F106" s="155" t="s">
        <v>247</v>
      </c>
      <c r="G106" s="208">
        <f>IF(G5="L",G70*17.3%/3,G148*4.62%*((G25+G28)*-1)*18%/3)</f>
        <v>0</v>
      </c>
      <c r="H106" s="208">
        <f t="shared" ref="H106:AE106" si="100">IF(H5="L",H70*17.3%/3,H148*4.62%*((H25+H28)*-1)*18%/3)</f>
        <v>0</v>
      </c>
      <c r="I106" s="208">
        <f t="shared" si="100"/>
        <v>0</v>
      </c>
      <c r="J106" s="208">
        <f t="shared" si="100"/>
        <v>0</v>
      </c>
      <c r="K106" s="208">
        <f t="shared" si="100"/>
        <v>0</v>
      </c>
      <c r="L106" s="208">
        <f t="shared" si="100"/>
        <v>0</v>
      </c>
      <c r="M106" s="208">
        <f t="shared" si="100"/>
        <v>0</v>
      </c>
      <c r="N106" s="208">
        <f t="shared" si="100"/>
        <v>0</v>
      </c>
      <c r="O106" s="208">
        <f t="shared" si="100"/>
        <v>0</v>
      </c>
      <c r="P106" s="208">
        <f t="shared" si="100"/>
        <v>0</v>
      </c>
      <c r="Q106" s="208">
        <f t="shared" si="100"/>
        <v>0</v>
      </c>
      <c r="R106" s="208">
        <f t="shared" si="100"/>
        <v>0</v>
      </c>
      <c r="S106" s="208">
        <f t="shared" si="100"/>
        <v>0</v>
      </c>
      <c r="T106" s="208">
        <f t="shared" si="100"/>
        <v>0</v>
      </c>
      <c r="U106" s="208">
        <f t="shared" si="100"/>
        <v>0</v>
      </c>
      <c r="V106" s="208">
        <f t="shared" si="100"/>
        <v>0</v>
      </c>
      <c r="W106" s="208">
        <f t="shared" si="100"/>
        <v>0</v>
      </c>
      <c r="X106" s="208">
        <f t="shared" si="100"/>
        <v>0</v>
      </c>
      <c r="Y106" s="208">
        <f t="shared" si="100"/>
        <v>0</v>
      </c>
      <c r="Z106" s="208">
        <f t="shared" si="100"/>
        <v>0</v>
      </c>
      <c r="AA106" s="208">
        <f t="shared" si="100"/>
        <v>0</v>
      </c>
      <c r="AB106" s="208">
        <f t="shared" si="100"/>
        <v>0</v>
      </c>
      <c r="AC106" s="208">
        <f t="shared" si="100"/>
        <v>0</v>
      </c>
      <c r="AD106" s="208">
        <f t="shared" si="100"/>
        <v>0</v>
      </c>
      <c r="AE106" s="208">
        <f t="shared" si="100"/>
        <v>0</v>
      </c>
      <c r="AF106" s="106">
        <f t="shared" si="79"/>
        <v>0</v>
      </c>
      <c r="AG106" s="86"/>
      <c r="AH106" s="86"/>
      <c r="AI106" s="86"/>
      <c r="AJ106" s="86"/>
      <c r="AK106" s="86"/>
      <c r="AL106" s="86"/>
    </row>
    <row r="107" spans="1:38" ht="14">
      <c r="A107" s="379"/>
      <c r="B107" s="22">
        <f t="shared" si="80"/>
        <v>97</v>
      </c>
      <c r="C107"/>
      <c r="D107"/>
      <c r="E107"/>
      <c r="F107" s="156" t="s">
        <v>35</v>
      </c>
      <c r="G107" s="208">
        <f>G72*17.3%/3*(G5="L")</f>
        <v>0</v>
      </c>
      <c r="H107" s="208">
        <f t="shared" ref="H107:AE107" si="101">H72*17.3%/3*(H5="L")</f>
        <v>0</v>
      </c>
      <c r="I107" s="208">
        <f t="shared" si="101"/>
        <v>0</v>
      </c>
      <c r="J107" s="208">
        <f t="shared" si="101"/>
        <v>0</v>
      </c>
      <c r="K107" s="208">
        <f t="shared" si="101"/>
        <v>0</v>
      </c>
      <c r="L107" s="208">
        <f t="shared" si="101"/>
        <v>0</v>
      </c>
      <c r="M107" s="208">
        <f t="shared" si="101"/>
        <v>0</v>
      </c>
      <c r="N107" s="208">
        <f t="shared" si="101"/>
        <v>0</v>
      </c>
      <c r="O107" s="208">
        <f t="shared" si="101"/>
        <v>0</v>
      </c>
      <c r="P107" s="208">
        <f t="shared" si="101"/>
        <v>0</v>
      </c>
      <c r="Q107" s="208">
        <f t="shared" si="101"/>
        <v>0</v>
      </c>
      <c r="R107" s="208">
        <f t="shared" si="101"/>
        <v>0</v>
      </c>
      <c r="S107" s="208"/>
      <c r="T107" s="911">
        <f t="shared" si="101"/>
        <v>0</v>
      </c>
      <c r="U107" s="208">
        <f t="shared" si="101"/>
        <v>0</v>
      </c>
      <c r="V107" s="208">
        <f t="shared" si="101"/>
        <v>0</v>
      </c>
      <c r="W107" s="208">
        <f t="shared" si="101"/>
        <v>0</v>
      </c>
      <c r="X107" s="208">
        <f t="shared" si="101"/>
        <v>0</v>
      </c>
      <c r="Y107" s="208">
        <f t="shared" si="101"/>
        <v>0</v>
      </c>
      <c r="Z107" s="208">
        <f t="shared" si="101"/>
        <v>0</v>
      </c>
      <c r="AA107" s="208">
        <f t="shared" si="101"/>
        <v>0</v>
      </c>
      <c r="AB107" s="208">
        <f t="shared" si="101"/>
        <v>0</v>
      </c>
      <c r="AC107" s="208">
        <f t="shared" si="101"/>
        <v>0</v>
      </c>
      <c r="AD107" s="208">
        <f t="shared" si="101"/>
        <v>0</v>
      </c>
      <c r="AE107" s="208">
        <f t="shared" si="101"/>
        <v>0</v>
      </c>
      <c r="AF107" s="123">
        <f t="shared" si="79"/>
        <v>0</v>
      </c>
      <c r="AG107" s="86"/>
      <c r="AH107" s="86"/>
      <c r="AI107" s="86"/>
      <c r="AJ107" s="86"/>
      <c r="AK107" s="86"/>
      <c r="AL107" s="86"/>
    </row>
    <row r="108" spans="1:38" ht="28" customHeight="1">
      <c r="A108" s="379"/>
      <c r="B108" s="22">
        <f t="shared" si="80"/>
        <v>98</v>
      </c>
      <c r="C108"/>
      <c r="D108"/>
      <c r="E108"/>
      <c r="F108" s="6" t="s">
        <v>651</v>
      </c>
      <c r="G108" s="903">
        <f>IF(OR(G8="Ja",G11&gt;G10),SUM(T90:T107)-SUM(G90:G107)+T109-G109,0)</f>
        <v>0</v>
      </c>
      <c r="H108" s="903">
        <f>IF(OR(H8="Ja",H11&gt;H10),SUM(U90:U107)-SUM(H90:H107)+U109-H109,0)</f>
        <v>0</v>
      </c>
      <c r="I108" s="903">
        <f t="shared" ref="I108:R108" si="102">IF(OR(I8="Ja",I11&gt;I10),SUM(V90:V107)-SUM(I90:I107)+V109-I109,0)</f>
        <v>0</v>
      </c>
      <c r="J108" s="903">
        <f t="shared" si="102"/>
        <v>0</v>
      </c>
      <c r="K108" s="903">
        <f t="shared" si="102"/>
        <v>0</v>
      </c>
      <c r="L108" s="903">
        <f t="shared" si="102"/>
        <v>0</v>
      </c>
      <c r="M108" s="903">
        <f t="shared" si="102"/>
        <v>0</v>
      </c>
      <c r="N108" s="903">
        <f t="shared" si="102"/>
        <v>0</v>
      </c>
      <c r="O108" s="903">
        <f t="shared" si="102"/>
        <v>0</v>
      </c>
      <c r="P108" s="903">
        <f t="shared" si="102"/>
        <v>0</v>
      </c>
      <c r="Q108" s="903">
        <f t="shared" si="102"/>
        <v>0</v>
      </c>
      <c r="R108" s="903">
        <f t="shared" si="102"/>
        <v>0</v>
      </c>
      <c r="S108" s="903"/>
      <c r="T108" s="914"/>
      <c r="U108" s="903"/>
      <c r="V108" s="903"/>
      <c r="W108" s="903"/>
      <c r="X108" s="903"/>
      <c r="Y108" s="903"/>
      <c r="Z108" s="903"/>
      <c r="AA108" s="903"/>
      <c r="AB108" s="903"/>
      <c r="AC108" s="903"/>
      <c r="AD108" s="903"/>
      <c r="AE108" s="903"/>
      <c r="AF108" s="904"/>
      <c r="AG108" s="86"/>
      <c r="AH108" s="86"/>
      <c r="AI108" s="86"/>
      <c r="AJ108" s="86"/>
      <c r="AK108" s="86"/>
      <c r="AL108" s="86"/>
    </row>
    <row r="109" spans="1:38" ht="14" customHeight="1">
      <c r="A109" s="379"/>
      <c r="B109" s="22">
        <v>99</v>
      </c>
      <c r="C109"/>
      <c r="D109"/>
      <c r="E109"/>
      <c r="F109" s="6" t="s">
        <v>690</v>
      </c>
      <c r="G109" s="903">
        <f t="shared" ref="G109:R109" si="103">ROUND(G88*17.3%/3,2)*(G5="L")</f>
        <v>0</v>
      </c>
      <c r="H109" s="903">
        <f t="shared" si="103"/>
        <v>0</v>
      </c>
      <c r="I109" s="903">
        <f t="shared" si="103"/>
        <v>0</v>
      </c>
      <c r="J109" s="903">
        <f t="shared" si="103"/>
        <v>0</v>
      </c>
      <c r="K109" s="903">
        <f t="shared" si="103"/>
        <v>0</v>
      </c>
      <c r="L109" s="903">
        <f t="shared" si="103"/>
        <v>0</v>
      </c>
      <c r="M109" s="903">
        <f t="shared" si="103"/>
        <v>0</v>
      </c>
      <c r="N109" s="903">
        <f t="shared" si="103"/>
        <v>0</v>
      </c>
      <c r="O109" s="903">
        <f t="shared" si="103"/>
        <v>0</v>
      </c>
      <c r="P109" s="903">
        <f t="shared" si="103"/>
        <v>0</v>
      </c>
      <c r="Q109" s="903">
        <f>ROUND(Q88*17.3%/3,2)*(Q5="L")</f>
        <v>0</v>
      </c>
      <c r="R109" s="903">
        <f t="shared" si="103"/>
        <v>0</v>
      </c>
      <c r="S109" s="903"/>
      <c r="T109" s="910">
        <f>ROUND(T88*17.3%/3,2)*($T$5="L")</f>
        <v>0</v>
      </c>
      <c r="U109" s="910">
        <f t="shared" ref="U109:AE109" si="104">ROUND(U88*17.3%/3,2)*($T$5="L")</f>
        <v>0</v>
      </c>
      <c r="V109" s="910">
        <f t="shared" si="104"/>
        <v>0</v>
      </c>
      <c r="W109" s="910">
        <f t="shared" si="104"/>
        <v>0</v>
      </c>
      <c r="X109" s="910">
        <f t="shared" si="104"/>
        <v>0</v>
      </c>
      <c r="Y109" s="910">
        <f t="shared" si="104"/>
        <v>0</v>
      </c>
      <c r="Z109" s="910">
        <f t="shared" si="104"/>
        <v>0</v>
      </c>
      <c r="AA109" s="910">
        <f t="shared" si="104"/>
        <v>0</v>
      </c>
      <c r="AB109" s="910">
        <f t="shared" si="104"/>
        <v>0</v>
      </c>
      <c r="AC109" s="910">
        <f t="shared" si="104"/>
        <v>0</v>
      </c>
      <c r="AD109" s="910">
        <f t="shared" si="104"/>
        <v>0</v>
      </c>
      <c r="AE109" s="910">
        <f t="shared" si="104"/>
        <v>0</v>
      </c>
      <c r="AF109" s="904"/>
      <c r="AG109" s="86"/>
      <c r="AH109" s="86"/>
      <c r="AI109" s="86"/>
      <c r="AJ109" s="86"/>
      <c r="AK109" s="86"/>
      <c r="AL109" s="86"/>
    </row>
    <row r="110" spans="1:38" ht="15" thickBot="1">
      <c r="A110" s="380"/>
      <c r="B110" s="22">
        <v>100</v>
      </c>
      <c r="C110" s="651"/>
      <c r="D110" s="651"/>
      <c r="E110" s="651"/>
      <c r="F110" s="151" t="s">
        <v>181</v>
      </c>
      <c r="G110" s="212">
        <f>SUM(G90:G109)</f>
        <v>0</v>
      </c>
      <c r="H110" s="212">
        <f>SUM(H90:H109)</f>
        <v>0</v>
      </c>
      <c r="I110" s="212">
        <f t="shared" ref="I110:R110" si="105">SUM(I90:I109)</f>
        <v>0</v>
      </c>
      <c r="J110" s="212">
        <f>SUM(J90:J109)</f>
        <v>0</v>
      </c>
      <c r="K110" s="212">
        <f t="shared" si="105"/>
        <v>0</v>
      </c>
      <c r="L110" s="212">
        <f t="shared" si="105"/>
        <v>0</v>
      </c>
      <c r="M110" s="212">
        <f t="shared" si="105"/>
        <v>0</v>
      </c>
      <c r="N110" s="212">
        <f t="shared" si="105"/>
        <v>0</v>
      </c>
      <c r="O110" s="212">
        <f t="shared" si="105"/>
        <v>0</v>
      </c>
      <c r="P110" s="212">
        <f t="shared" si="105"/>
        <v>0</v>
      </c>
      <c r="Q110" s="212">
        <f t="shared" si="105"/>
        <v>0</v>
      </c>
      <c r="R110" s="212">
        <f t="shared" si="105"/>
        <v>0</v>
      </c>
      <c r="S110" s="212"/>
      <c r="T110" s="915" t="e">
        <f>SUM(T90:T107)+T109</f>
        <v>#DIV/0!</v>
      </c>
      <c r="U110" s="915">
        <f>SUM(U90:U107)+U109</f>
        <v>0</v>
      </c>
      <c r="V110" s="152">
        <f t="shared" ref="V110:AE110" si="106">SUM(V90:V107)</f>
        <v>0</v>
      </c>
      <c r="W110" s="152">
        <f t="shared" si="106"/>
        <v>0</v>
      </c>
      <c r="X110" s="152">
        <f t="shared" si="106"/>
        <v>0</v>
      </c>
      <c r="Y110" s="152">
        <f t="shared" si="106"/>
        <v>0</v>
      </c>
      <c r="Z110" s="152">
        <f t="shared" si="106"/>
        <v>0</v>
      </c>
      <c r="AA110" s="152">
        <f t="shared" si="106"/>
        <v>0</v>
      </c>
      <c r="AB110" s="152">
        <f t="shared" si="106"/>
        <v>0</v>
      </c>
      <c r="AC110" s="152">
        <f t="shared" si="106"/>
        <v>0</v>
      </c>
      <c r="AD110" s="152">
        <f t="shared" si="106"/>
        <v>0</v>
      </c>
      <c r="AE110" s="152">
        <f t="shared" si="106"/>
        <v>0</v>
      </c>
      <c r="AF110" s="153">
        <f t="shared" si="79"/>
        <v>0</v>
      </c>
      <c r="AG110" s="86"/>
      <c r="AH110" s="86"/>
      <c r="AI110" s="86"/>
      <c r="AJ110" s="86"/>
      <c r="AK110" s="86"/>
      <c r="AL110" s="86"/>
    </row>
    <row r="111" spans="1:38" ht="14">
      <c r="A111" s="381"/>
      <c r="B111" s="22">
        <f>B110+1</f>
        <v>101</v>
      </c>
      <c r="C111"/>
      <c r="D111"/>
      <c r="E111"/>
      <c r="F111" s="182" t="s">
        <v>96</v>
      </c>
      <c r="G111" s="213">
        <f>ROUND(G123/3,2)</f>
        <v>0</v>
      </c>
      <c r="H111" s="213">
        <f t="shared" ref="H111:R111" si="107">ROUND(H123/3,2)</f>
        <v>0</v>
      </c>
      <c r="I111" s="213">
        <f>IF(I8="Ja",0,ROUND(I123/3,2))</f>
        <v>0</v>
      </c>
      <c r="J111" s="213">
        <f t="shared" si="107"/>
        <v>0</v>
      </c>
      <c r="K111" s="213">
        <f t="shared" si="107"/>
        <v>0</v>
      </c>
      <c r="L111" s="213">
        <f t="shared" si="107"/>
        <v>0</v>
      </c>
      <c r="M111" s="213">
        <f t="shared" si="107"/>
        <v>0</v>
      </c>
      <c r="N111" s="213">
        <f t="shared" si="107"/>
        <v>0</v>
      </c>
      <c r="O111" s="213">
        <f t="shared" si="107"/>
        <v>0</v>
      </c>
      <c r="P111" s="213">
        <f t="shared" si="107"/>
        <v>0</v>
      </c>
      <c r="Q111" s="213">
        <f t="shared" si="107"/>
        <v>0</v>
      </c>
      <c r="R111" s="213">
        <f t="shared" si="107"/>
        <v>0</v>
      </c>
      <c r="S111" s="213"/>
      <c r="T111" s="916">
        <f>ROUND(T123/3,2)</f>
        <v>0</v>
      </c>
      <c r="U111" s="213">
        <f t="shared" ref="U111:AE111" si="108">ROUND(U123/3,2)</f>
        <v>0</v>
      </c>
      <c r="V111" s="213">
        <f t="shared" si="108"/>
        <v>0</v>
      </c>
      <c r="W111" s="213">
        <f t="shared" si="108"/>
        <v>0</v>
      </c>
      <c r="X111" s="213">
        <f t="shared" si="108"/>
        <v>0</v>
      </c>
      <c r="Y111" s="213">
        <f t="shared" si="108"/>
        <v>0</v>
      </c>
      <c r="Z111" s="213">
        <f t="shared" si="108"/>
        <v>0</v>
      </c>
      <c r="AA111" s="213">
        <f t="shared" si="108"/>
        <v>0</v>
      </c>
      <c r="AB111" s="213">
        <f t="shared" si="108"/>
        <v>0</v>
      </c>
      <c r="AC111" s="213">
        <f t="shared" si="108"/>
        <v>0</v>
      </c>
      <c r="AD111" s="213">
        <f t="shared" si="108"/>
        <v>0</v>
      </c>
      <c r="AE111" s="213">
        <f t="shared" si="108"/>
        <v>0</v>
      </c>
      <c r="AF111" s="104">
        <f>SUM(G111:R111)</f>
        <v>0</v>
      </c>
      <c r="AG111" s="86"/>
      <c r="AH111" s="86"/>
      <c r="AI111" s="86"/>
      <c r="AJ111" s="86"/>
      <c r="AK111" s="86"/>
      <c r="AL111" s="86"/>
    </row>
    <row r="112" spans="1:38" ht="14">
      <c r="A112" s="381"/>
      <c r="B112" s="22">
        <f>B111+1</f>
        <v>102</v>
      </c>
      <c r="C112"/>
      <c r="D112"/>
      <c r="E112"/>
      <c r="F112" s="182" t="s">
        <v>91</v>
      </c>
      <c r="G112" s="108">
        <f>SUM(G53:G73)+SUM(G78:G88)-G111</f>
        <v>0</v>
      </c>
      <c r="H112" s="108">
        <f t="shared" ref="H112:R112" si="109">SUM(H53:H73)+SUM(H78:H88)-H111</f>
        <v>0</v>
      </c>
      <c r="I112" s="108">
        <f t="shared" si="109"/>
        <v>0</v>
      </c>
      <c r="J112" s="108">
        <f t="shared" si="109"/>
        <v>0</v>
      </c>
      <c r="K112" s="108">
        <f t="shared" si="109"/>
        <v>0</v>
      </c>
      <c r="L112" s="108">
        <f t="shared" si="109"/>
        <v>0</v>
      </c>
      <c r="M112" s="108">
        <f t="shared" si="109"/>
        <v>0</v>
      </c>
      <c r="N112" s="108">
        <f t="shared" si="109"/>
        <v>0</v>
      </c>
      <c r="O112" s="108">
        <f t="shared" si="109"/>
        <v>0</v>
      </c>
      <c r="P112" s="108">
        <f t="shared" si="109"/>
        <v>0</v>
      </c>
      <c r="Q112" s="108">
        <f t="shared" si="109"/>
        <v>0</v>
      </c>
      <c r="R112" s="108">
        <f t="shared" si="109"/>
        <v>0</v>
      </c>
      <c r="S112" s="108"/>
      <c r="T112" s="917">
        <f>SUM(T53:T73)+SUM(T78:T87)-T111</f>
        <v>0</v>
      </c>
      <c r="U112" s="108">
        <f t="shared" ref="U112" si="110">SUM(U53:U73)+SUM(U78:U87)-U111</f>
        <v>0</v>
      </c>
      <c r="V112" s="108">
        <f t="shared" ref="V112" si="111">SUM(V53:V73)+SUM(V78:V87)-V111</f>
        <v>0</v>
      </c>
      <c r="W112" s="108">
        <f t="shared" ref="W112:AE112" si="112">SUM(W53:W73)+SUM(W78:W87)-W111</f>
        <v>0</v>
      </c>
      <c r="X112" s="108">
        <f t="shared" si="112"/>
        <v>0</v>
      </c>
      <c r="Y112" s="108">
        <f t="shared" si="112"/>
        <v>0</v>
      </c>
      <c r="Z112" s="108">
        <f t="shared" si="112"/>
        <v>0</v>
      </c>
      <c r="AA112" s="108">
        <f t="shared" si="112"/>
        <v>0</v>
      </c>
      <c r="AB112" s="108">
        <f t="shared" si="112"/>
        <v>0</v>
      </c>
      <c r="AC112" s="108">
        <f t="shared" si="112"/>
        <v>0</v>
      </c>
      <c r="AD112" s="108">
        <f t="shared" si="112"/>
        <v>0</v>
      </c>
      <c r="AE112" s="108">
        <f t="shared" si="112"/>
        <v>0</v>
      </c>
      <c r="AF112" s="104">
        <f>SUM(G112:R112)</f>
        <v>0</v>
      </c>
      <c r="AG112" s="86"/>
      <c r="AH112" s="86"/>
      <c r="AI112" s="86"/>
      <c r="AJ112" s="86"/>
      <c r="AK112" s="86"/>
      <c r="AL112" s="86"/>
    </row>
    <row r="113" spans="1:38" ht="14">
      <c r="A113" s="381"/>
      <c r="B113" s="22">
        <f t="shared" ref="B113:B129" si="113">B112+1</f>
        <v>103</v>
      </c>
      <c r="C113"/>
      <c r="D113"/>
      <c r="E113"/>
      <c r="F113" s="183" t="s">
        <v>92</v>
      </c>
      <c r="G113" s="214">
        <f>ROUND(G112*8%,0)</f>
        <v>0</v>
      </c>
      <c r="H113" s="109">
        <f t="shared" ref="H113:R113" si="114">ROUND(H112*8%,0)</f>
        <v>0</v>
      </c>
      <c r="I113" s="109">
        <f t="shared" si="114"/>
        <v>0</v>
      </c>
      <c r="J113" s="109">
        <f t="shared" si="114"/>
        <v>0</v>
      </c>
      <c r="K113" s="109">
        <f t="shared" si="114"/>
        <v>0</v>
      </c>
      <c r="L113" s="109">
        <f t="shared" si="114"/>
        <v>0</v>
      </c>
      <c r="M113" s="109">
        <f t="shared" si="114"/>
        <v>0</v>
      </c>
      <c r="N113" s="109">
        <f t="shared" si="114"/>
        <v>0</v>
      </c>
      <c r="O113" s="109">
        <f t="shared" si="114"/>
        <v>0</v>
      </c>
      <c r="P113" s="109">
        <f t="shared" si="114"/>
        <v>0</v>
      </c>
      <c r="Q113" s="109">
        <f t="shared" si="114"/>
        <v>0</v>
      </c>
      <c r="R113" s="109">
        <f t="shared" si="114"/>
        <v>0</v>
      </c>
      <c r="S113" s="214"/>
      <c r="T113" s="918">
        <f>ROUND(T112*8%,0)</f>
        <v>0</v>
      </c>
      <c r="U113" s="109">
        <f t="shared" ref="U113:AE113" si="115">ROUND(U112*8%,0)</f>
        <v>0</v>
      </c>
      <c r="V113" s="109">
        <f t="shared" si="115"/>
        <v>0</v>
      </c>
      <c r="W113" s="109">
        <f t="shared" si="115"/>
        <v>0</v>
      </c>
      <c r="X113" s="109">
        <f t="shared" si="115"/>
        <v>0</v>
      </c>
      <c r="Y113" s="109">
        <f t="shared" si="115"/>
        <v>0</v>
      </c>
      <c r="Z113" s="109">
        <f t="shared" si="115"/>
        <v>0</v>
      </c>
      <c r="AA113" s="109">
        <f t="shared" si="115"/>
        <v>0</v>
      </c>
      <c r="AB113" s="109">
        <f t="shared" si="115"/>
        <v>0</v>
      </c>
      <c r="AC113" s="109">
        <f t="shared" si="115"/>
        <v>0</v>
      </c>
      <c r="AD113" s="109">
        <f t="shared" si="115"/>
        <v>0</v>
      </c>
      <c r="AE113" s="109">
        <f t="shared" si="115"/>
        <v>0</v>
      </c>
      <c r="AF113" s="106">
        <f>SUM(G113:R113)</f>
        <v>0</v>
      </c>
      <c r="AG113" s="86"/>
      <c r="AH113" s="86"/>
      <c r="AI113" s="86"/>
      <c r="AJ113" s="86"/>
      <c r="AK113" s="86"/>
      <c r="AL113" s="86"/>
    </row>
    <row r="114" spans="1:38" ht="14">
      <c r="A114" s="381"/>
      <c r="B114" s="22">
        <f t="shared" si="113"/>
        <v>104</v>
      </c>
      <c r="C114"/>
      <c r="D114"/>
      <c r="E114"/>
      <c r="F114" s="183" t="s">
        <v>93</v>
      </c>
      <c r="G114" s="214">
        <f>G112-G113</f>
        <v>0</v>
      </c>
      <c r="H114" s="109">
        <f t="shared" ref="H114:R114" si="116">H112-H113</f>
        <v>0</v>
      </c>
      <c r="I114" s="109">
        <f t="shared" si="116"/>
        <v>0</v>
      </c>
      <c r="J114" s="109">
        <f t="shared" si="116"/>
        <v>0</v>
      </c>
      <c r="K114" s="109">
        <f t="shared" si="116"/>
        <v>0</v>
      </c>
      <c r="L114" s="109">
        <f t="shared" si="116"/>
        <v>0</v>
      </c>
      <c r="M114" s="109">
        <f t="shared" si="116"/>
        <v>0</v>
      </c>
      <c r="N114" s="109">
        <f t="shared" si="116"/>
        <v>0</v>
      </c>
      <c r="O114" s="109">
        <f t="shared" si="116"/>
        <v>0</v>
      </c>
      <c r="P114" s="109">
        <f t="shared" si="116"/>
        <v>0</v>
      </c>
      <c r="Q114" s="109">
        <f t="shared" si="116"/>
        <v>0</v>
      </c>
      <c r="R114" s="109">
        <f t="shared" si="116"/>
        <v>0</v>
      </c>
      <c r="S114" s="214"/>
      <c r="T114" s="918">
        <f>T112-T113</f>
        <v>0</v>
      </c>
      <c r="U114" s="109">
        <f t="shared" ref="U114:AE114" si="117">U112-U113</f>
        <v>0</v>
      </c>
      <c r="V114" s="109">
        <f t="shared" si="117"/>
        <v>0</v>
      </c>
      <c r="W114" s="109">
        <f t="shared" si="117"/>
        <v>0</v>
      </c>
      <c r="X114" s="109">
        <f t="shared" si="117"/>
        <v>0</v>
      </c>
      <c r="Y114" s="109">
        <f t="shared" si="117"/>
        <v>0</v>
      </c>
      <c r="Z114" s="109">
        <f t="shared" si="117"/>
        <v>0</v>
      </c>
      <c r="AA114" s="109">
        <f t="shared" si="117"/>
        <v>0</v>
      </c>
      <c r="AB114" s="109">
        <f t="shared" si="117"/>
        <v>0</v>
      </c>
      <c r="AC114" s="109">
        <f t="shared" si="117"/>
        <v>0</v>
      </c>
      <c r="AD114" s="109">
        <f t="shared" si="117"/>
        <v>0</v>
      </c>
      <c r="AE114" s="109">
        <f t="shared" si="117"/>
        <v>0</v>
      </c>
      <c r="AF114" s="106">
        <f>SUM(G114:R114)</f>
        <v>0</v>
      </c>
      <c r="AG114" s="86"/>
      <c r="AH114" s="86"/>
      <c r="AI114" s="86"/>
      <c r="AJ114" s="86"/>
      <c r="AK114" s="86"/>
      <c r="AL114" s="86"/>
    </row>
    <row r="115" spans="1:38" ht="14">
      <c r="A115" s="381"/>
      <c r="B115" s="22">
        <f t="shared" si="113"/>
        <v>105</v>
      </c>
      <c r="C115"/>
      <c r="D115"/>
      <c r="E115"/>
      <c r="F115" s="183" t="s">
        <v>105</v>
      </c>
      <c r="G115" s="214">
        <f>TRUNC((G114-G30)/10)*10</f>
        <v>0</v>
      </c>
      <c r="H115" s="214">
        <f>TRUNC((H114-H30)/10)*10</f>
        <v>0</v>
      </c>
      <c r="I115" s="214">
        <f>IF(I8="Ja",0,TRUNC((I114-I30)/10)*10)</f>
        <v>0</v>
      </c>
      <c r="J115" s="214">
        <f t="shared" ref="J115:AE115" si="118">TRUNC((J114-J30)/10)*10</f>
        <v>0</v>
      </c>
      <c r="K115" s="214">
        <f t="shared" si="118"/>
        <v>0</v>
      </c>
      <c r="L115" s="214">
        <f t="shared" si="118"/>
        <v>0</v>
      </c>
      <c r="M115" s="214">
        <f t="shared" si="118"/>
        <v>0</v>
      </c>
      <c r="N115" s="214">
        <f t="shared" si="118"/>
        <v>0</v>
      </c>
      <c r="O115" s="214">
        <f t="shared" si="118"/>
        <v>0</v>
      </c>
      <c r="P115" s="214">
        <f t="shared" si="118"/>
        <v>0</v>
      </c>
      <c r="Q115" s="214">
        <f t="shared" si="118"/>
        <v>0</v>
      </c>
      <c r="R115" s="214">
        <f t="shared" si="118"/>
        <v>0</v>
      </c>
      <c r="S115" s="214"/>
      <c r="T115" s="918">
        <f t="shared" si="118"/>
        <v>0</v>
      </c>
      <c r="U115" s="214">
        <f t="shared" si="118"/>
        <v>0</v>
      </c>
      <c r="V115" s="214">
        <f t="shared" si="118"/>
        <v>0</v>
      </c>
      <c r="W115" s="214">
        <f t="shared" si="118"/>
        <v>0</v>
      </c>
      <c r="X115" s="214">
        <f t="shared" si="118"/>
        <v>0</v>
      </c>
      <c r="Y115" s="214">
        <f t="shared" si="118"/>
        <v>0</v>
      </c>
      <c r="Z115" s="214">
        <f t="shared" si="118"/>
        <v>0</v>
      </c>
      <c r="AA115" s="214">
        <f t="shared" si="118"/>
        <v>0</v>
      </c>
      <c r="AB115" s="214">
        <f t="shared" si="118"/>
        <v>0</v>
      </c>
      <c r="AC115" s="214">
        <f t="shared" si="118"/>
        <v>0</v>
      </c>
      <c r="AD115" s="214">
        <f t="shared" si="118"/>
        <v>0</v>
      </c>
      <c r="AE115" s="214">
        <f t="shared" si="118"/>
        <v>0</v>
      </c>
      <c r="AF115" s="106"/>
      <c r="AG115" s="86"/>
      <c r="AH115" s="86"/>
      <c r="AI115" s="86"/>
      <c r="AJ115" s="86"/>
      <c r="AK115" s="86"/>
      <c r="AL115" s="86"/>
    </row>
    <row r="116" spans="1:38" ht="14">
      <c r="A116" s="381"/>
      <c r="B116" s="22">
        <f t="shared" si="113"/>
        <v>106</v>
      </c>
      <c r="C116"/>
      <c r="D116"/>
      <c r="E116"/>
      <c r="F116" s="183" t="s">
        <v>94</v>
      </c>
      <c r="G116" s="214">
        <f t="shared" ref="G116:AE116" si="119">MAX(0,TRUNC(G115*G29/100))</f>
        <v>0</v>
      </c>
      <c r="H116" s="214">
        <f t="shared" si="119"/>
        <v>0</v>
      </c>
      <c r="I116" s="214">
        <f t="shared" si="119"/>
        <v>0</v>
      </c>
      <c r="J116" s="214">
        <f t="shared" si="119"/>
        <v>0</v>
      </c>
      <c r="K116" s="214">
        <f t="shared" si="119"/>
        <v>0</v>
      </c>
      <c r="L116" s="214">
        <f t="shared" si="119"/>
        <v>0</v>
      </c>
      <c r="M116" s="214">
        <f t="shared" si="119"/>
        <v>0</v>
      </c>
      <c r="N116" s="214">
        <f t="shared" si="119"/>
        <v>0</v>
      </c>
      <c r="O116" s="214">
        <f t="shared" si="119"/>
        <v>0</v>
      </c>
      <c r="P116" s="214">
        <f t="shared" si="119"/>
        <v>0</v>
      </c>
      <c r="Q116" s="214">
        <f t="shared" si="119"/>
        <v>0</v>
      </c>
      <c r="R116" s="214">
        <f t="shared" si="119"/>
        <v>0</v>
      </c>
      <c r="S116" s="214"/>
      <c r="T116" s="918">
        <f t="shared" si="119"/>
        <v>0</v>
      </c>
      <c r="U116" s="214">
        <f t="shared" si="119"/>
        <v>0</v>
      </c>
      <c r="V116" s="214">
        <f t="shared" si="119"/>
        <v>0</v>
      </c>
      <c r="W116" s="214">
        <f t="shared" si="119"/>
        <v>0</v>
      </c>
      <c r="X116" s="214">
        <f t="shared" si="119"/>
        <v>0</v>
      </c>
      <c r="Y116" s="214">
        <f t="shared" si="119"/>
        <v>0</v>
      </c>
      <c r="Z116" s="214">
        <f t="shared" si="119"/>
        <v>0</v>
      </c>
      <c r="AA116" s="214">
        <f t="shared" si="119"/>
        <v>0</v>
      </c>
      <c r="AB116" s="214">
        <f t="shared" si="119"/>
        <v>0</v>
      </c>
      <c r="AC116" s="214">
        <f t="shared" si="119"/>
        <v>0</v>
      </c>
      <c r="AD116" s="214">
        <f t="shared" si="119"/>
        <v>0</v>
      </c>
      <c r="AE116" s="214">
        <f t="shared" si="119"/>
        <v>0</v>
      </c>
      <c r="AF116" s="106">
        <f t="shared" ref="AF116:AF125" si="120">SUM(G116:R116)</f>
        <v>0</v>
      </c>
      <c r="AG116" s="86"/>
      <c r="AH116" s="86"/>
      <c r="AI116" s="86"/>
      <c r="AJ116" s="86"/>
      <c r="AK116" s="86"/>
      <c r="AL116" s="86"/>
    </row>
    <row r="117" spans="1:38" ht="14">
      <c r="A117" s="1023"/>
      <c r="B117" s="22">
        <f t="shared" si="113"/>
        <v>107</v>
      </c>
      <c r="C117"/>
      <c r="D117"/>
      <c r="E117"/>
      <c r="F117" s="723" t="s">
        <v>619</v>
      </c>
      <c r="G117" s="724">
        <f>SUM(G53:G73)+G78+G79+SUM(G80:G84)+G87+G88</f>
        <v>0</v>
      </c>
      <c r="H117" s="724">
        <f t="shared" ref="H117:N117" si="121">SUM(H53:H73)+H78+H79+SUM(H80:H84)+H87+H88</f>
        <v>0</v>
      </c>
      <c r="I117" s="724">
        <f t="shared" si="121"/>
        <v>0</v>
      </c>
      <c r="J117" s="724">
        <f t="shared" si="121"/>
        <v>0</v>
      </c>
      <c r="K117" s="724">
        <f>SUM(K53:K73)+K78+K79+SUM(K80:K84)+K87+K88</f>
        <v>0</v>
      </c>
      <c r="L117" s="724">
        <f t="shared" si="121"/>
        <v>0</v>
      </c>
      <c r="M117" s="724">
        <f t="shared" si="121"/>
        <v>0</v>
      </c>
      <c r="N117" s="724">
        <f t="shared" si="121"/>
        <v>0</v>
      </c>
      <c r="O117" s="724">
        <f>SUM(O53:O73)+O78+O79+SUM(O80:O84)+O87+O88</f>
        <v>0</v>
      </c>
      <c r="P117" s="724">
        <f>SUM(P53:P73)+P78+P79+SUM(P80:P84)+P87+P88</f>
        <v>0</v>
      </c>
      <c r="Q117" s="739"/>
      <c r="R117" s="739"/>
      <c r="S117" s="1051"/>
      <c r="T117" s="919">
        <f>SUM(T53:T73)+T78+T79+SUM(T80:T85)+T87</f>
        <v>0</v>
      </c>
      <c r="U117" s="724">
        <f t="shared" ref="U117:AC117" si="122">SUM(U53:U73)+U78+U79+SUM(U80:U85)+U87</f>
        <v>0</v>
      </c>
      <c r="V117" s="724">
        <f t="shared" si="122"/>
        <v>0</v>
      </c>
      <c r="W117" s="724">
        <f t="shared" si="122"/>
        <v>0</v>
      </c>
      <c r="X117" s="724">
        <f t="shared" si="122"/>
        <v>0</v>
      </c>
      <c r="Y117" s="724">
        <f t="shared" si="122"/>
        <v>0</v>
      </c>
      <c r="Z117" s="724">
        <f t="shared" si="122"/>
        <v>0</v>
      </c>
      <c r="AA117" s="724">
        <f t="shared" si="122"/>
        <v>0</v>
      </c>
      <c r="AB117" s="724">
        <f t="shared" si="122"/>
        <v>0</v>
      </c>
      <c r="AC117" s="724">
        <f t="shared" si="122"/>
        <v>0</v>
      </c>
      <c r="AD117" s="739"/>
      <c r="AE117" s="739"/>
      <c r="AF117" s="725">
        <f>G117+H117+I117+J117+K117+L117+M117+N117+O117+P117</f>
        <v>0</v>
      </c>
      <c r="AG117" s="86"/>
      <c r="AH117" s="86"/>
      <c r="AI117" s="86"/>
      <c r="AJ117" s="86"/>
      <c r="AK117" s="86"/>
      <c r="AL117" s="86"/>
    </row>
    <row r="118" spans="1:38" ht="14">
      <c r="A118" s="381"/>
      <c r="B118" s="22">
        <f t="shared" si="113"/>
        <v>108</v>
      </c>
      <c r="C118"/>
      <c r="D118"/>
      <c r="E118"/>
      <c r="F118" s="726" t="s">
        <v>606</v>
      </c>
      <c r="G118" s="740"/>
      <c r="H118" s="739"/>
      <c r="I118" s="739"/>
      <c r="J118" s="739"/>
      <c r="K118" s="739"/>
      <c r="L118" s="739"/>
      <c r="M118" s="739"/>
      <c r="N118" s="739"/>
      <c r="O118" s="739"/>
      <c r="P118" s="739"/>
      <c r="Q118" s="727">
        <f>SUM(Q53:Q73)+Q78+Q79+SUM(Q80:Q85)+Q87+Q88</f>
        <v>0</v>
      </c>
      <c r="R118" s="727">
        <f>SUM(R53:R73)+R78+R79+SUM(R80:R85)+R87+R88</f>
        <v>0</v>
      </c>
      <c r="S118" s="1052">
        <f>SUM(Q118:R118)</f>
        <v>0</v>
      </c>
      <c r="T118" s="920"/>
      <c r="U118" s="739"/>
      <c r="V118" s="739"/>
      <c r="W118" s="739"/>
      <c r="X118" s="739"/>
      <c r="Y118" s="739"/>
      <c r="Z118" s="739"/>
      <c r="AA118" s="739"/>
      <c r="AB118" s="739"/>
      <c r="AC118" s="739"/>
      <c r="AD118" s="727">
        <f>SUM(AD53:AD73)+AD78+AD79+SUM(AD80:AD85)+AD87</f>
        <v>0</v>
      </c>
      <c r="AE118" s="727">
        <f>SUM(AE53:AE73)+AE78+AE79+SUM(AE80:AE85)+AE87</f>
        <v>0</v>
      </c>
      <c r="AF118" s="728">
        <f>SUM(L118:R118)</f>
        <v>0</v>
      </c>
      <c r="AG118" s="86"/>
      <c r="AH118" s="86"/>
      <c r="AI118" s="86"/>
      <c r="AJ118" s="86"/>
      <c r="AK118" s="86"/>
      <c r="AL118" s="86"/>
    </row>
    <row r="119" spans="1:38" ht="14">
      <c r="A119" s="381"/>
      <c r="B119" s="22">
        <f t="shared" si="113"/>
        <v>109</v>
      </c>
      <c r="C119"/>
      <c r="D119"/>
      <c r="E119"/>
      <c r="F119" s="183" t="s">
        <v>180</v>
      </c>
      <c r="G119" s="214">
        <f>G110</f>
        <v>0</v>
      </c>
      <c r="H119" s="214">
        <f t="shared" ref="H119:R119" si="123">H110</f>
        <v>0</v>
      </c>
      <c r="I119" s="214">
        <f t="shared" si="123"/>
        <v>0</v>
      </c>
      <c r="J119" s="214">
        <f t="shared" si="123"/>
        <v>0</v>
      </c>
      <c r="K119" s="214">
        <f t="shared" si="123"/>
        <v>0</v>
      </c>
      <c r="L119" s="214">
        <f t="shared" si="123"/>
        <v>0</v>
      </c>
      <c r="M119" s="214">
        <f t="shared" si="123"/>
        <v>0</v>
      </c>
      <c r="N119" s="214">
        <f t="shared" si="123"/>
        <v>0</v>
      </c>
      <c r="O119" s="214">
        <f t="shared" si="123"/>
        <v>0</v>
      </c>
      <c r="P119" s="214">
        <f t="shared" si="123"/>
        <v>0</v>
      </c>
      <c r="Q119" s="214">
        <f t="shared" si="123"/>
        <v>0</v>
      </c>
      <c r="R119" s="214">
        <f t="shared" si="123"/>
        <v>0</v>
      </c>
      <c r="S119" s="214"/>
      <c r="T119" s="918" t="e">
        <f>T110</f>
        <v>#DIV/0!</v>
      </c>
      <c r="U119" s="214">
        <f t="shared" ref="U119:AE119" si="124">U110</f>
        <v>0</v>
      </c>
      <c r="V119" s="214">
        <f t="shared" si="124"/>
        <v>0</v>
      </c>
      <c r="W119" s="214">
        <f t="shared" si="124"/>
        <v>0</v>
      </c>
      <c r="X119" s="214">
        <f t="shared" si="124"/>
        <v>0</v>
      </c>
      <c r="Y119" s="214">
        <f t="shared" si="124"/>
        <v>0</v>
      </c>
      <c r="Z119" s="214">
        <f t="shared" si="124"/>
        <v>0</v>
      </c>
      <c r="AA119" s="214">
        <f t="shared" si="124"/>
        <v>0</v>
      </c>
      <c r="AB119" s="214">
        <f t="shared" si="124"/>
        <v>0</v>
      </c>
      <c r="AC119" s="214">
        <f t="shared" si="124"/>
        <v>0</v>
      </c>
      <c r="AD119" s="214">
        <f t="shared" si="124"/>
        <v>0</v>
      </c>
      <c r="AE119" s="214">
        <f t="shared" si="124"/>
        <v>0</v>
      </c>
      <c r="AF119" s="106">
        <f t="shared" si="120"/>
        <v>0</v>
      </c>
      <c r="AG119" s="86"/>
      <c r="AH119" s="86"/>
      <c r="AI119" s="86"/>
      <c r="AJ119" s="86"/>
      <c r="AK119" s="86"/>
      <c r="AL119" s="86"/>
    </row>
    <row r="120" spans="1:38" ht="14">
      <c r="A120" s="381"/>
      <c r="B120" s="22">
        <f t="shared" si="113"/>
        <v>110</v>
      </c>
      <c r="C120"/>
      <c r="D120"/>
      <c r="E120"/>
      <c r="F120" s="183" t="s">
        <v>184</v>
      </c>
      <c r="G120" s="214">
        <f>G110*2</f>
        <v>0</v>
      </c>
      <c r="H120" s="214">
        <f t="shared" ref="H120:R120" si="125">H110*2</f>
        <v>0</v>
      </c>
      <c r="I120" s="214">
        <f t="shared" si="125"/>
        <v>0</v>
      </c>
      <c r="J120" s="214">
        <f t="shared" si="125"/>
        <v>0</v>
      </c>
      <c r="K120" s="214">
        <f t="shared" si="125"/>
        <v>0</v>
      </c>
      <c r="L120" s="214">
        <f t="shared" si="125"/>
        <v>0</v>
      </c>
      <c r="M120" s="214">
        <f t="shared" si="125"/>
        <v>0</v>
      </c>
      <c r="N120" s="214">
        <f t="shared" si="125"/>
        <v>0</v>
      </c>
      <c r="O120" s="214">
        <f t="shared" si="125"/>
        <v>0</v>
      </c>
      <c r="P120" s="214">
        <f t="shared" si="125"/>
        <v>0</v>
      </c>
      <c r="Q120" s="214">
        <f t="shared" si="125"/>
        <v>0</v>
      </c>
      <c r="R120" s="214">
        <f t="shared" si="125"/>
        <v>0</v>
      </c>
      <c r="S120" s="214"/>
      <c r="T120" s="918" t="e">
        <f>T110*2</f>
        <v>#DIV/0!</v>
      </c>
      <c r="U120" s="214">
        <f t="shared" ref="U120:AE120" si="126">U110*2</f>
        <v>0</v>
      </c>
      <c r="V120" s="214">
        <f t="shared" si="126"/>
        <v>0</v>
      </c>
      <c r="W120" s="214">
        <f t="shared" si="126"/>
        <v>0</v>
      </c>
      <c r="X120" s="214">
        <f t="shared" si="126"/>
        <v>0</v>
      </c>
      <c r="Y120" s="214">
        <f t="shared" si="126"/>
        <v>0</v>
      </c>
      <c r="Z120" s="214">
        <f t="shared" si="126"/>
        <v>0</v>
      </c>
      <c r="AA120" s="214">
        <f t="shared" si="126"/>
        <v>0</v>
      </c>
      <c r="AB120" s="214">
        <f t="shared" si="126"/>
        <v>0</v>
      </c>
      <c r="AC120" s="214">
        <f t="shared" si="126"/>
        <v>0</v>
      </c>
      <c r="AD120" s="214">
        <f t="shared" si="126"/>
        <v>0</v>
      </c>
      <c r="AE120" s="214">
        <f t="shared" si="126"/>
        <v>0</v>
      </c>
      <c r="AF120" s="106">
        <f t="shared" si="120"/>
        <v>0</v>
      </c>
      <c r="AG120" s="86"/>
      <c r="AH120" s="86"/>
      <c r="AI120" s="86"/>
      <c r="AJ120" s="86"/>
      <c r="AK120" s="86"/>
      <c r="AL120" s="86"/>
    </row>
    <row r="121" spans="1:38" ht="14">
      <c r="A121" s="381"/>
      <c r="B121" s="22">
        <f t="shared" si="113"/>
        <v>111</v>
      </c>
      <c r="C121"/>
      <c r="D121"/>
      <c r="E121"/>
      <c r="F121" s="183" t="s">
        <v>38</v>
      </c>
      <c r="G121" s="214">
        <f>G123*2/3</f>
        <v>0</v>
      </c>
      <c r="H121" s="109">
        <f t="shared" ref="H121:R121" si="127">H123*2/3</f>
        <v>0</v>
      </c>
      <c r="I121" s="109">
        <f t="shared" si="127"/>
        <v>0</v>
      </c>
      <c r="J121" s="109">
        <f t="shared" si="127"/>
        <v>0</v>
      </c>
      <c r="K121" s="109">
        <f t="shared" si="127"/>
        <v>0</v>
      </c>
      <c r="L121" s="109">
        <f t="shared" si="127"/>
        <v>0</v>
      </c>
      <c r="M121" s="109">
        <f t="shared" si="127"/>
        <v>0</v>
      </c>
      <c r="N121" s="109">
        <f t="shared" si="127"/>
        <v>0</v>
      </c>
      <c r="O121" s="109">
        <f t="shared" si="127"/>
        <v>0</v>
      </c>
      <c r="P121" s="109">
        <f t="shared" si="127"/>
        <v>0</v>
      </c>
      <c r="Q121" s="109">
        <f t="shared" si="127"/>
        <v>0</v>
      </c>
      <c r="R121" s="109">
        <f t="shared" si="127"/>
        <v>0</v>
      </c>
      <c r="S121" s="214"/>
      <c r="T121" s="918">
        <f>T123*2/3</f>
        <v>0</v>
      </c>
      <c r="U121" s="109">
        <f t="shared" ref="U121:AE121" si="128">U123*2/3</f>
        <v>0</v>
      </c>
      <c r="V121" s="109">
        <f t="shared" si="128"/>
        <v>0</v>
      </c>
      <c r="W121" s="109">
        <f t="shared" si="128"/>
        <v>0</v>
      </c>
      <c r="X121" s="109">
        <f t="shared" si="128"/>
        <v>0</v>
      </c>
      <c r="Y121" s="109">
        <f t="shared" si="128"/>
        <v>0</v>
      </c>
      <c r="Z121" s="109">
        <f t="shared" si="128"/>
        <v>0</v>
      </c>
      <c r="AA121" s="109">
        <f t="shared" si="128"/>
        <v>0</v>
      </c>
      <c r="AB121" s="109">
        <f t="shared" si="128"/>
        <v>0</v>
      </c>
      <c r="AC121" s="109">
        <f t="shared" si="128"/>
        <v>0</v>
      </c>
      <c r="AD121" s="109">
        <f t="shared" si="128"/>
        <v>0</v>
      </c>
      <c r="AE121" s="109">
        <f t="shared" si="128"/>
        <v>0</v>
      </c>
      <c r="AF121" s="106">
        <f t="shared" si="120"/>
        <v>0</v>
      </c>
      <c r="AG121" s="86"/>
      <c r="AH121" s="86"/>
      <c r="AI121" s="86"/>
      <c r="AJ121" s="86"/>
      <c r="AK121" s="86"/>
      <c r="AL121" s="86"/>
    </row>
    <row r="122" spans="1:38" ht="14">
      <c r="A122" s="381"/>
      <c r="B122" s="22">
        <f t="shared" si="113"/>
        <v>112</v>
      </c>
      <c r="C122"/>
      <c r="D122"/>
      <c r="E122"/>
      <c r="F122" s="183" t="s">
        <v>109</v>
      </c>
      <c r="G122" s="214">
        <f>G119+G120</f>
        <v>0</v>
      </c>
      <c r="H122" s="109">
        <f t="shared" ref="H122:R122" si="129">H119+H120</f>
        <v>0</v>
      </c>
      <c r="I122" s="109">
        <f t="shared" si="129"/>
        <v>0</v>
      </c>
      <c r="J122" s="109">
        <f t="shared" si="129"/>
        <v>0</v>
      </c>
      <c r="K122" s="109">
        <f t="shared" si="129"/>
        <v>0</v>
      </c>
      <c r="L122" s="109">
        <f t="shared" si="129"/>
        <v>0</v>
      </c>
      <c r="M122" s="109">
        <f t="shared" si="129"/>
        <v>0</v>
      </c>
      <c r="N122" s="109">
        <f t="shared" si="129"/>
        <v>0</v>
      </c>
      <c r="O122" s="109">
        <f t="shared" si="129"/>
        <v>0</v>
      </c>
      <c r="P122" s="109">
        <f t="shared" si="129"/>
        <v>0</v>
      </c>
      <c r="Q122" s="109">
        <f t="shared" si="129"/>
        <v>0</v>
      </c>
      <c r="R122" s="109">
        <f t="shared" si="129"/>
        <v>0</v>
      </c>
      <c r="S122" s="214"/>
      <c r="T122" s="918" t="e">
        <f>T119+T120</f>
        <v>#DIV/0!</v>
      </c>
      <c r="U122" s="109">
        <f t="shared" ref="U122:AE122" si="130">U119+U120</f>
        <v>0</v>
      </c>
      <c r="V122" s="109">
        <f t="shared" si="130"/>
        <v>0</v>
      </c>
      <c r="W122" s="109">
        <f t="shared" si="130"/>
        <v>0</v>
      </c>
      <c r="X122" s="109">
        <f t="shared" si="130"/>
        <v>0</v>
      </c>
      <c r="Y122" s="109">
        <f t="shared" si="130"/>
        <v>0</v>
      </c>
      <c r="Z122" s="109">
        <f t="shared" si="130"/>
        <v>0</v>
      </c>
      <c r="AA122" s="109">
        <f t="shared" si="130"/>
        <v>0</v>
      </c>
      <c r="AB122" s="109">
        <f t="shared" si="130"/>
        <v>0</v>
      </c>
      <c r="AC122" s="109">
        <f t="shared" si="130"/>
        <v>0</v>
      </c>
      <c r="AD122" s="109">
        <f t="shared" si="130"/>
        <v>0</v>
      </c>
      <c r="AE122" s="109">
        <f t="shared" si="130"/>
        <v>0</v>
      </c>
      <c r="AF122" s="106">
        <f t="shared" si="120"/>
        <v>0</v>
      </c>
      <c r="AG122" s="86"/>
      <c r="AH122" s="86"/>
      <c r="AI122" s="86"/>
      <c r="AJ122" s="86"/>
      <c r="AK122" s="86"/>
      <c r="AL122" s="86"/>
    </row>
    <row r="123" spans="1:38" ht="14">
      <c r="A123" s="381"/>
      <c r="B123" s="22">
        <f t="shared" si="113"/>
        <v>113</v>
      </c>
      <c r="C123"/>
      <c r="D123"/>
      <c r="E123"/>
      <c r="F123" s="183" t="s">
        <v>110</v>
      </c>
      <c r="G123" s="1056">
        <f t="shared" ref="G123:K123" si="131">297/3*(((G10*G3)&gt;=9/37)+((G10*G3)&gt;=18/37)+((G10*G3)&gt;=27/37))</f>
        <v>0</v>
      </c>
      <c r="H123" s="1056">
        <f t="shared" si="131"/>
        <v>0</v>
      </c>
      <c r="I123" s="1056">
        <f t="shared" si="131"/>
        <v>0</v>
      </c>
      <c r="J123" s="1056">
        <f t="shared" si="131"/>
        <v>0</v>
      </c>
      <c r="K123" s="1056">
        <f t="shared" si="131"/>
        <v>0</v>
      </c>
      <c r="L123" s="1056">
        <f>297/3*(((L10*L3)&gt;=9/37)+((L10*L3)&gt;=18/37)+((L10*L3)&gt;=27/37))</f>
        <v>0</v>
      </c>
      <c r="M123" s="1056">
        <f t="shared" ref="M123:R123" si="132">297/3*(((M10*M3)&gt;=9/37)+((M10*M3)&gt;=18/37)+((M10*M3)&gt;=27/37))</f>
        <v>0</v>
      </c>
      <c r="N123" s="1056">
        <f t="shared" si="132"/>
        <v>0</v>
      </c>
      <c r="O123" s="1056">
        <f t="shared" si="132"/>
        <v>0</v>
      </c>
      <c r="P123" s="1056">
        <f t="shared" si="132"/>
        <v>0</v>
      </c>
      <c r="Q123" s="1056">
        <f t="shared" si="132"/>
        <v>0</v>
      </c>
      <c r="R123" s="1056">
        <f t="shared" si="132"/>
        <v>0</v>
      </c>
      <c r="S123" s="1056"/>
      <c r="T123" s="921">
        <f t="shared" ref="T123:AE123" si="133">284/3*(((T10*T3)&gt;=9/37)+((T10*T3)&gt;=18/37)+((T10*T3)&gt;=27/37))</f>
        <v>0</v>
      </c>
      <c r="U123" s="500">
        <f t="shared" si="133"/>
        <v>0</v>
      </c>
      <c r="V123" s="500">
        <f t="shared" si="133"/>
        <v>0</v>
      </c>
      <c r="W123" s="500">
        <f t="shared" si="133"/>
        <v>0</v>
      </c>
      <c r="X123" s="500">
        <f t="shared" si="133"/>
        <v>0</v>
      </c>
      <c r="Y123" s="500">
        <f t="shared" si="133"/>
        <v>0</v>
      </c>
      <c r="Z123" s="500">
        <f t="shared" si="133"/>
        <v>0</v>
      </c>
      <c r="AA123" s="500">
        <f t="shared" si="133"/>
        <v>0</v>
      </c>
      <c r="AB123" s="500">
        <f t="shared" si="133"/>
        <v>0</v>
      </c>
      <c r="AC123" s="500">
        <f t="shared" si="133"/>
        <v>0</v>
      </c>
      <c r="AD123" s="500">
        <f t="shared" si="133"/>
        <v>0</v>
      </c>
      <c r="AE123" s="500">
        <f t="shared" si="133"/>
        <v>0</v>
      </c>
      <c r="AF123" s="106">
        <f t="shared" si="120"/>
        <v>0</v>
      </c>
      <c r="AG123" s="86"/>
      <c r="AH123" s="86"/>
      <c r="AI123" s="86"/>
      <c r="AJ123" s="86"/>
      <c r="AK123" s="86"/>
      <c r="AL123" s="86"/>
    </row>
    <row r="124" spans="1:38" ht="14">
      <c r="A124" s="381"/>
      <c r="B124" s="22">
        <f t="shared" si="113"/>
        <v>114</v>
      </c>
      <c r="C124"/>
      <c r="D124"/>
      <c r="E124"/>
      <c r="F124" s="183" t="s">
        <v>132</v>
      </c>
      <c r="G124" s="214">
        <f t="shared" ref="G124:R124" si="134">IF(OR(LEFT(G5)="P",LEFT(G5)="E"),ROUND(ROUND(ROUND(VLOOKUP(VALUE(MID(G5,2,2)),Skalalontabel12,7,0)*G6,0)/12,2)*15%*MIN(1,G10)*G3,2)+G149,0)</f>
        <v>0</v>
      </c>
      <c r="H124" s="214">
        <f t="shared" si="134"/>
        <v>0</v>
      </c>
      <c r="I124" s="214">
        <f t="shared" si="134"/>
        <v>0</v>
      </c>
      <c r="J124" s="214">
        <f t="shared" si="134"/>
        <v>0</v>
      </c>
      <c r="K124" s="214">
        <f t="shared" si="134"/>
        <v>0</v>
      </c>
      <c r="L124" s="214">
        <f t="shared" si="134"/>
        <v>0</v>
      </c>
      <c r="M124" s="214">
        <f t="shared" si="134"/>
        <v>0</v>
      </c>
      <c r="N124" s="214">
        <f t="shared" si="134"/>
        <v>0</v>
      </c>
      <c r="O124" s="214">
        <f t="shared" si="134"/>
        <v>0</v>
      </c>
      <c r="P124" s="214">
        <f t="shared" si="134"/>
        <v>0</v>
      </c>
      <c r="Q124" s="214">
        <f t="shared" si="134"/>
        <v>0</v>
      </c>
      <c r="R124" s="214">
        <f t="shared" si="134"/>
        <v>0</v>
      </c>
      <c r="S124" s="214"/>
      <c r="T124" s="918">
        <f t="shared" ref="T124:AE124" si="135">IF(OR(LEFT(T5)="P",LEFT(T5)="E"),ROUND(ROUND(ROUND(VLOOKUP(VALUE(MID(T5,2,2)),Skalalontabel12,7,0)*T6,0)/12,2)*15%*MIN(1,T10)*T3,2),0)</f>
        <v>0</v>
      </c>
      <c r="U124" s="214">
        <f t="shared" si="135"/>
        <v>0</v>
      </c>
      <c r="V124" s="214">
        <f t="shared" si="135"/>
        <v>0</v>
      </c>
      <c r="W124" s="214">
        <f t="shared" si="135"/>
        <v>0</v>
      </c>
      <c r="X124" s="214">
        <f t="shared" si="135"/>
        <v>0</v>
      </c>
      <c r="Y124" s="214">
        <f t="shared" si="135"/>
        <v>0</v>
      </c>
      <c r="Z124" s="214">
        <f t="shared" si="135"/>
        <v>0</v>
      </c>
      <c r="AA124" s="214">
        <f t="shared" si="135"/>
        <v>0</v>
      </c>
      <c r="AB124" s="214">
        <f t="shared" si="135"/>
        <v>0</v>
      </c>
      <c r="AC124" s="214">
        <f t="shared" si="135"/>
        <v>0</v>
      </c>
      <c r="AD124" s="214">
        <f t="shared" si="135"/>
        <v>0</v>
      </c>
      <c r="AE124" s="214">
        <f t="shared" si="135"/>
        <v>0</v>
      </c>
      <c r="AF124" s="106">
        <f t="shared" si="120"/>
        <v>0</v>
      </c>
      <c r="AG124" s="86"/>
      <c r="AH124" s="86"/>
      <c r="AI124" s="86"/>
      <c r="AJ124" s="86"/>
      <c r="AK124" s="86"/>
      <c r="AL124" s="86"/>
    </row>
    <row r="125" spans="1:38" ht="14">
      <c r="A125" s="381"/>
      <c r="B125" s="22">
        <f t="shared" si="113"/>
        <v>115</v>
      </c>
      <c r="C125"/>
      <c r="D125"/>
      <c r="E125"/>
      <c r="F125" s="183" t="s">
        <v>95</v>
      </c>
      <c r="G125" s="109">
        <f>108.35*(G10&gt;0)</f>
        <v>0</v>
      </c>
      <c r="H125" s="109">
        <f>108.35*(H10&gt;0)</f>
        <v>0</v>
      </c>
      <c r="I125" s="109">
        <f>IF(I8="Ja",0,108.35*(I10&gt;0))</f>
        <v>0</v>
      </c>
      <c r="J125" s="109">
        <f t="shared" ref="J125:AE125" si="136">108.35*(J10&gt;0)</f>
        <v>0</v>
      </c>
      <c r="K125" s="109">
        <f t="shared" si="136"/>
        <v>0</v>
      </c>
      <c r="L125" s="109">
        <f t="shared" si="136"/>
        <v>0</v>
      </c>
      <c r="M125" s="109">
        <f t="shared" si="136"/>
        <v>0</v>
      </c>
      <c r="N125" s="109">
        <f t="shared" si="136"/>
        <v>0</v>
      </c>
      <c r="O125" s="109">
        <f t="shared" si="136"/>
        <v>0</v>
      </c>
      <c r="P125" s="109">
        <f t="shared" si="136"/>
        <v>0</v>
      </c>
      <c r="Q125" s="109">
        <f t="shared" si="136"/>
        <v>0</v>
      </c>
      <c r="R125" s="109">
        <f t="shared" si="136"/>
        <v>0</v>
      </c>
      <c r="S125" s="109"/>
      <c r="T125" s="921">
        <f t="shared" si="136"/>
        <v>0</v>
      </c>
      <c r="U125" s="109">
        <f t="shared" si="136"/>
        <v>0</v>
      </c>
      <c r="V125" s="109">
        <f t="shared" si="136"/>
        <v>0</v>
      </c>
      <c r="W125" s="109">
        <f t="shared" si="136"/>
        <v>0</v>
      </c>
      <c r="X125" s="109">
        <f t="shared" si="136"/>
        <v>0</v>
      </c>
      <c r="Y125" s="109">
        <f t="shared" si="136"/>
        <v>0</v>
      </c>
      <c r="Z125" s="109">
        <f t="shared" si="136"/>
        <v>0</v>
      </c>
      <c r="AA125" s="109">
        <f t="shared" si="136"/>
        <v>0</v>
      </c>
      <c r="AB125" s="109">
        <f t="shared" si="136"/>
        <v>0</v>
      </c>
      <c r="AC125" s="109">
        <f t="shared" si="136"/>
        <v>0</v>
      </c>
      <c r="AD125" s="109">
        <f t="shared" si="136"/>
        <v>0</v>
      </c>
      <c r="AE125" s="109">
        <f t="shared" si="136"/>
        <v>0</v>
      </c>
      <c r="AF125" s="106">
        <f t="shared" si="120"/>
        <v>0</v>
      </c>
      <c r="AG125" s="86"/>
      <c r="AH125" s="86"/>
      <c r="AI125" s="86"/>
      <c r="AJ125" s="86"/>
      <c r="AK125" s="86"/>
      <c r="AL125" s="86"/>
    </row>
    <row r="126" spans="1:38" ht="14">
      <c r="A126" s="381"/>
      <c r="B126" s="22">
        <f>B125+1</f>
        <v>116</v>
      </c>
      <c r="C126"/>
      <c r="D126"/>
      <c r="E126"/>
      <c r="F126" s="184" t="s">
        <v>215</v>
      </c>
      <c r="G126" s="215">
        <f>G89-(G116+G111+G113+G125)-G49-G50-G51</f>
        <v>0</v>
      </c>
      <c r="H126" s="215">
        <f>H89-(H116+H111+H113+H125)-H49-H50-H51</f>
        <v>0</v>
      </c>
      <c r="I126" s="215">
        <f>IF(I8="Ja",0,I89-(I116+I111+I113+I125)-I49-I50-I51)</f>
        <v>0</v>
      </c>
      <c r="J126" s="215">
        <f t="shared" ref="J126:AE126" si="137">J89-(J116+J111+J113+J125)-J49-J50-J51</f>
        <v>0</v>
      </c>
      <c r="K126" s="215">
        <f t="shared" si="137"/>
        <v>0</v>
      </c>
      <c r="L126" s="215">
        <f t="shared" si="137"/>
        <v>0</v>
      </c>
      <c r="M126" s="215">
        <f t="shared" si="137"/>
        <v>0</v>
      </c>
      <c r="N126" s="215">
        <f t="shared" si="137"/>
        <v>0</v>
      </c>
      <c r="O126" s="215">
        <f t="shared" si="137"/>
        <v>0</v>
      </c>
      <c r="P126" s="215">
        <f t="shared" si="137"/>
        <v>0</v>
      </c>
      <c r="Q126" s="215">
        <f t="shared" si="137"/>
        <v>0</v>
      </c>
      <c r="R126" s="215">
        <f t="shared" si="137"/>
        <v>0</v>
      </c>
      <c r="S126" s="215"/>
      <c r="T126" s="922">
        <f t="shared" si="137"/>
        <v>0</v>
      </c>
      <c r="U126" s="215">
        <f t="shared" si="137"/>
        <v>0</v>
      </c>
      <c r="V126" s="215">
        <f t="shared" si="137"/>
        <v>0</v>
      </c>
      <c r="W126" s="215">
        <f t="shared" si="137"/>
        <v>0</v>
      </c>
      <c r="X126" s="215">
        <f t="shared" si="137"/>
        <v>0</v>
      </c>
      <c r="Y126" s="215">
        <f t="shared" si="137"/>
        <v>0</v>
      </c>
      <c r="Z126" s="215">
        <f t="shared" si="137"/>
        <v>0</v>
      </c>
      <c r="AA126" s="215">
        <f t="shared" si="137"/>
        <v>0</v>
      </c>
      <c r="AB126" s="215">
        <f t="shared" si="137"/>
        <v>0</v>
      </c>
      <c r="AC126" s="215">
        <f t="shared" si="137"/>
        <v>0</v>
      </c>
      <c r="AD126" s="215">
        <f t="shared" si="137"/>
        <v>0</v>
      </c>
      <c r="AE126" s="215">
        <f t="shared" si="137"/>
        <v>0</v>
      </c>
      <c r="AF126" s="114">
        <f>SUM(G126:R126)</f>
        <v>0</v>
      </c>
      <c r="AG126" s="86"/>
      <c r="AH126" s="87"/>
      <c r="AI126" s="86"/>
      <c r="AJ126" s="86"/>
      <c r="AK126" s="86"/>
      <c r="AL126" s="86"/>
    </row>
    <row r="127" spans="1:38" ht="15">
      <c r="A127" s="865"/>
      <c r="B127" s="22">
        <f t="shared" si="113"/>
        <v>117</v>
      </c>
      <c r="C127"/>
      <c r="D127"/>
      <c r="E127"/>
      <c r="F127" s="729" t="str">
        <f>"Feriepengeberegningsgrundlag, jan-dec "&amp;MID($A$1,3,2)+1</f>
        <v>Feriepengeberegningsgrundlag, jan-dec 25</v>
      </c>
      <c r="G127" s="730">
        <f>(G117+G110)*(1-12/260*G24)</f>
        <v>0</v>
      </c>
      <c r="H127" s="730">
        <f>(H117+H110)*(1-12/260*H24)</f>
        <v>0</v>
      </c>
      <c r="I127" s="730">
        <f>(I117+I110)*(1-12/260*I24)</f>
        <v>0</v>
      </c>
      <c r="J127" s="730">
        <f t="shared" ref="J127:K127" si="138">(J117+J110)*(1-12/260*J24)</f>
        <v>0</v>
      </c>
      <c r="K127" s="730">
        <f t="shared" si="138"/>
        <v>0</v>
      </c>
      <c r="L127" s="738" t="s">
        <v>220</v>
      </c>
      <c r="M127" s="738"/>
      <c r="N127" s="738"/>
      <c r="O127" s="738"/>
      <c r="P127" s="738"/>
      <c r="Q127" s="738"/>
      <c r="R127" s="738"/>
      <c r="S127" s="1054">
        <f>SUM(G127:K127)+A127</f>
        <v>0</v>
      </c>
      <c r="T127" s="923" t="e">
        <f>(T117+T110)*(1-12/260*T24)</f>
        <v>#DIV/0!</v>
      </c>
      <c r="U127" s="730">
        <f t="shared" ref="U127:X127" si="139">(U117+U110)*(1-12/260*U24)</f>
        <v>0</v>
      </c>
      <c r="V127" s="730">
        <f t="shared" si="139"/>
        <v>0</v>
      </c>
      <c r="W127" s="730">
        <f t="shared" si="139"/>
        <v>0</v>
      </c>
      <c r="X127" s="730">
        <f t="shared" si="139"/>
        <v>0</v>
      </c>
      <c r="Y127" s="738" t="s">
        <v>220</v>
      </c>
      <c r="Z127" s="738"/>
      <c r="AA127" s="738"/>
      <c r="AB127" s="738"/>
      <c r="AC127" s="738"/>
      <c r="AD127" s="738"/>
      <c r="AE127" s="738"/>
      <c r="AF127" s="731">
        <f>A127+SUM(G127:K127)</f>
        <v>0</v>
      </c>
      <c r="AG127" s="86"/>
      <c r="AH127" s="122"/>
      <c r="AI127" s="86"/>
      <c r="AJ127" s="86"/>
      <c r="AK127" s="86"/>
      <c r="AL127" s="86"/>
    </row>
    <row r="128" spans="1:38" ht="15">
      <c r="A128" s="382"/>
      <c r="B128" s="652">
        <f t="shared" si="113"/>
        <v>118</v>
      </c>
      <c r="C128"/>
      <c r="D128"/>
      <c r="E128"/>
      <c r="F128" s="732" t="str">
        <f>"Feriepengeberegningsgrundlag, jan-jul "&amp;MID($A$1,3,2)+2</f>
        <v>Feriepengeberegningsgrundlag, jan-jul 26</v>
      </c>
      <c r="G128" s="735" t="s">
        <v>220</v>
      </c>
      <c r="H128" s="736"/>
      <c r="I128" s="736"/>
      <c r="J128" s="736"/>
      <c r="K128" s="737"/>
      <c r="L128" s="733">
        <f>(L118+L110)*(1-12/260*L24)</f>
        <v>0</v>
      </c>
      <c r="M128" s="733">
        <f t="shared" ref="M128:R128" si="140">(M118+M110)*(1-12/260*M24)</f>
        <v>0</v>
      </c>
      <c r="N128" s="733">
        <f t="shared" si="140"/>
        <v>0</v>
      </c>
      <c r="O128" s="733">
        <f t="shared" si="140"/>
        <v>0</v>
      </c>
      <c r="P128" s="733">
        <f t="shared" si="140"/>
        <v>0</v>
      </c>
      <c r="Q128" s="733">
        <f t="shared" si="140"/>
        <v>0</v>
      </c>
      <c r="R128" s="733">
        <f t="shared" si="140"/>
        <v>0</v>
      </c>
      <c r="S128" s="1053">
        <f>SUM(L128:R128)</f>
        <v>0</v>
      </c>
      <c r="T128" s="924" t="s">
        <v>220</v>
      </c>
      <c r="U128" s="736"/>
      <c r="V128" s="736"/>
      <c r="W128" s="736"/>
      <c r="X128" s="737"/>
      <c r="Y128" s="733">
        <f>(Y118+Y110)*(1-12/260*Y24)</f>
        <v>0</v>
      </c>
      <c r="Z128" s="733">
        <f t="shared" ref="Z128:AE128" si="141">(Z118+Z110)*(1-12/260*Z24)</f>
        <v>0</v>
      </c>
      <c r="AA128" s="733">
        <f t="shared" si="141"/>
        <v>0</v>
      </c>
      <c r="AB128" s="733">
        <f t="shared" si="141"/>
        <v>0</v>
      </c>
      <c r="AC128" s="733">
        <f t="shared" si="141"/>
        <v>0</v>
      </c>
      <c r="AD128" s="733">
        <f t="shared" si="141"/>
        <v>0</v>
      </c>
      <c r="AE128" s="733">
        <f t="shared" si="141"/>
        <v>0</v>
      </c>
      <c r="AF128" s="734">
        <f>SUM(L128:R128)</f>
        <v>0</v>
      </c>
      <c r="AG128" s="86"/>
      <c r="AH128" s="122"/>
      <c r="AI128" s="86"/>
      <c r="AJ128" s="86"/>
      <c r="AK128" s="86"/>
      <c r="AL128" s="86"/>
    </row>
    <row r="129" spans="1:38" s="119" customFormat="1" ht="14">
      <c r="A129" s="383"/>
      <c r="B129" s="22">
        <f t="shared" si="113"/>
        <v>119</v>
      </c>
      <c r="C129"/>
      <c r="D129"/>
      <c r="E129"/>
      <c r="F129" s="183" t="s">
        <v>566</v>
      </c>
      <c r="G129" s="653">
        <f>IF(G10&gt;0,SUM(G53:G68)/G10/G3+G88/G10/G3,0)</f>
        <v>0</v>
      </c>
      <c r="H129" s="653">
        <f t="shared" ref="H129:R129" si="142">IF(H10&gt;0,SUM(H53:H68)/H10/H3+H88/H10/H3,0)</f>
        <v>0</v>
      </c>
      <c r="I129" s="653">
        <f t="shared" si="142"/>
        <v>0</v>
      </c>
      <c r="J129" s="653">
        <f t="shared" si="142"/>
        <v>0</v>
      </c>
      <c r="K129" s="653">
        <f t="shared" si="142"/>
        <v>0</v>
      </c>
      <c r="L129" s="653">
        <f t="shared" si="142"/>
        <v>0</v>
      </c>
      <c r="M129" s="653">
        <f t="shared" si="142"/>
        <v>0</v>
      </c>
      <c r="N129" s="653">
        <f t="shared" si="142"/>
        <v>0</v>
      </c>
      <c r="O129" s="653">
        <f t="shared" si="142"/>
        <v>0</v>
      </c>
      <c r="P129" s="653">
        <f t="shared" si="142"/>
        <v>0</v>
      </c>
      <c r="Q129" s="653">
        <f t="shared" si="142"/>
        <v>0</v>
      </c>
      <c r="R129" s="653">
        <f t="shared" si="142"/>
        <v>0</v>
      </c>
      <c r="S129" s="653"/>
      <c r="T129" s="925">
        <f t="shared" ref="T129:AE129" si="143">IF(T10&gt;0,SUM(T53:T68)/T10/T3,0)</f>
        <v>0</v>
      </c>
      <c r="U129" s="653">
        <f t="shared" si="143"/>
        <v>0</v>
      </c>
      <c r="V129" s="653">
        <f t="shared" si="143"/>
        <v>0</v>
      </c>
      <c r="W129" s="653">
        <f t="shared" si="143"/>
        <v>0</v>
      </c>
      <c r="X129" s="653">
        <f t="shared" si="143"/>
        <v>0</v>
      </c>
      <c r="Y129" s="653">
        <f t="shared" si="143"/>
        <v>0</v>
      </c>
      <c r="Z129" s="653">
        <f t="shared" si="143"/>
        <v>0</v>
      </c>
      <c r="AA129" s="653">
        <f t="shared" si="143"/>
        <v>0</v>
      </c>
      <c r="AB129" s="653">
        <f t="shared" si="143"/>
        <v>0</v>
      </c>
      <c r="AC129" s="653">
        <f t="shared" si="143"/>
        <v>0</v>
      </c>
      <c r="AD129" s="653">
        <f t="shared" si="143"/>
        <v>0</v>
      </c>
      <c r="AE129" s="653">
        <f t="shared" si="143"/>
        <v>0</v>
      </c>
      <c r="AF129" s="654"/>
      <c r="AG129" s="86"/>
      <c r="AH129" s="86"/>
      <c r="AI129" s="86"/>
      <c r="AJ129" s="86"/>
      <c r="AK129" s="86"/>
      <c r="AL129" s="86"/>
    </row>
    <row r="130" spans="1:38" s="119" customFormat="1" ht="15" thickBot="1">
      <c r="A130" s="383"/>
      <c r="B130" s="22">
        <f>B129+1</f>
        <v>120</v>
      </c>
      <c r="C130" s="655"/>
      <c r="D130" s="655"/>
      <c r="E130" s="655"/>
      <c r="F130" s="656" t="s">
        <v>480</v>
      </c>
      <c r="G130" s="657" cm="1">
        <f t="array" ref="G130">IF(G10&gt;0,SUM(G90:G103+G109)/G10/G3,0)</f>
        <v>0</v>
      </c>
      <c r="H130" s="657" cm="1">
        <f t="array" ref="H130">IF(H10&gt;0,SUM(H90:H103+H109)/H10/H3,0)</f>
        <v>0</v>
      </c>
      <c r="I130" s="657" cm="1">
        <f t="array" ref="I130">IF(I10&gt;0,SUM(I90:I103+I109)/I10/I3,0)</f>
        <v>0</v>
      </c>
      <c r="J130" s="657" cm="1">
        <f t="array" ref="J130">IF(J10&gt;0,SUM(J90:J103+J109)/J10/J3,0)</f>
        <v>0</v>
      </c>
      <c r="K130" s="657" cm="1">
        <f t="array" ref="K130">IF(K10&gt;0,SUM(K90:K103+K109)/K10/K3,0)</f>
        <v>0</v>
      </c>
      <c r="L130" s="657" cm="1">
        <f t="array" ref="L130">IF(L10&gt;0,SUM(L90:L103+L109)/L10/L3,0)</f>
        <v>0</v>
      </c>
      <c r="M130" s="657" cm="1">
        <f t="array" ref="M130">IF(M10&gt;0,SUM(M90:M103+M109)/M10/M3,0)</f>
        <v>0</v>
      </c>
      <c r="N130" s="657" cm="1">
        <f t="array" ref="N130">IF(N10&gt;0,SUM(N90:N103+N109)/N10/N3,0)</f>
        <v>0</v>
      </c>
      <c r="O130" s="657" cm="1">
        <f t="array" ref="O130">IF(O10&gt;0,SUM(O90:O103+O109)/O10/O3,0)</f>
        <v>0</v>
      </c>
      <c r="P130" s="657" cm="1">
        <f t="array" ref="P130">IF(P10&gt;0,SUM(P90:P103+P109)/P10/P3,0)</f>
        <v>0</v>
      </c>
      <c r="Q130" s="657" cm="1">
        <f t="array" ref="Q130">IF(Q10&gt;0,SUM(Q90:Q103+Q109)/Q10/Q3,0)</f>
        <v>0</v>
      </c>
      <c r="R130" s="657" cm="1">
        <f t="array" ref="R130">IF(R10&gt;0,SUM(R90:R103+R109)/R10/R3,0)</f>
        <v>0</v>
      </c>
      <c r="S130" s="657"/>
      <c r="T130" s="926">
        <f t="shared" ref="T130:AE130" si="144">IF(T10&gt;0,SUM(T90:T103)/T10/T3,0)</f>
        <v>0</v>
      </c>
      <c r="U130" s="657">
        <f t="shared" si="144"/>
        <v>0</v>
      </c>
      <c r="V130" s="657">
        <f t="shared" si="144"/>
        <v>0</v>
      </c>
      <c r="W130" s="657">
        <f t="shared" si="144"/>
        <v>0</v>
      </c>
      <c r="X130" s="657">
        <f t="shared" si="144"/>
        <v>0</v>
      </c>
      <c r="Y130" s="657">
        <f t="shared" si="144"/>
        <v>0</v>
      </c>
      <c r="Z130" s="657">
        <f t="shared" si="144"/>
        <v>0</v>
      </c>
      <c r="AA130" s="657">
        <f t="shared" si="144"/>
        <v>0</v>
      </c>
      <c r="AB130" s="657">
        <f t="shared" si="144"/>
        <v>0</v>
      </c>
      <c r="AC130" s="657">
        <f t="shared" si="144"/>
        <v>0</v>
      </c>
      <c r="AD130" s="657">
        <f t="shared" si="144"/>
        <v>0</v>
      </c>
      <c r="AE130" s="657">
        <f t="shared" si="144"/>
        <v>0</v>
      </c>
      <c r="AF130" s="656"/>
      <c r="AG130" s="86"/>
      <c r="AH130" s="86"/>
      <c r="AI130" s="86"/>
      <c r="AJ130" s="86"/>
      <c r="AK130" s="86"/>
      <c r="AL130" s="86"/>
    </row>
    <row r="131" spans="1:38" ht="15" thickTop="1">
      <c r="A131" s="384"/>
      <c r="B131" s="124">
        <f>B130+1</f>
        <v>121</v>
      </c>
      <c r="C131"/>
      <c r="D131"/>
      <c r="E131"/>
      <c r="F131" s="125" t="s">
        <v>88</v>
      </c>
      <c r="G131" s="149">
        <f t="shared" ref="G131:AE131" si="145">IF(LEFT(G$4)&lt;&gt;"b",IF(G$12&gt;=650,650*ROUND(16.38*G$6,2)/12,G$12*ROUND(16.38*G$6,2)/12),IF(G$12&gt;=750,750*ROUND(22.41*G$6,2)/12,G$12*ROUND(22.41*G$6,2)/12))</f>
        <v>0</v>
      </c>
      <c r="H131" s="149">
        <f t="shared" si="145"/>
        <v>0</v>
      </c>
      <c r="I131" s="149">
        <f t="shared" si="145"/>
        <v>0</v>
      </c>
      <c r="J131" s="149">
        <f t="shared" si="145"/>
        <v>0</v>
      </c>
      <c r="K131" s="149">
        <f t="shared" si="145"/>
        <v>0</v>
      </c>
      <c r="L131" s="149">
        <f t="shared" si="145"/>
        <v>0</v>
      </c>
      <c r="M131" s="149">
        <f t="shared" si="145"/>
        <v>0</v>
      </c>
      <c r="N131" s="149">
        <f t="shared" si="145"/>
        <v>0</v>
      </c>
      <c r="O131" s="149">
        <f t="shared" si="145"/>
        <v>0</v>
      </c>
      <c r="P131" s="149">
        <f t="shared" si="145"/>
        <v>0</v>
      </c>
      <c r="Q131" s="149">
        <f t="shared" si="145"/>
        <v>0</v>
      </c>
      <c r="R131" s="149">
        <f t="shared" si="145"/>
        <v>0</v>
      </c>
      <c r="S131" s="149"/>
      <c r="T131" s="927">
        <f t="shared" si="145"/>
        <v>0</v>
      </c>
      <c r="U131" s="149">
        <f t="shared" si="145"/>
        <v>0</v>
      </c>
      <c r="V131" s="149">
        <f t="shared" si="145"/>
        <v>0</v>
      </c>
      <c r="W131" s="149">
        <f t="shared" si="145"/>
        <v>0</v>
      </c>
      <c r="X131" s="149">
        <f t="shared" si="145"/>
        <v>0</v>
      </c>
      <c r="Y131" s="149">
        <f t="shared" si="145"/>
        <v>0</v>
      </c>
      <c r="Z131" s="149">
        <f t="shared" si="145"/>
        <v>0</v>
      </c>
      <c r="AA131" s="149">
        <f t="shared" si="145"/>
        <v>0</v>
      </c>
      <c r="AB131" s="149">
        <f t="shared" si="145"/>
        <v>0</v>
      </c>
      <c r="AC131" s="149">
        <f t="shared" si="145"/>
        <v>0</v>
      </c>
      <c r="AD131" s="149">
        <f t="shared" si="145"/>
        <v>0</v>
      </c>
      <c r="AE131" s="149">
        <f t="shared" si="145"/>
        <v>0</v>
      </c>
      <c r="AF131" s="126" t="s">
        <v>186</v>
      </c>
      <c r="AG131" s="86"/>
      <c r="AH131" s="86"/>
      <c r="AI131" s="86"/>
      <c r="AJ131" s="86"/>
      <c r="AK131" s="86"/>
      <c r="AL131" s="86"/>
    </row>
    <row r="132" spans="1:38" ht="14">
      <c r="A132" s="384"/>
      <c r="B132" s="22">
        <f>B131+1</f>
        <v>122</v>
      </c>
      <c r="C132"/>
      <c r="D132"/>
      <c r="E132"/>
      <c r="F132" s="186" t="s">
        <v>89</v>
      </c>
      <c r="G132" s="110">
        <f t="shared" ref="G132:AE132" si="146">IF(LEFT(G$4)&lt;&gt;"b",IF(G$12&gt;650,IF(G$12&gt;=700,50*ROUND(98.3*G$6,2)/12,(G$12-650)*ROUND(98.3*G$6,2)/12),0),IF(G$12&gt;750,IF(G$12&gt;=800,50*ROUND(65.53*G$6,2)/12,(G$12-750)*ROUND(65.53*G$6,2)/12),0))</f>
        <v>0</v>
      </c>
      <c r="H132" s="110">
        <f t="shared" si="146"/>
        <v>0</v>
      </c>
      <c r="I132" s="110">
        <f t="shared" si="146"/>
        <v>0</v>
      </c>
      <c r="J132" s="110">
        <f t="shared" si="146"/>
        <v>0</v>
      </c>
      <c r="K132" s="110">
        <f t="shared" si="146"/>
        <v>0</v>
      </c>
      <c r="L132" s="110">
        <f t="shared" si="146"/>
        <v>0</v>
      </c>
      <c r="M132" s="110">
        <f t="shared" si="146"/>
        <v>0</v>
      </c>
      <c r="N132" s="110">
        <f t="shared" si="146"/>
        <v>0</v>
      </c>
      <c r="O132" s="110">
        <f t="shared" si="146"/>
        <v>0</v>
      </c>
      <c r="P132" s="110">
        <f t="shared" si="146"/>
        <v>0</v>
      </c>
      <c r="Q132" s="110">
        <f t="shared" si="146"/>
        <v>0</v>
      </c>
      <c r="R132" s="110">
        <f t="shared" si="146"/>
        <v>0</v>
      </c>
      <c r="S132" s="110"/>
      <c r="T132" s="928">
        <f t="shared" si="146"/>
        <v>0</v>
      </c>
      <c r="U132" s="110">
        <f t="shared" si="146"/>
        <v>0</v>
      </c>
      <c r="V132" s="110">
        <f t="shared" si="146"/>
        <v>0</v>
      </c>
      <c r="W132" s="110">
        <f t="shared" si="146"/>
        <v>0</v>
      </c>
      <c r="X132" s="110">
        <f t="shared" si="146"/>
        <v>0</v>
      </c>
      <c r="Y132" s="110">
        <f t="shared" si="146"/>
        <v>0</v>
      </c>
      <c r="Z132" s="110">
        <f t="shared" si="146"/>
        <v>0</v>
      </c>
      <c r="AA132" s="110">
        <f t="shared" si="146"/>
        <v>0</v>
      </c>
      <c r="AB132" s="110">
        <f t="shared" si="146"/>
        <v>0</v>
      </c>
      <c r="AC132" s="110">
        <f t="shared" si="146"/>
        <v>0</v>
      </c>
      <c r="AD132" s="110">
        <f t="shared" si="146"/>
        <v>0</v>
      </c>
      <c r="AE132" s="110">
        <f t="shared" si="146"/>
        <v>0</v>
      </c>
      <c r="AF132" s="111" t="s">
        <v>186</v>
      </c>
      <c r="AG132" s="86"/>
      <c r="AH132" s="86"/>
      <c r="AI132" s="86"/>
      <c r="AJ132" s="86"/>
      <c r="AK132" s="86"/>
      <c r="AL132" s="86"/>
    </row>
    <row r="133" spans="1:38" ht="14">
      <c r="A133" s="384"/>
      <c r="B133" s="22">
        <f>B132+1</f>
        <v>123</v>
      </c>
      <c r="C133"/>
      <c r="D133"/>
      <c r="E133"/>
      <c r="F133" s="186" t="s">
        <v>166</v>
      </c>
      <c r="G133" s="110">
        <f t="shared" ref="G133:AE133" si="147">IF(LEFT(G$4)&lt;&gt;"b",IF(G$12&gt;700,IF(G$12&gt;=750,50*ROUND(131.07*G$6,2)/12,(G$12-700)*ROUND(131.07*G$6,2)/12),0),IF(G$12&gt;800,IF(G$12&gt;=835,35*ROUND(131.07*G$6,2)/12,(G$12-800)*ROUND(131.07*G$6,2)/12),0))</f>
        <v>0</v>
      </c>
      <c r="H133" s="110">
        <f t="shared" si="147"/>
        <v>0</v>
      </c>
      <c r="I133" s="110">
        <f t="shared" si="147"/>
        <v>0</v>
      </c>
      <c r="J133" s="110">
        <f t="shared" si="147"/>
        <v>0</v>
      </c>
      <c r="K133" s="110">
        <f t="shared" si="147"/>
        <v>0</v>
      </c>
      <c r="L133" s="110">
        <f t="shared" si="147"/>
        <v>0</v>
      </c>
      <c r="M133" s="110">
        <f t="shared" si="147"/>
        <v>0</v>
      </c>
      <c r="N133" s="110">
        <f t="shared" si="147"/>
        <v>0</v>
      </c>
      <c r="O133" s="110">
        <f t="shared" si="147"/>
        <v>0</v>
      </c>
      <c r="P133" s="110">
        <f t="shared" si="147"/>
        <v>0</v>
      </c>
      <c r="Q133" s="110">
        <f t="shared" si="147"/>
        <v>0</v>
      </c>
      <c r="R133" s="110">
        <f t="shared" si="147"/>
        <v>0</v>
      </c>
      <c r="S133" s="110"/>
      <c r="T133" s="928">
        <f t="shared" si="147"/>
        <v>0</v>
      </c>
      <c r="U133" s="110">
        <f t="shared" si="147"/>
        <v>0</v>
      </c>
      <c r="V133" s="110">
        <f t="shared" si="147"/>
        <v>0</v>
      </c>
      <c r="W133" s="110">
        <f t="shared" si="147"/>
        <v>0</v>
      </c>
      <c r="X133" s="110">
        <f t="shared" si="147"/>
        <v>0</v>
      </c>
      <c r="Y133" s="110">
        <f t="shared" si="147"/>
        <v>0</v>
      </c>
      <c r="Z133" s="110">
        <f t="shared" si="147"/>
        <v>0</v>
      </c>
      <c r="AA133" s="110">
        <f t="shared" si="147"/>
        <v>0</v>
      </c>
      <c r="AB133" s="110">
        <f t="shared" si="147"/>
        <v>0</v>
      </c>
      <c r="AC133" s="110">
        <f t="shared" si="147"/>
        <v>0</v>
      </c>
      <c r="AD133" s="110">
        <f t="shared" si="147"/>
        <v>0</v>
      </c>
      <c r="AE133" s="110">
        <f t="shared" si="147"/>
        <v>0</v>
      </c>
      <c r="AF133" s="111" t="s">
        <v>186</v>
      </c>
      <c r="AG133" s="86"/>
      <c r="AH133" s="86"/>
      <c r="AI133" s="86"/>
      <c r="AJ133" s="86"/>
      <c r="AK133" s="86"/>
      <c r="AL133" s="86"/>
    </row>
    <row r="134" spans="1:38" ht="14">
      <c r="A134" s="384"/>
      <c r="B134" s="22">
        <f>B133+1</f>
        <v>124</v>
      </c>
      <c r="C134" s="649"/>
      <c r="D134" s="649"/>
      <c r="E134" s="649"/>
      <c r="F134" s="187" t="s">
        <v>167</v>
      </c>
      <c r="G134" s="112">
        <f t="shared" ref="G134:AE134" si="148">IF(LEFT(G$4)&lt;&gt;"b",IF(G$12&gt;750,(G$12-750)*ROUND(163.83*G$6,2)/12,0),IF(G$12&gt;835,(G$12-835)*ROUND(163.83*G$6,2)/12,0))</f>
        <v>0</v>
      </c>
      <c r="H134" s="112">
        <f t="shared" si="148"/>
        <v>0</v>
      </c>
      <c r="I134" s="112">
        <f t="shared" si="148"/>
        <v>0</v>
      </c>
      <c r="J134" s="112">
        <f t="shared" si="148"/>
        <v>0</v>
      </c>
      <c r="K134" s="112">
        <f t="shared" si="148"/>
        <v>0</v>
      </c>
      <c r="L134" s="112">
        <f t="shared" si="148"/>
        <v>0</v>
      </c>
      <c r="M134" s="112">
        <f t="shared" si="148"/>
        <v>0</v>
      </c>
      <c r="N134" s="112">
        <f t="shared" si="148"/>
        <v>0</v>
      </c>
      <c r="O134" s="112">
        <f t="shared" si="148"/>
        <v>0</v>
      </c>
      <c r="P134" s="112">
        <f t="shared" si="148"/>
        <v>0</v>
      </c>
      <c r="Q134" s="112">
        <f t="shared" si="148"/>
        <v>0</v>
      </c>
      <c r="R134" s="112">
        <f t="shared" si="148"/>
        <v>0</v>
      </c>
      <c r="S134" s="112"/>
      <c r="T134" s="929">
        <f t="shared" si="148"/>
        <v>0</v>
      </c>
      <c r="U134" s="112">
        <f t="shared" si="148"/>
        <v>0</v>
      </c>
      <c r="V134" s="112">
        <f t="shared" si="148"/>
        <v>0</v>
      </c>
      <c r="W134" s="112">
        <f t="shared" si="148"/>
        <v>0</v>
      </c>
      <c r="X134" s="112">
        <f t="shared" si="148"/>
        <v>0</v>
      </c>
      <c r="Y134" s="112">
        <f t="shared" si="148"/>
        <v>0</v>
      </c>
      <c r="Z134" s="112">
        <f t="shared" si="148"/>
        <v>0</v>
      </c>
      <c r="AA134" s="112">
        <f t="shared" si="148"/>
        <v>0</v>
      </c>
      <c r="AB134" s="112">
        <f t="shared" si="148"/>
        <v>0</v>
      </c>
      <c r="AC134" s="112">
        <f t="shared" si="148"/>
        <v>0</v>
      </c>
      <c r="AD134" s="112">
        <f t="shared" si="148"/>
        <v>0</v>
      </c>
      <c r="AE134" s="112">
        <f t="shared" si="148"/>
        <v>0</v>
      </c>
      <c r="AF134" s="113" t="s">
        <v>186</v>
      </c>
      <c r="AG134" s="86"/>
      <c r="AH134" s="86"/>
      <c r="AI134" s="86"/>
      <c r="AJ134" s="86"/>
      <c r="AK134" s="86"/>
      <c r="AL134" s="86"/>
    </row>
    <row r="135" spans="1:38" ht="14">
      <c r="C135"/>
      <c r="D135"/>
      <c r="E135"/>
      <c r="G135" s="24">
        <f>IF(G10&lt;G11,G124*G10,G124)</f>
        <v>0</v>
      </c>
      <c r="AG135" s="86"/>
      <c r="AH135" s="86"/>
      <c r="AI135" s="86"/>
      <c r="AJ135" s="86"/>
      <c r="AK135" s="86"/>
      <c r="AL135" s="86"/>
    </row>
    <row r="136" spans="1:38" s="3" customFormat="1">
      <c r="A136" s="86"/>
      <c r="B136" s="87"/>
      <c r="C136" s="87"/>
      <c r="D136" s="87"/>
      <c r="E136" s="87"/>
      <c r="F136" s="409"/>
      <c r="G136" s="115"/>
      <c r="H136" s="88"/>
      <c r="I136" s="88"/>
      <c r="J136" s="88"/>
      <c r="K136" s="88"/>
      <c r="L136" s="88"/>
      <c r="M136" s="88"/>
      <c r="N136" s="88"/>
      <c r="O136" s="88"/>
      <c r="P136" s="88"/>
      <c r="Q136" s="88"/>
      <c r="R136" s="88"/>
      <c r="S136" s="88"/>
      <c r="T136" s="931"/>
      <c r="U136" s="88"/>
      <c r="V136" s="88"/>
      <c r="W136" s="88"/>
      <c r="X136" s="88"/>
      <c r="Y136" s="88"/>
      <c r="Z136" s="88"/>
      <c r="AA136" s="88"/>
      <c r="AB136" s="88"/>
      <c r="AC136" s="88"/>
      <c r="AD136" s="88"/>
      <c r="AE136" s="88"/>
      <c r="AF136" s="86"/>
      <c r="AG136" s="86"/>
      <c r="AH136" s="86"/>
      <c r="AI136" s="86"/>
      <c r="AJ136" s="86"/>
      <c r="AK136" s="86"/>
      <c r="AL136" s="86"/>
    </row>
    <row r="137" spans="1:38" s="3" customFormat="1">
      <c r="A137" s="86"/>
      <c r="B137" s="87"/>
      <c r="C137" s="87"/>
      <c r="D137" s="87"/>
      <c r="E137" s="87"/>
      <c r="F137" s="410"/>
      <c r="G137" s="115"/>
      <c r="H137" s="115"/>
      <c r="I137" s="88"/>
      <c r="J137" s="88"/>
      <c r="K137" s="88"/>
      <c r="L137" s="88"/>
      <c r="M137" s="88"/>
      <c r="N137" s="88"/>
      <c r="O137" s="88"/>
      <c r="P137" s="88"/>
      <c r="Q137" s="88"/>
      <c r="R137" s="88"/>
      <c r="S137" s="88"/>
      <c r="T137" s="931"/>
      <c r="U137" s="115"/>
      <c r="V137" s="88"/>
      <c r="W137" s="88"/>
      <c r="X137" s="88"/>
      <c r="Y137" s="88"/>
      <c r="Z137" s="88"/>
      <c r="AA137" s="88"/>
      <c r="AB137" s="88"/>
      <c r="AC137" s="88"/>
      <c r="AD137" s="88"/>
      <c r="AE137" s="88"/>
      <c r="AF137" s="86"/>
      <c r="AG137" s="86"/>
      <c r="AH137" s="86"/>
      <c r="AI137" s="86"/>
      <c r="AJ137" s="86"/>
      <c r="AK137" s="86"/>
      <c r="AL137" s="86"/>
    </row>
    <row r="138" spans="1:38" s="3" customFormat="1">
      <c r="B138" s="22"/>
      <c r="C138" s="22"/>
      <c r="D138" s="22"/>
      <c r="E138" s="22"/>
      <c r="F138" s="437"/>
      <c r="G138" s="438"/>
      <c r="H138" s="24"/>
      <c r="I138" s="24"/>
      <c r="J138" s="24"/>
      <c r="K138" s="24"/>
      <c r="L138" s="24"/>
      <c r="M138" s="24"/>
      <c r="N138" s="24"/>
      <c r="O138" s="24"/>
      <c r="P138" s="24"/>
      <c r="Q138" s="24"/>
      <c r="R138" s="24"/>
      <c r="S138" s="24"/>
      <c r="T138" s="932"/>
      <c r="U138" s="24"/>
      <c r="V138" s="24"/>
      <c r="W138" s="24"/>
      <c r="X138" s="24"/>
      <c r="Y138" s="24"/>
      <c r="Z138" s="24"/>
      <c r="AA138" s="24"/>
      <c r="AB138" s="24"/>
      <c r="AC138" s="24"/>
      <c r="AD138" s="24"/>
      <c r="AE138" s="24"/>
    </row>
    <row r="139" spans="1:38" s="3" customFormat="1">
      <c r="B139" s="22"/>
      <c r="C139" s="22"/>
      <c r="D139" s="22"/>
      <c r="E139" s="22"/>
      <c r="F139" s="484" t="s">
        <v>430</v>
      </c>
      <c r="G139" s="488">
        <f t="shared" ref="G139:AE139" si="149">ROUND(ROUND(ROUND(VLOOKUP(IF(LEFT(G4)="B",33,42),Skalalontabel12,7,0)*G6,0)/12,2)*G10*G3,2)</f>
        <v>0</v>
      </c>
      <c r="H139" s="488">
        <f t="shared" si="149"/>
        <v>0</v>
      </c>
      <c r="I139" s="488">
        <f t="shared" si="149"/>
        <v>0</v>
      </c>
      <c r="J139" s="488">
        <f t="shared" si="149"/>
        <v>0</v>
      </c>
      <c r="K139" s="488">
        <f t="shared" si="149"/>
        <v>0</v>
      </c>
      <c r="L139" s="488">
        <f t="shared" si="149"/>
        <v>0</v>
      </c>
      <c r="M139" s="488">
        <f t="shared" si="149"/>
        <v>0</v>
      </c>
      <c r="N139" s="488">
        <f t="shared" si="149"/>
        <v>0</v>
      </c>
      <c r="O139" s="488">
        <f t="shared" si="149"/>
        <v>0</v>
      </c>
      <c r="P139" s="488">
        <f t="shared" si="149"/>
        <v>0</v>
      </c>
      <c r="Q139" s="488">
        <f t="shared" si="149"/>
        <v>0</v>
      </c>
      <c r="R139" s="488">
        <f t="shared" si="149"/>
        <v>0</v>
      </c>
      <c r="S139" s="488"/>
      <c r="T139" s="933">
        <f t="shared" si="149"/>
        <v>0</v>
      </c>
      <c r="U139" s="488">
        <f t="shared" si="149"/>
        <v>0</v>
      </c>
      <c r="V139" s="488">
        <f t="shared" si="149"/>
        <v>0</v>
      </c>
      <c r="W139" s="488">
        <f t="shared" si="149"/>
        <v>0</v>
      </c>
      <c r="X139" s="488">
        <f t="shared" si="149"/>
        <v>0</v>
      </c>
      <c r="Y139" s="488">
        <f t="shared" si="149"/>
        <v>0</v>
      </c>
      <c r="Z139" s="488">
        <f t="shared" si="149"/>
        <v>0</v>
      </c>
      <c r="AA139" s="488">
        <f t="shared" si="149"/>
        <v>0</v>
      </c>
      <c r="AB139" s="488">
        <f t="shared" si="149"/>
        <v>0</v>
      </c>
      <c r="AC139" s="488">
        <f t="shared" si="149"/>
        <v>0</v>
      </c>
      <c r="AD139" s="488">
        <f t="shared" si="149"/>
        <v>0</v>
      </c>
      <c r="AE139" s="488">
        <f t="shared" si="149"/>
        <v>0</v>
      </c>
    </row>
    <row r="140" spans="1:38" s="3" customFormat="1">
      <c r="B140" s="22"/>
      <c r="C140" s="22"/>
      <c r="D140" s="22"/>
      <c r="E140" s="22"/>
      <c r="F140" s="484" t="s">
        <v>591</v>
      </c>
      <c r="G140" s="488">
        <f>IF($C$56=1,G56,"0")+IF($C$57=1,G57,"0")+IF($C$58=1,G58,"0")+IF($C$59=1,G59,"0")+IF($C$60=1,G60,"0")+IF($C$61=1,G61,"0")+IF($C$62=1,G62,"0")+IF($C$68=1,G68,"0")+G63+G64+G66+G67+G72+G88+IF($C$45="x",G45,"0")+IF($C$46="x",G46,"0")+IF(G84&gt;0,G84,0)</f>
        <v>0</v>
      </c>
      <c r="H140" s="488">
        <f t="shared" ref="H140:R140" si="150">IF($C$56=1,H56,"0")+IF($C$57=1,H57,"0")+IF($C$58=1,H58,"0")+IF($C$59=1,H59,"0")+IF($C$60=1,H60,"0")+IF($C$61=1,H61,"0")+IF($C$62=1,H62,"0")+IF($C$68=1,H68,"0")+H63+H64+H66+H67+H72+H88+IF($C$45="x",H45,"0")+IF($C$46="x",H46,"0")+IF(H84&gt;0,H84,0)</f>
        <v>0</v>
      </c>
      <c r="I140" s="488">
        <f t="shared" si="150"/>
        <v>0</v>
      </c>
      <c r="J140" s="488">
        <f t="shared" si="150"/>
        <v>0</v>
      </c>
      <c r="K140" s="488">
        <f t="shared" si="150"/>
        <v>0</v>
      </c>
      <c r="L140" s="488">
        <f t="shared" si="150"/>
        <v>0</v>
      </c>
      <c r="M140" s="488">
        <f t="shared" si="150"/>
        <v>0</v>
      </c>
      <c r="N140" s="488">
        <f t="shared" si="150"/>
        <v>0</v>
      </c>
      <c r="O140" s="488">
        <f t="shared" si="150"/>
        <v>0</v>
      </c>
      <c r="P140" s="488">
        <f t="shared" si="150"/>
        <v>0</v>
      </c>
      <c r="Q140" s="488">
        <f t="shared" si="150"/>
        <v>0</v>
      </c>
      <c r="R140" s="488">
        <f t="shared" si="150"/>
        <v>0</v>
      </c>
      <c r="S140" s="488"/>
      <c r="T140" s="488">
        <f>IF($C$56=1,T56,"0")+IF($C$57=1,T57,"0")+IF($C$58=1,T58,"0")+IF($C$59=1,T59,"0")+IF($C$60=1,T60,"0")+IF($C$61=1,T61,"0")+IF($C$62=1,T62,"0")+IF($C$68=1,T68,"0")+T63+T64+T66+T67+T72+T88+IF($C$45="x",T45,"0")+IF($C$46="x",T46,"0")+IF(T84&gt;0,T84,0)</f>
        <v>0</v>
      </c>
      <c r="U140" s="488">
        <f t="shared" ref="U140:AE140" si="151">IF($C$56=1,U56,"0")+IF($C$57=1,U57,"0")+IF($C$58=1,U58,"0")+IF($C$59=1,U59,"0")+IF($C$60=1,U60,"0")+IF($C$61=1,U61,"0")+IF($C$62=1,U62,"0")+IF($C$68=1,U68,"0")+U63+U64+U66+U67+U72+U88+IF($C$45="x",U45,"0")+IF($C$46="x",U46,"0")+IF(U84&gt;0,U84,0)</f>
        <v>0</v>
      </c>
      <c r="V140" s="488">
        <f t="shared" si="151"/>
        <v>0</v>
      </c>
      <c r="W140" s="488">
        <f t="shared" si="151"/>
        <v>0</v>
      </c>
      <c r="X140" s="488">
        <f t="shared" si="151"/>
        <v>0</v>
      </c>
      <c r="Y140" s="488">
        <f t="shared" si="151"/>
        <v>0</v>
      </c>
      <c r="Z140" s="488">
        <f t="shared" si="151"/>
        <v>0</v>
      </c>
      <c r="AA140" s="488">
        <f t="shared" si="151"/>
        <v>0</v>
      </c>
      <c r="AB140" s="488">
        <f t="shared" si="151"/>
        <v>0</v>
      </c>
      <c r="AC140" s="488">
        <f t="shared" si="151"/>
        <v>0</v>
      </c>
      <c r="AD140" s="488">
        <f t="shared" si="151"/>
        <v>0</v>
      </c>
      <c r="AE140" s="488">
        <f t="shared" si="151"/>
        <v>0</v>
      </c>
    </row>
    <row r="141" spans="1:38" s="3" customFormat="1">
      <c r="B141" s="22"/>
      <c r="C141" s="22"/>
      <c r="D141" s="22"/>
      <c r="E141" s="22"/>
      <c r="F141" s="485">
        <v>0.18</v>
      </c>
      <c r="G141" s="488">
        <f t="shared" ref="G141:R141" si="152">ROUND(G140*18%,2)</f>
        <v>0</v>
      </c>
      <c r="H141" s="488">
        <f t="shared" si="152"/>
        <v>0</v>
      </c>
      <c r="I141" s="488">
        <f t="shared" si="152"/>
        <v>0</v>
      </c>
      <c r="J141" s="488">
        <f t="shared" si="152"/>
        <v>0</v>
      </c>
      <c r="K141" s="488">
        <f t="shared" si="152"/>
        <v>0</v>
      </c>
      <c r="L141" s="488">
        <f t="shared" si="152"/>
        <v>0</v>
      </c>
      <c r="M141" s="488">
        <f t="shared" si="152"/>
        <v>0</v>
      </c>
      <c r="N141" s="488">
        <f t="shared" si="152"/>
        <v>0</v>
      </c>
      <c r="O141" s="488">
        <f t="shared" si="152"/>
        <v>0</v>
      </c>
      <c r="P141" s="488">
        <f t="shared" si="152"/>
        <v>0</v>
      </c>
      <c r="Q141" s="488">
        <f t="shared" si="152"/>
        <v>0</v>
      </c>
      <c r="R141" s="488">
        <f t="shared" si="152"/>
        <v>0</v>
      </c>
      <c r="S141" s="488"/>
      <c r="T141" s="488">
        <f t="shared" ref="T141:AE141" si="153">ROUND(T140*18%,2)</f>
        <v>0</v>
      </c>
      <c r="U141" s="488">
        <f t="shared" si="153"/>
        <v>0</v>
      </c>
      <c r="V141" s="488">
        <f t="shared" si="153"/>
        <v>0</v>
      </c>
      <c r="W141" s="488">
        <f t="shared" si="153"/>
        <v>0</v>
      </c>
      <c r="X141" s="488">
        <f t="shared" si="153"/>
        <v>0</v>
      </c>
      <c r="Y141" s="488">
        <f t="shared" si="153"/>
        <v>0</v>
      </c>
      <c r="Z141" s="488">
        <f t="shared" si="153"/>
        <v>0</v>
      </c>
      <c r="AA141" s="488">
        <f t="shared" si="153"/>
        <v>0</v>
      </c>
      <c r="AB141" s="488">
        <f t="shared" si="153"/>
        <v>0</v>
      </c>
      <c r="AC141" s="488">
        <f t="shared" si="153"/>
        <v>0</v>
      </c>
      <c r="AD141" s="488">
        <f t="shared" si="153"/>
        <v>0</v>
      </c>
      <c r="AE141" s="488">
        <f t="shared" si="153"/>
        <v>0</v>
      </c>
    </row>
    <row r="142" spans="1:38" s="3" customFormat="1">
      <c r="B142" s="22"/>
      <c r="C142" s="22"/>
      <c r="D142" s="22"/>
      <c r="E142" s="22"/>
      <c r="F142" s="484" t="s">
        <v>585</v>
      </c>
      <c r="G142" s="489">
        <f>G53+G54+G55+G65</f>
        <v>0</v>
      </c>
      <c r="H142" s="489">
        <f t="shared" ref="H142:R142" si="154">H53+H54+H55+H65</f>
        <v>0</v>
      </c>
      <c r="I142" s="489">
        <f t="shared" si="154"/>
        <v>0</v>
      </c>
      <c r="J142" s="489">
        <f t="shared" si="154"/>
        <v>0</v>
      </c>
      <c r="K142" s="489">
        <f t="shared" si="154"/>
        <v>0</v>
      </c>
      <c r="L142" s="489">
        <f t="shared" si="154"/>
        <v>0</v>
      </c>
      <c r="M142" s="489">
        <f t="shared" si="154"/>
        <v>0</v>
      </c>
      <c r="N142" s="489">
        <f t="shared" si="154"/>
        <v>0</v>
      </c>
      <c r="O142" s="489">
        <f t="shared" si="154"/>
        <v>0</v>
      </c>
      <c r="P142" s="489">
        <f t="shared" si="154"/>
        <v>0</v>
      </c>
      <c r="Q142" s="489">
        <f t="shared" si="154"/>
        <v>0</v>
      </c>
      <c r="R142" s="489">
        <f t="shared" si="154"/>
        <v>0</v>
      </c>
      <c r="S142" s="489"/>
      <c r="T142" s="934">
        <f t="shared" ref="T142:AE142" si="155">T53+T54+T55+T65</f>
        <v>0</v>
      </c>
      <c r="U142" s="489">
        <f t="shared" si="155"/>
        <v>0</v>
      </c>
      <c r="V142" s="489">
        <f t="shared" si="155"/>
        <v>0</v>
      </c>
      <c r="W142" s="489">
        <f t="shared" si="155"/>
        <v>0</v>
      </c>
      <c r="X142" s="489">
        <f t="shared" si="155"/>
        <v>0</v>
      </c>
      <c r="Y142" s="489">
        <f t="shared" si="155"/>
        <v>0</v>
      </c>
      <c r="Z142" s="489">
        <f t="shared" si="155"/>
        <v>0</v>
      </c>
      <c r="AA142" s="489">
        <f t="shared" si="155"/>
        <v>0</v>
      </c>
      <c r="AB142" s="489">
        <f t="shared" si="155"/>
        <v>0</v>
      </c>
      <c r="AC142" s="489">
        <f t="shared" si="155"/>
        <v>0</v>
      </c>
      <c r="AD142" s="489">
        <f t="shared" si="155"/>
        <v>0</v>
      </c>
      <c r="AE142" s="489">
        <f t="shared" si="155"/>
        <v>0</v>
      </c>
    </row>
    <row r="143" spans="1:38" s="3" customFormat="1">
      <c r="B143" s="22"/>
      <c r="C143" s="22"/>
      <c r="D143" s="22"/>
      <c r="E143" s="22"/>
      <c r="F143" s="484" t="s">
        <v>586</v>
      </c>
      <c r="G143" s="489">
        <f>G142-G139</f>
        <v>0</v>
      </c>
      <c r="H143" s="489">
        <f t="shared" ref="H143:R143" si="156">H142-H139</f>
        <v>0</v>
      </c>
      <c r="I143" s="489">
        <f t="shared" si="156"/>
        <v>0</v>
      </c>
      <c r="J143" s="489">
        <f t="shared" si="156"/>
        <v>0</v>
      </c>
      <c r="K143" s="489">
        <f t="shared" si="156"/>
        <v>0</v>
      </c>
      <c r="L143" s="489">
        <f t="shared" si="156"/>
        <v>0</v>
      </c>
      <c r="M143" s="489">
        <f t="shared" si="156"/>
        <v>0</v>
      </c>
      <c r="N143" s="489">
        <f t="shared" si="156"/>
        <v>0</v>
      </c>
      <c r="O143" s="489">
        <f t="shared" si="156"/>
        <v>0</v>
      </c>
      <c r="P143" s="489">
        <f t="shared" si="156"/>
        <v>0</v>
      </c>
      <c r="Q143" s="489">
        <f t="shared" si="156"/>
        <v>0</v>
      </c>
      <c r="R143" s="489">
        <f t="shared" si="156"/>
        <v>0</v>
      </c>
      <c r="S143" s="489"/>
      <c r="T143" s="934">
        <f>T142-T139</f>
        <v>0</v>
      </c>
      <c r="U143" s="489">
        <f>U142-U139</f>
        <v>0</v>
      </c>
      <c r="V143" s="489">
        <f t="shared" ref="V143:AE143" si="157">V142-V139</f>
        <v>0</v>
      </c>
      <c r="W143" s="489">
        <f t="shared" si="157"/>
        <v>0</v>
      </c>
      <c r="X143" s="489">
        <f t="shared" si="157"/>
        <v>0</v>
      </c>
      <c r="Y143" s="489">
        <f t="shared" si="157"/>
        <v>0</v>
      </c>
      <c r="Z143" s="489">
        <f t="shared" si="157"/>
        <v>0</v>
      </c>
      <c r="AA143" s="489">
        <f t="shared" si="157"/>
        <v>0</v>
      </c>
      <c r="AB143" s="489">
        <f t="shared" si="157"/>
        <v>0</v>
      </c>
      <c r="AC143" s="489">
        <f t="shared" si="157"/>
        <v>0</v>
      </c>
      <c r="AD143" s="489">
        <f t="shared" si="157"/>
        <v>0</v>
      </c>
      <c r="AE143" s="489">
        <f t="shared" si="157"/>
        <v>0</v>
      </c>
    </row>
    <row r="144" spans="1:38" s="3" customFormat="1">
      <c r="B144" s="22"/>
      <c r="C144" s="22"/>
      <c r="D144" s="22"/>
      <c r="E144" s="22"/>
      <c r="F144" s="484" t="s">
        <v>588</v>
      </c>
      <c r="G144" s="489">
        <f>IF(AND(G143&lt;-1,G140&lt;G145),G140*17.3%,G141)</f>
        <v>0</v>
      </c>
      <c r="H144" s="489">
        <f t="shared" ref="H144:R144" si="158">IF(AND(H143&lt;-1,H140&lt;H145),H140*17.3%,H141)</f>
        <v>0</v>
      </c>
      <c r="I144" s="489">
        <f t="shared" si="158"/>
        <v>0</v>
      </c>
      <c r="J144" s="489">
        <f t="shared" si="158"/>
        <v>0</v>
      </c>
      <c r="K144" s="489">
        <f t="shared" si="158"/>
        <v>0</v>
      </c>
      <c r="L144" s="489">
        <f t="shared" si="158"/>
        <v>0</v>
      </c>
      <c r="M144" s="489">
        <f t="shared" si="158"/>
        <v>0</v>
      </c>
      <c r="N144" s="489">
        <f t="shared" si="158"/>
        <v>0</v>
      </c>
      <c r="O144" s="489">
        <f t="shared" si="158"/>
        <v>0</v>
      </c>
      <c r="P144" s="489">
        <f t="shared" si="158"/>
        <v>0</v>
      </c>
      <c r="Q144" s="489">
        <f t="shared" si="158"/>
        <v>0</v>
      </c>
      <c r="R144" s="489">
        <f t="shared" si="158"/>
        <v>0</v>
      </c>
      <c r="S144" s="489"/>
      <c r="T144" s="934">
        <f>IF(AND(T143&lt;-1,T140&lt;T145),T140*17.3%,T141)</f>
        <v>0</v>
      </c>
      <c r="U144" s="489">
        <f>IF(AND(U143&lt;-1,U140&lt;U145),U140*17.3%,U141)</f>
        <v>0</v>
      </c>
      <c r="V144" s="489">
        <f t="shared" ref="V144" si="159">IF(AND(V143&lt;0,V140&lt;V145),V140*17.3%,0)</f>
        <v>0</v>
      </c>
      <c r="W144" s="489">
        <f t="shared" ref="W144" si="160">IF(AND(W143&lt;-1,W140&lt;W145),W140*17.3%,W141)</f>
        <v>0</v>
      </c>
      <c r="X144" s="489">
        <f t="shared" ref="X144" si="161">IF(AND(X143&lt;0,X140&lt;X145),X140*17.3%,0)</f>
        <v>0</v>
      </c>
      <c r="Y144" s="489">
        <f t="shared" ref="Y144" si="162">IF(AND(Y143&lt;-1,Y140&lt;Y145),Y140*17.3%,Y141)</f>
        <v>0</v>
      </c>
      <c r="Z144" s="489">
        <f t="shared" ref="Z144" si="163">IF(AND(Z143&lt;0,Z140&lt;Z145),Z140*17.3%,0)</f>
        <v>0</v>
      </c>
      <c r="AA144" s="489">
        <f t="shared" ref="AA144" si="164">IF(AND(AA143&lt;-1,AA140&lt;AA145),AA140*17.3%,AA141)</f>
        <v>0</v>
      </c>
      <c r="AB144" s="489">
        <f t="shared" ref="AB144" si="165">IF(AND(AB143&lt;0,AB140&lt;AB145),AB140*17.3%,0)</f>
        <v>0</v>
      </c>
      <c r="AC144" s="489">
        <f t="shared" ref="AC144" si="166">IF(AND(AC143&lt;-1,AC140&lt;AC145),AC140*17.3%,AC141)</f>
        <v>0</v>
      </c>
      <c r="AD144" s="489">
        <f t="shared" ref="AD144" si="167">IF(AND(AD143&lt;0,AD140&lt;AD145),AD140*17.3%,0)</f>
        <v>0</v>
      </c>
      <c r="AE144" s="489">
        <f t="shared" ref="AE144" si="168">IF(AND(AE143&lt;-1,AE140&lt;AE145),AE140*17.3%,AE141)</f>
        <v>0</v>
      </c>
    </row>
    <row r="145" spans="2:31" s="3" customFormat="1">
      <c r="B145" s="22"/>
      <c r="C145" s="22"/>
      <c r="D145" s="22"/>
      <c r="E145" s="22"/>
      <c r="F145" s="484" t="s">
        <v>584</v>
      </c>
      <c r="G145" s="489">
        <f>G143*-1</f>
        <v>0</v>
      </c>
      <c r="H145" s="489">
        <f t="shared" ref="H145:R145" si="169">H143*-1</f>
        <v>0</v>
      </c>
      <c r="I145" s="489">
        <f t="shared" si="169"/>
        <v>0</v>
      </c>
      <c r="J145" s="489">
        <f t="shared" si="169"/>
        <v>0</v>
      </c>
      <c r="K145" s="489">
        <f t="shared" si="169"/>
        <v>0</v>
      </c>
      <c r="L145" s="489">
        <f t="shared" si="169"/>
        <v>0</v>
      </c>
      <c r="M145" s="489">
        <f t="shared" si="169"/>
        <v>0</v>
      </c>
      <c r="N145" s="489">
        <f t="shared" si="169"/>
        <v>0</v>
      </c>
      <c r="O145" s="489">
        <f t="shared" si="169"/>
        <v>0</v>
      </c>
      <c r="P145" s="489">
        <f t="shared" si="169"/>
        <v>0</v>
      </c>
      <c r="Q145" s="489">
        <f t="shared" si="169"/>
        <v>0</v>
      </c>
      <c r="R145" s="489">
        <f t="shared" si="169"/>
        <v>0</v>
      </c>
      <c r="S145" s="489"/>
      <c r="T145" s="934">
        <f>T143*-1</f>
        <v>0</v>
      </c>
      <c r="U145" s="489">
        <f>U143*-1</f>
        <v>0</v>
      </c>
      <c r="V145" s="489">
        <f t="shared" ref="V145:AE145" si="170">V143*-1</f>
        <v>0</v>
      </c>
      <c r="W145" s="489">
        <f t="shared" si="170"/>
        <v>0</v>
      </c>
      <c r="X145" s="489">
        <f t="shared" si="170"/>
        <v>0</v>
      </c>
      <c r="Y145" s="489">
        <f t="shared" si="170"/>
        <v>0</v>
      </c>
      <c r="Z145" s="489">
        <f t="shared" si="170"/>
        <v>0</v>
      </c>
      <c r="AA145" s="489">
        <f t="shared" si="170"/>
        <v>0</v>
      </c>
      <c r="AB145" s="489">
        <f t="shared" si="170"/>
        <v>0</v>
      </c>
      <c r="AC145" s="489">
        <f t="shared" si="170"/>
        <v>0</v>
      </c>
      <c r="AD145" s="489">
        <f t="shared" si="170"/>
        <v>0</v>
      </c>
      <c r="AE145" s="489">
        <f t="shared" si="170"/>
        <v>0</v>
      </c>
    </row>
    <row r="146" spans="2:31" s="3" customFormat="1">
      <c r="B146" s="22"/>
      <c r="C146" s="22"/>
      <c r="D146" s="22"/>
      <c r="E146" s="22"/>
      <c r="F146" s="484" t="s">
        <v>587</v>
      </c>
      <c r="G146" s="489">
        <f>IF(AND(G140&gt;G145,G143&lt;-1),(G140-G145)*18%+G145*17.3%,G140*18%)</f>
        <v>0</v>
      </c>
      <c r="H146" s="489">
        <f t="shared" ref="H146:R146" si="171">IF(AND(H140&gt;H145,H143&lt;-1),(H140-H145)*18%+H145*17.3%,H140*18%)</f>
        <v>0</v>
      </c>
      <c r="I146" s="489">
        <f t="shared" si="171"/>
        <v>0</v>
      </c>
      <c r="J146" s="489">
        <f t="shared" si="171"/>
        <v>0</v>
      </c>
      <c r="K146" s="489">
        <f t="shared" si="171"/>
        <v>0</v>
      </c>
      <c r="L146" s="489">
        <f t="shared" si="171"/>
        <v>0</v>
      </c>
      <c r="M146" s="489">
        <f t="shared" si="171"/>
        <v>0</v>
      </c>
      <c r="N146" s="489">
        <f t="shared" si="171"/>
        <v>0</v>
      </c>
      <c r="O146" s="489">
        <f t="shared" si="171"/>
        <v>0</v>
      </c>
      <c r="P146" s="489">
        <f t="shared" si="171"/>
        <v>0</v>
      </c>
      <c r="Q146" s="489">
        <f t="shared" si="171"/>
        <v>0</v>
      </c>
      <c r="R146" s="489">
        <f t="shared" si="171"/>
        <v>0</v>
      </c>
      <c r="S146" s="489"/>
      <c r="T146" s="934">
        <f>IF(AND(T140&gt;T145,T143&lt;-1),(T140-T145)*18%+T145*17.3%,T140*18%)</f>
        <v>0</v>
      </c>
      <c r="U146" s="489">
        <f>IF(AND(U140&gt;U145,U143&lt;-1),(U140-U145)*18%+U145*17.3%,U140*18%)</f>
        <v>0</v>
      </c>
      <c r="V146" s="489">
        <f t="shared" ref="V146:AE146" si="172">IF(AND(V140&gt;V145,V143&lt;-1),(V140-V145)*18%+V145*17.3%,V140*18%)</f>
        <v>0</v>
      </c>
      <c r="W146" s="489">
        <f t="shared" si="172"/>
        <v>0</v>
      </c>
      <c r="X146" s="489">
        <f t="shared" si="172"/>
        <v>0</v>
      </c>
      <c r="Y146" s="489">
        <f t="shared" si="172"/>
        <v>0</v>
      </c>
      <c r="Z146" s="489">
        <f t="shared" si="172"/>
        <v>0</v>
      </c>
      <c r="AA146" s="489">
        <f t="shared" si="172"/>
        <v>0</v>
      </c>
      <c r="AB146" s="489">
        <f t="shared" si="172"/>
        <v>0</v>
      </c>
      <c r="AC146" s="489">
        <f t="shared" si="172"/>
        <v>0</v>
      </c>
      <c r="AD146" s="489">
        <f t="shared" si="172"/>
        <v>0</v>
      </c>
      <c r="AE146" s="489">
        <f t="shared" si="172"/>
        <v>0</v>
      </c>
    </row>
    <row r="147" spans="2:31" s="3" customFormat="1">
      <c r="B147" s="22"/>
      <c r="C147" s="22"/>
      <c r="D147" s="22"/>
      <c r="E147" s="22"/>
      <c r="F147" s="484" t="s">
        <v>589</v>
      </c>
      <c r="G147" s="489">
        <f>IF(AND(G143&lt;-1,G140&lt;G145),G140*-0.7%,0)</f>
        <v>0</v>
      </c>
      <c r="H147" s="489">
        <f t="shared" ref="H147:R147" si="173">IF(AND(H143&lt;-1,H140&lt;H145),H140*-0.7%,0)</f>
        <v>0</v>
      </c>
      <c r="I147" s="489">
        <f t="shared" si="173"/>
        <v>0</v>
      </c>
      <c r="J147" s="489">
        <f t="shared" si="173"/>
        <v>0</v>
      </c>
      <c r="K147" s="489">
        <f t="shared" si="173"/>
        <v>0</v>
      </c>
      <c r="L147" s="489">
        <f t="shared" si="173"/>
        <v>0</v>
      </c>
      <c r="M147" s="489">
        <f t="shared" si="173"/>
        <v>0</v>
      </c>
      <c r="N147" s="489">
        <f t="shared" si="173"/>
        <v>0</v>
      </c>
      <c r="O147" s="489">
        <f t="shared" si="173"/>
        <v>0</v>
      </c>
      <c r="P147" s="489">
        <f t="shared" si="173"/>
        <v>0</v>
      </c>
      <c r="Q147" s="489">
        <f t="shared" si="173"/>
        <v>0</v>
      </c>
      <c r="R147" s="489">
        <f t="shared" si="173"/>
        <v>0</v>
      </c>
      <c r="S147" s="489"/>
      <c r="T147" s="934">
        <f>IF(AND(T143&lt;-1,T140&lt;T145),T140*-0.7%,0)</f>
        <v>0</v>
      </c>
      <c r="U147" s="489">
        <f>IF(AND(U143&lt;-1,U140&lt;U145),U140*-0.7%,0)</f>
        <v>0</v>
      </c>
      <c r="V147" s="489">
        <f t="shared" ref="V147:AE147" si="174">IF(AND(V143&lt;-1,V140&lt;V145),V140*-0.7%,0)</f>
        <v>0</v>
      </c>
      <c r="W147" s="489">
        <f t="shared" si="174"/>
        <v>0</v>
      </c>
      <c r="X147" s="489">
        <f t="shared" si="174"/>
        <v>0</v>
      </c>
      <c r="Y147" s="489">
        <f t="shared" si="174"/>
        <v>0</v>
      </c>
      <c r="Z147" s="489">
        <f t="shared" si="174"/>
        <v>0</v>
      </c>
      <c r="AA147" s="489">
        <f t="shared" si="174"/>
        <v>0</v>
      </c>
      <c r="AB147" s="489">
        <f t="shared" si="174"/>
        <v>0</v>
      </c>
      <c r="AC147" s="489">
        <f t="shared" si="174"/>
        <v>0</v>
      </c>
      <c r="AD147" s="489">
        <f t="shared" si="174"/>
        <v>0</v>
      </c>
      <c r="AE147" s="489">
        <f t="shared" si="174"/>
        <v>0</v>
      </c>
    </row>
    <row r="148" spans="2:31" s="3" customFormat="1">
      <c r="B148" s="22"/>
      <c r="C148" s="22"/>
      <c r="D148" s="22"/>
      <c r="E148" s="22"/>
      <c r="F148" s="484" t="s">
        <v>590</v>
      </c>
      <c r="G148" s="489">
        <f>IF(G143&lt;-1,G146-G147,G141)</f>
        <v>0</v>
      </c>
      <c r="H148" s="489">
        <f t="shared" ref="H148:R148" si="175">IF(H143&lt;-1,H146-H147,H141)</f>
        <v>0</v>
      </c>
      <c r="I148" s="489">
        <f t="shared" si="175"/>
        <v>0</v>
      </c>
      <c r="J148" s="489">
        <f t="shared" si="175"/>
        <v>0</v>
      </c>
      <c r="K148" s="489">
        <f t="shared" si="175"/>
        <v>0</v>
      </c>
      <c r="L148" s="489">
        <f t="shared" si="175"/>
        <v>0</v>
      </c>
      <c r="M148" s="489">
        <f t="shared" si="175"/>
        <v>0</v>
      </c>
      <c r="N148" s="489">
        <f t="shared" si="175"/>
        <v>0</v>
      </c>
      <c r="O148" s="489">
        <f t="shared" si="175"/>
        <v>0</v>
      </c>
      <c r="P148" s="489">
        <f t="shared" si="175"/>
        <v>0</v>
      </c>
      <c r="Q148" s="489">
        <f t="shared" si="175"/>
        <v>0</v>
      </c>
      <c r="R148" s="489">
        <f t="shared" si="175"/>
        <v>0</v>
      </c>
      <c r="S148" s="489"/>
      <c r="T148" s="934">
        <f>IF(T143&lt;-1,T146-T147,T141)</f>
        <v>0</v>
      </c>
      <c r="U148" s="489">
        <f>IF(U143&lt;-1,U146-U147,U141)</f>
        <v>0</v>
      </c>
      <c r="V148" s="489">
        <f t="shared" ref="V148" si="176">SUM(V146:V147)</f>
        <v>0</v>
      </c>
      <c r="W148" s="489">
        <f t="shared" ref="W148" si="177">IF(W143&lt;-1,W146-W147,W141)</f>
        <v>0</v>
      </c>
      <c r="X148" s="489">
        <f t="shared" ref="X148" si="178">SUM(X146:X147)</f>
        <v>0</v>
      </c>
      <c r="Y148" s="489">
        <f t="shared" ref="Y148" si="179">IF(Y143&lt;-1,Y146-Y147,Y141)</f>
        <v>0</v>
      </c>
      <c r="Z148" s="489">
        <f t="shared" ref="Z148" si="180">SUM(Z146:Z147)</f>
        <v>0</v>
      </c>
      <c r="AA148" s="489">
        <f t="shared" ref="AA148" si="181">IF(AA143&lt;-1,AA146-AA147,AA141)</f>
        <v>0</v>
      </c>
      <c r="AB148" s="489">
        <f t="shared" ref="AB148" si="182">SUM(AB146:AB147)</f>
        <v>0</v>
      </c>
      <c r="AC148" s="489">
        <f t="shared" ref="AC148" si="183">IF(AC143&lt;-1,AC146-AC147,AC141)</f>
        <v>0</v>
      </c>
      <c r="AD148" s="489">
        <f t="shared" ref="AD148" si="184">SUM(AD146:AD147)</f>
        <v>0</v>
      </c>
      <c r="AE148" s="489">
        <f t="shared" ref="AE148" si="185">IF(AE143&lt;-1,AE146-AE147,AE141)</f>
        <v>0</v>
      </c>
    </row>
    <row r="149" spans="2:31" s="3" customFormat="1" ht="17" customHeight="1">
      <c r="B149" s="22"/>
      <c r="C149" s="22"/>
      <c r="D149" s="22"/>
      <c r="E149" s="22"/>
      <c r="F149" s="3" t="s">
        <v>645</v>
      </c>
      <c r="G149" s="438" t="e">
        <f t="shared" ref="G149:R149" si="186">T124-(T124/T11*G10)</f>
        <v>#DIV/0!</v>
      </c>
      <c r="H149" s="438" t="e">
        <f t="shared" si="186"/>
        <v>#DIV/0!</v>
      </c>
      <c r="I149" s="438" t="e">
        <f t="shared" si="186"/>
        <v>#DIV/0!</v>
      </c>
      <c r="J149" s="438" t="e">
        <f t="shared" si="186"/>
        <v>#DIV/0!</v>
      </c>
      <c r="K149" s="438" t="e">
        <f t="shared" si="186"/>
        <v>#DIV/0!</v>
      </c>
      <c r="L149" s="438" t="e">
        <f t="shared" si="186"/>
        <v>#DIV/0!</v>
      </c>
      <c r="M149" s="438" t="e">
        <f t="shared" si="186"/>
        <v>#DIV/0!</v>
      </c>
      <c r="N149" s="438" t="e">
        <f t="shared" si="186"/>
        <v>#DIV/0!</v>
      </c>
      <c r="O149" s="438" t="e">
        <f t="shared" si="186"/>
        <v>#DIV/0!</v>
      </c>
      <c r="P149" s="438" t="e">
        <f t="shared" si="186"/>
        <v>#DIV/0!</v>
      </c>
      <c r="Q149" s="438" t="e">
        <f t="shared" si="186"/>
        <v>#DIV/0!</v>
      </c>
      <c r="R149" s="438" t="e">
        <f t="shared" si="186"/>
        <v>#DIV/0!</v>
      </c>
      <c r="S149" s="438"/>
      <c r="T149" s="930"/>
      <c r="U149" s="24"/>
      <c r="V149" s="24"/>
      <c r="W149" s="24"/>
      <c r="X149" s="24"/>
      <c r="Y149" s="24"/>
      <c r="Z149" s="24"/>
      <c r="AA149" s="24"/>
      <c r="AB149" s="24"/>
      <c r="AC149" s="24"/>
      <c r="AD149" s="24"/>
      <c r="AE149" s="24"/>
    </row>
    <row r="150" spans="2:31" s="3" customFormat="1" ht="2" customHeight="1">
      <c r="B150" s="22"/>
      <c r="C150" s="22"/>
      <c r="D150" s="22"/>
      <c r="E150" s="22"/>
      <c r="G150" s="24"/>
      <c r="H150" s="24"/>
      <c r="I150" s="24"/>
      <c r="J150" s="24"/>
      <c r="K150" s="24"/>
      <c r="L150" s="24"/>
      <c r="M150" s="24"/>
      <c r="N150" s="24"/>
      <c r="O150" s="24"/>
      <c r="P150" s="24"/>
      <c r="Q150" s="24"/>
      <c r="R150" s="24"/>
      <c r="S150" s="24"/>
      <c r="T150" s="930"/>
      <c r="U150" s="24"/>
      <c r="V150" s="24"/>
      <c r="W150" s="24"/>
      <c r="X150" s="24"/>
      <c r="Y150" s="24"/>
      <c r="Z150" s="24"/>
      <c r="AA150" s="24"/>
      <c r="AB150" s="24"/>
      <c r="AC150" s="24"/>
      <c r="AD150" s="24"/>
      <c r="AE150" s="24"/>
    </row>
    <row r="151" spans="2:31" s="3" customFormat="1" ht="2" customHeight="1">
      <c r="B151" s="22"/>
      <c r="C151" s="22"/>
      <c r="D151" s="22"/>
      <c r="E151" s="22"/>
      <c r="G151" s="24"/>
      <c r="H151" s="24"/>
      <c r="I151" s="24"/>
      <c r="J151" s="24"/>
      <c r="K151" s="24"/>
      <c r="L151" s="24"/>
      <c r="M151" s="24"/>
      <c r="N151" s="24"/>
      <c r="O151" s="24"/>
      <c r="P151" s="24"/>
      <c r="Q151" s="24"/>
      <c r="R151" s="24"/>
      <c r="S151" s="24"/>
      <c r="T151" s="930"/>
      <c r="U151" s="24"/>
      <c r="V151" s="24"/>
      <c r="W151" s="24"/>
      <c r="X151" s="24"/>
      <c r="Y151" s="24"/>
      <c r="Z151" s="24"/>
      <c r="AA151" s="24"/>
      <c r="AB151" s="24"/>
      <c r="AC151" s="24"/>
      <c r="AD151" s="24"/>
      <c r="AE151" s="24"/>
    </row>
    <row r="152" spans="2:31" s="3" customFormat="1" ht="2" customHeight="1">
      <c r="B152" s="22"/>
      <c r="C152" s="22"/>
      <c r="D152" s="22"/>
      <c r="E152" s="22"/>
      <c r="G152" s="24"/>
      <c r="H152" s="24"/>
      <c r="I152" s="24"/>
      <c r="J152" s="24"/>
      <c r="K152" s="24"/>
      <c r="L152" s="24"/>
      <c r="M152" s="24"/>
      <c r="N152" s="24"/>
      <c r="O152" s="24"/>
      <c r="P152" s="24"/>
      <c r="Q152" s="24"/>
      <c r="R152" s="24"/>
      <c r="S152" s="24"/>
      <c r="T152" s="930"/>
      <c r="U152" s="24"/>
      <c r="V152" s="24"/>
      <c r="W152" s="24"/>
      <c r="X152" s="24"/>
      <c r="Y152" s="24"/>
      <c r="Z152" s="24"/>
      <c r="AA152" s="24"/>
      <c r="AB152" s="24"/>
      <c r="AC152" s="24"/>
      <c r="AD152" s="24"/>
      <c r="AE152" s="24"/>
    </row>
    <row r="153" spans="2:31" s="3" customFormat="1" ht="2" customHeight="1">
      <c r="B153" s="22"/>
      <c r="C153" s="22"/>
      <c r="D153" s="22"/>
      <c r="E153" s="22"/>
      <c r="G153" s="24"/>
      <c r="H153" s="24"/>
      <c r="I153" s="24"/>
      <c r="J153" s="24"/>
      <c r="K153" s="24"/>
      <c r="L153" s="24"/>
      <c r="M153" s="24"/>
      <c r="N153" s="24"/>
      <c r="O153" s="24"/>
      <c r="P153" s="24"/>
      <c r="Q153" s="24"/>
      <c r="R153" s="24"/>
      <c r="S153" s="24"/>
      <c r="T153" s="930"/>
      <c r="U153" s="24"/>
      <c r="V153" s="24"/>
      <c r="W153" s="24"/>
      <c r="X153" s="24"/>
      <c r="Y153" s="24"/>
      <c r="Z153" s="24"/>
      <c r="AA153" s="24"/>
      <c r="AB153" s="24"/>
      <c r="AC153" s="24"/>
      <c r="AD153" s="24"/>
      <c r="AE153" s="24"/>
    </row>
    <row r="154" spans="2:31" s="3" customFormat="1" ht="2" customHeight="1">
      <c r="B154" s="22"/>
      <c r="C154" s="22"/>
      <c r="D154" s="22"/>
      <c r="E154" s="22"/>
      <c r="G154" s="24"/>
      <c r="H154" s="24"/>
      <c r="I154" s="24"/>
      <c r="J154" s="24"/>
      <c r="K154" s="24"/>
      <c r="L154" s="24"/>
      <c r="M154" s="24"/>
      <c r="N154" s="24"/>
      <c r="O154" s="24"/>
      <c r="P154" s="24"/>
      <c r="Q154" s="24"/>
      <c r="R154" s="24"/>
      <c r="S154" s="24"/>
      <c r="T154" s="930"/>
      <c r="U154" s="24"/>
      <c r="V154" s="24"/>
      <c r="W154" s="24"/>
      <c r="X154" s="24"/>
      <c r="Y154" s="24"/>
      <c r="Z154" s="24"/>
      <c r="AA154" s="24"/>
      <c r="AB154" s="24"/>
      <c r="AC154" s="24"/>
      <c r="AD154" s="24"/>
      <c r="AE154" s="24"/>
    </row>
    <row r="155" spans="2:31" s="3" customFormat="1" ht="2" customHeight="1">
      <c r="B155" s="22"/>
      <c r="C155" s="22"/>
      <c r="D155" s="22"/>
      <c r="E155" s="22"/>
      <c r="G155" s="24"/>
      <c r="H155" s="24"/>
      <c r="I155" s="24"/>
      <c r="J155" s="24"/>
      <c r="K155" s="24"/>
      <c r="L155" s="24"/>
      <c r="M155" s="24"/>
      <c r="N155" s="24"/>
      <c r="O155" s="24"/>
      <c r="P155" s="24"/>
      <c r="Q155" s="24"/>
      <c r="R155" s="24"/>
      <c r="S155" s="24"/>
      <c r="T155" s="930"/>
      <c r="U155" s="24"/>
      <c r="V155" s="24"/>
      <c r="W155" s="24"/>
      <c r="X155" s="24"/>
      <c r="Y155" s="24"/>
      <c r="Z155" s="24"/>
      <c r="AA155" s="24"/>
      <c r="AB155" s="24"/>
      <c r="AC155" s="24"/>
      <c r="AD155" s="24"/>
      <c r="AE155" s="24"/>
    </row>
    <row r="156" spans="2:31" s="3" customFormat="1" ht="2" customHeight="1">
      <c r="B156" s="22"/>
      <c r="C156" s="22"/>
      <c r="D156" s="22"/>
      <c r="E156" s="22"/>
      <c r="G156" s="24"/>
      <c r="H156" s="24"/>
      <c r="I156" s="24"/>
      <c r="J156" s="24"/>
      <c r="K156" s="24"/>
      <c r="L156" s="24"/>
      <c r="M156" s="24"/>
      <c r="N156" s="24"/>
      <c r="O156" s="24"/>
      <c r="P156" s="24"/>
      <c r="Q156" s="24"/>
      <c r="R156" s="24"/>
      <c r="S156" s="24"/>
      <c r="T156" s="930"/>
      <c r="U156" s="24"/>
      <c r="V156" s="24"/>
      <c r="W156" s="24"/>
      <c r="X156" s="24"/>
      <c r="Y156" s="24"/>
      <c r="Z156" s="24"/>
      <c r="AA156" s="24"/>
      <c r="AB156" s="24"/>
      <c r="AC156" s="24"/>
      <c r="AD156" s="24"/>
      <c r="AE156" s="24"/>
    </row>
    <row r="157" spans="2:31" s="3" customFormat="1">
      <c r="B157" s="22"/>
      <c r="C157" s="22"/>
      <c r="D157" s="22"/>
      <c r="E157" s="22"/>
      <c r="F157" s="436" t="s">
        <v>540</v>
      </c>
      <c r="G157" s="569"/>
      <c r="H157" s="569"/>
      <c r="I157" s="569"/>
      <c r="J157" s="569"/>
      <c r="K157" s="569"/>
      <c r="L157" s="569"/>
      <c r="M157" s="569"/>
      <c r="N157" s="569"/>
      <c r="O157" s="569"/>
      <c r="P157" s="440" t="str">
        <f>"1,5% * "&amp;TEXT($A117+SUM($G117:$K117),"#.000,00")&amp;" (feriegodtgørelsesgrundlag for "&amp;LEFT($A$1,4)+1&amp;")"</f>
        <v>1,5% * 000,00 (feriegodtgørelsesgrundlag for 2025)</v>
      </c>
      <c r="Q157" s="440" t="str">
        <f>"1,5% * "&amp;TEXT($A117+SUM($G117:$K117),"#.000,00")&amp;" (feriegodtgørelsesgrundlag for "&amp;LEFT($A$1,4)+1&amp;")"</f>
        <v>1,5% * 000,00 (feriegodtgørelsesgrundlag for 2025)</v>
      </c>
      <c r="R157" s="440" t="str">
        <f>"1,5% * "&amp;TEXT($A117+SUM($G117:$K117),"#.000,00")&amp;" (feriegodtgørelsesgrundlag for "&amp;LEFT($A$1,4)+1&amp;")"</f>
        <v>1,5% * 000,00 (feriegodtgørelsesgrundlag for 2025)</v>
      </c>
      <c r="S157" s="440"/>
      <c r="T157" s="930"/>
      <c r="U157" s="569"/>
      <c r="V157" s="569"/>
      <c r="W157" s="569"/>
      <c r="X157" s="569"/>
      <c r="Y157" s="569"/>
      <c r="Z157" s="569"/>
      <c r="AA157" s="569"/>
      <c r="AB157" s="569"/>
      <c r="AC157" s="440" t="str">
        <f>"1,5% * "&amp;TEXT($A117+SUM($G117:$K117),"#.000,00")&amp;" (feriegodtgørelsesgrundlag for "&amp;LEFT($A$1,4)+1&amp;")"</f>
        <v>1,5% * 000,00 (feriegodtgørelsesgrundlag for 2025)</v>
      </c>
      <c r="AD157" s="440" t="str">
        <f>"1,5% * "&amp;TEXT($A117+SUM($G117:$K117),"#.000,00")&amp;" (feriegodtgørelsesgrundlag for "&amp;LEFT($A$1,4)+1&amp;")"</f>
        <v>1,5% * 000,00 (feriegodtgørelsesgrundlag for 2025)</v>
      </c>
      <c r="AE157" s="440" t="str">
        <f>"1,5% * "&amp;TEXT($A117+SUM($G117:$K117),"#.000,00")&amp;" (feriegodtgørelsesgrundlag for "&amp;LEFT($A$1,4)+1&amp;")"</f>
        <v>1,5% * 000,00 (feriegodtgørelsesgrundlag for 2025)</v>
      </c>
    </row>
    <row r="158" spans="2:31" s="3" customFormat="1" ht="2" customHeight="1">
      <c r="B158" s="22"/>
      <c r="C158" s="22"/>
      <c r="D158" s="22"/>
      <c r="E158" s="22"/>
      <c r="G158" s="24"/>
      <c r="H158" s="24"/>
      <c r="I158" s="24"/>
      <c r="J158" s="24"/>
      <c r="K158" s="24"/>
      <c r="L158" s="24"/>
      <c r="M158" s="24"/>
      <c r="N158" s="24"/>
      <c r="O158" s="24"/>
      <c r="P158" s="24"/>
      <c r="Q158" s="24"/>
      <c r="R158" s="24"/>
      <c r="S158" s="24"/>
      <c r="T158" s="930"/>
      <c r="U158" s="24"/>
      <c r="V158" s="24"/>
      <c r="W158" s="24"/>
      <c r="X158" s="24"/>
      <c r="Y158" s="24"/>
      <c r="Z158" s="24"/>
      <c r="AA158" s="24"/>
      <c r="AB158" s="24"/>
      <c r="AC158" s="24"/>
      <c r="AD158" s="24"/>
      <c r="AE158" s="24"/>
    </row>
    <row r="159" spans="2:31" s="3" customFormat="1" ht="2" customHeight="1">
      <c r="B159" s="22"/>
      <c r="C159" s="22"/>
      <c r="D159" s="22"/>
      <c r="E159" s="22"/>
      <c r="G159" s="24"/>
      <c r="H159" s="24"/>
      <c r="I159" s="24"/>
      <c r="J159" s="24"/>
      <c r="K159" s="24"/>
      <c r="L159" s="24"/>
      <c r="M159" s="24"/>
      <c r="N159" s="24"/>
      <c r="O159" s="24"/>
      <c r="P159" s="24"/>
      <c r="Q159" s="24"/>
      <c r="R159" s="24"/>
      <c r="S159" s="24"/>
      <c r="T159" s="930"/>
      <c r="U159" s="24"/>
      <c r="V159" s="24"/>
      <c r="W159" s="24"/>
      <c r="X159" s="24"/>
      <c r="Y159" s="24"/>
      <c r="Z159" s="24"/>
      <c r="AA159" s="24"/>
      <c r="AB159" s="24"/>
      <c r="AC159" s="24"/>
      <c r="AD159" s="24"/>
      <c r="AE159" s="24"/>
    </row>
    <row r="160" spans="2:31" s="3" customFormat="1">
      <c r="B160" s="22"/>
      <c r="C160" s="22"/>
      <c r="D160" s="22"/>
      <c r="E160" s="22"/>
      <c r="G160" s="24"/>
      <c r="H160" s="24"/>
      <c r="I160" s="24"/>
      <c r="J160" s="24"/>
      <c r="K160" s="24"/>
      <c r="L160" s="24"/>
      <c r="M160" s="24"/>
      <c r="N160" s="24"/>
      <c r="O160" s="24"/>
      <c r="P160" s="24"/>
      <c r="Q160" s="24"/>
      <c r="R160" s="24"/>
      <c r="S160" s="24"/>
      <c r="T160" s="930"/>
      <c r="U160" s="24"/>
      <c r="V160" s="24"/>
      <c r="W160" s="24"/>
      <c r="X160" s="24"/>
      <c r="Y160" s="24"/>
      <c r="Z160" s="24"/>
      <c r="AA160" s="24"/>
      <c r="AB160" s="24"/>
      <c r="AC160" s="24"/>
      <c r="AD160" s="24"/>
      <c r="AE160" s="24"/>
    </row>
    <row r="161" spans="1:33" s="3" customFormat="1" ht="1" customHeight="1">
      <c r="B161" s="22"/>
      <c r="C161" s="22"/>
      <c r="D161" s="22"/>
      <c r="E161" s="22"/>
      <c r="G161" s="24"/>
      <c r="H161" s="24"/>
      <c r="I161" s="24"/>
      <c r="J161" s="24"/>
      <c r="K161" s="24"/>
      <c r="L161" s="24"/>
      <c r="M161" s="24"/>
      <c r="N161" s="24"/>
      <c r="O161" s="24"/>
      <c r="P161" s="24"/>
      <c r="Q161" s="24"/>
      <c r="R161" s="24"/>
      <c r="S161" s="24"/>
      <c r="T161" s="930"/>
      <c r="U161" s="24"/>
      <c r="V161" s="24"/>
      <c r="W161" s="24"/>
      <c r="X161" s="24"/>
      <c r="Y161" s="24"/>
      <c r="Z161" s="24"/>
      <c r="AA161" s="24"/>
      <c r="AB161" s="24"/>
      <c r="AC161" s="24"/>
      <c r="AD161" s="24"/>
      <c r="AE161" s="24"/>
    </row>
    <row r="162" spans="1:33" s="3" customFormat="1">
      <c r="A162" s="436" t="s">
        <v>553</v>
      </c>
      <c r="B162" s="439"/>
      <c r="C162" s="439"/>
      <c r="D162" s="439"/>
      <c r="E162" s="439"/>
      <c r="F162" s="436"/>
      <c r="G162" s="440" t="str">
        <f>"lin. 1 - lin.16"</f>
        <v>lin. 1 - lin.16</v>
      </c>
      <c r="H162" s="440" t="str">
        <f t="shared" ref="H162:R162" si="187">"lin. 1, lin.2"&amp;IF($D57&gt;0,", lin.5","")&amp;IF($D58&gt;0,", lin.6","")&amp;IF($D59&gt;0,", lin.7","")&amp;IF($D60&gt;0,", lin.8","")&amp;IF($D61&gt;0,", lin.9","")&amp;IF($D62&gt;0,", lin.10","")&amp;", lin. 11 - lin. 15"&amp;IF($D68&gt;0,", lin.16","")</f>
        <v>lin. 1, lin.2, lin.8, lin.9, lin.10, lin. 11 - lin. 15</v>
      </c>
      <c r="I162" s="440" t="str">
        <f t="shared" si="187"/>
        <v>lin. 1, lin.2, lin.8, lin.9, lin.10, lin. 11 - lin. 15</v>
      </c>
      <c r="J162" s="440" t="str">
        <f t="shared" si="187"/>
        <v>lin. 1, lin.2, lin.8, lin.9, lin.10, lin. 11 - lin. 15</v>
      </c>
      <c r="K162" s="440" t="str">
        <f t="shared" si="187"/>
        <v>lin. 1, lin.2, lin.8, lin.9, lin.10, lin. 11 - lin. 15</v>
      </c>
      <c r="L162" s="440" t="str">
        <f t="shared" si="187"/>
        <v>lin. 1, lin.2, lin.8, lin.9, lin.10, lin. 11 - lin. 15</v>
      </c>
      <c r="M162" s="440" t="str">
        <f t="shared" si="187"/>
        <v>lin. 1, lin.2, lin.8, lin.9, lin.10, lin. 11 - lin. 15</v>
      </c>
      <c r="N162" s="440" t="str">
        <f t="shared" si="187"/>
        <v>lin. 1, lin.2, lin.8, lin.9, lin.10, lin. 11 - lin. 15</v>
      </c>
      <c r="O162" s="440" t="str">
        <f t="shared" si="187"/>
        <v>lin. 1, lin.2, lin.8, lin.9, lin.10, lin. 11 - lin. 15</v>
      </c>
      <c r="P162" s="440" t="str">
        <f t="shared" si="187"/>
        <v>lin. 1, lin.2, lin.8, lin.9, lin.10, lin. 11 - lin. 15</v>
      </c>
      <c r="Q162" s="440" t="str">
        <f t="shared" si="187"/>
        <v>lin. 1, lin.2, lin.8, lin.9, lin.10, lin. 11 - lin. 15</v>
      </c>
      <c r="R162" s="440" t="str">
        <f t="shared" si="187"/>
        <v>lin. 1, lin.2, lin.8, lin.9, lin.10, lin. 11 - lin. 15</v>
      </c>
      <c r="S162" s="440"/>
      <c r="T162" s="935" t="str">
        <f>"lin. 1 - lin.16"</f>
        <v>lin. 1 - lin.16</v>
      </c>
      <c r="U162" s="440" t="str">
        <f t="shared" ref="U162:AE162" si="188">"lin. 1, lin.2"&amp;IF($D57&gt;0,", lin.5","")&amp;IF($D58&gt;0,", lin.6","")&amp;IF($D59&gt;0,", lin.7","")&amp;IF($D60&gt;0,", lin.8","")&amp;IF($D61&gt;0,", lin.9","")&amp;IF($D62&gt;0,", lin.10","")&amp;", lin. 11 - lin. 15"&amp;IF($D68&gt;0,", lin.16","")</f>
        <v>lin. 1, lin.2, lin.8, lin.9, lin.10, lin. 11 - lin. 15</v>
      </c>
      <c r="V162" s="440" t="str">
        <f t="shared" si="188"/>
        <v>lin. 1, lin.2, lin.8, lin.9, lin.10, lin. 11 - lin. 15</v>
      </c>
      <c r="W162" s="440" t="str">
        <f t="shared" si="188"/>
        <v>lin. 1, lin.2, lin.8, lin.9, lin.10, lin. 11 - lin. 15</v>
      </c>
      <c r="X162" s="440" t="str">
        <f t="shared" si="188"/>
        <v>lin. 1, lin.2, lin.8, lin.9, lin.10, lin. 11 - lin. 15</v>
      </c>
      <c r="Y162" s="440" t="str">
        <f t="shared" si="188"/>
        <v>lin. 1, lin.2, lin.8, lin.9, lin.10, lin. 11 - lin. 15</v>
      </c>
      <c r="Z162" s="440" t="str">
        <f t="shared" si="188"/>
        <v>lin. 1, lin.2, lin.8, lin.9, lin.10, lin. 11 - lin. 15</v>
      </c>
      <c r="AA162" s="440" t="str">
        <f t="shared" si="188"/>
        <v>lin. 1, lin.2, lin.8, lin.9, lin.10, lin. 11 - lin. 15</v>
      </c>
      <c r="AB162" s="440" t="str">
        <f t="shared" si="188"/>
        <v>lin. 1, lin.2, lin.8, lin.9, lin.10, lin. 11 - lin. 15</v>
      </c>
      <c r="AC162" s="440" t="str">
        <f t="shared" si="188"/>
        <v>lin. 1, lin.2, lin.8, lin.9, lin.10, lin. 11 - lin. 15</v>
      </c>
      <c r="AD162" s="440" t="str">
        <f t="shared" si="188"/>
        <v>lin. 1, lin.2, lin.8, lin.9, lin.10, lin. 11 - lin. 15</v>
      </c>
      <c r="AE162" s="440" t="str">
        <f t="shared" si="188"/>
        <v>lin. 1, lin.2, lin.8, lin.9, lin.10, lin. 11 - lin. 15</v>
      </c>
      <c r="AF162" s="436"/>
      <c r="AG162" s="436"/>
    </row>
    <row r="163" spans="1:33" s="3" customFormat="1">
      <c r="A163" s="436" t="s">
        <v>414</v>
      </c>
      <c r="B163" s="439"/>
      <c r="C163" s="439"/>
      <c r="D163" s="439"/>
      <c r="E163" s="439"/>
      <c r="F163" s="436"/>
      <c r="G163" s="441">
        <f t="shared" ref="G163:R164" si="189">ROUND(G129/160.33,2)</f>
        <v>0</v>
      </c>
      <c r="H163" s="441">
        <f t="shared" si="189"/>
        <v>0</v>
      </c>
      <c r="I163" s="441">
        <f t="shared" si="189"/>
        <v>0</v>
      </c>
      <c r="J163" s="441">
        <f t="shared" si="189"/>
        <v>0</v>
      </c>
      <c r="K163" s="441">
        <f t="shared" si="189"/>
        <v>0</v>
      </c>
      <c r="L163" s="441">
        <f t="shared" si="189"/>
        <v>0</v>
      </c>
      <c r="M163" s="441">
        <f t="shared" si="189"/>
        <v>0</v>
      </c>
      <c r="N163" s="441">
        <f t="shared" si="189"/>
        <v>0</v>
      </c>
      <c r="O163" s="441">
        <f t="shared" si="189"/>
        <v>0</v>
      </c>
      <c r="P163" s="441">
        <f t="shared" si="189"/>
        <v>0</v>
      </c>
      <c r="Q163" s="441">
        <f t="shared" si="189"/>
        <v>0</v>
      </c>
      <c r="R163" s="441">
        <f t="shared" si="189"/>
        <v>0</v>
      </c>
      <c r="S163" s="441"/>
      <c r="T163" s="936">
        <f t="shared" ref="T163:AE164" si="190">ROUND(T129/160.33,2)</f>
        <v>0</v>
      </c>
      <c r="U163" s="441">
        <f t="shared" si="190"/>
        <v>0</v>
      </c>
      <c r="V163" s="441">
        <f t="shared" si="190"/>
        <v>0</v>
      </c>
      <c r="W163" s="441">
        <f t="shared" si="190"/>
        <v>0</v>
      </c>
      <c r="X163" s="441">
        <f t="shared" si="190"/>
        <v>0</v>
      </c>
      <c r="Y163" s="441">
        <f t="shared" si="190"/>
        <v>0</v>
      </c>
      <c r="Z163" s="441">
        <f t="shared" si="190"/>
        <v>0</v>
      </c>
      <c r="AA163" s="441">
        <f t="shared" si="190"/>
        <v>0</v>
      </c>
      <c r="AB163" s="441">
        <f t="shared" si="190"/>
        <v>0</v>
      </c>
      <c r="AC163" s="441">
        <f t="shared" si="190"/>
        <v>0</v>
      </c>
      <c r="AD163" s="441">
        <f t="shared" si="190"/>
        <v>0</v>
      </c>
      <c r="AE163" s="441">
        <f t="shared" si="190"/>
        <v>0</v>
      </c>
      <c r="AF163" s="436"/>
      <c r="AG163" s="436"/>
    </row>
    <row r="164" spans="1:33" s="3" customFormat="1">
      <c r="A164" s="436" t="s">
        <v>415</v>
      </c>
      <c r="B164" s="439"/>
      <c r="C164" s="439"/>
      <c r="D164" s="439"/>
      <c r="E164" s="439"/>
      <c r="F164" s="436"/>
      <c r="G164" s="441">
        <f t="shared" si="189"/>
        <v>0</v>
      </c>
      <c r="H164" s="441">
        <f t="shared" si="189"/>
        <v>0</v>
      </c>
      <c r="I164" s="441">
        <f t="shared" si="189"/>
        <v>0</v>
      </c>
      <c r="J164" s="441">
        <f t="shared" si="189"/>
        <v>0</v>
      </c>
      <c r="K164" s="441">
        <f t="shared" si="189"/>
        <v>0</v>
      </c>
      <c r="L164" s="441">
        <f t="shared" si="189"/>
        <v>0</v>
      </c>
      <c r="M164" s="441">
        <f t="shared" si="189"/>
        <v>0</v>
      </c>
      <c r="N164" s="441">
        <f t="shared" si="189"/>
        <v>0</v>
      </c>
      <c r="O164" s="441">
        <f t="shared" si="189"/>
        <v>0</v>
      </c>
      <c r="P164" s="441">
        <f t="shared" si="189"/>
        <v>0</v>
      </c>
      <c r="Q164" s="441">
        <f t="shared" si="189"/>
        <v>0</v>
      </c>
      <c r="R164" s="441">
        <f t="shared" si="189"/>
        <v>0</v>
      </c>
      <c r="S164" s="441"/>
      <c r="T164" s="936">
        <f t="shared" si="190"/>
        <v>0</v>
      </c>
      <c r="U164" s="441">
        <f t="shared" si="190"/>
        <v>0</v>
      </c>
      <c r="V164" s="441">
        <f t="shared" si="190"/>
        <v>0</v>
      </c>
      <c r="W164" s="441">
        <f t="shared" si="190"/>
        <v>0</v>
      </c>
      <c r="X164" s="441">
        <f t="shared" si="190"/>
        <v>0</v>
      </c>
      <c r="Y164" s="441">
        <f t="shared" si="190"/>
        <v>0</v>
      </c>
      <c r="Z164" s="441">
        <f t="shared" si="190"/>
        <v>0</v>
      </c>
      <c r="AA164" s="441">
        <f t="shared" si="190"/>
        <v>0</v>
      </c>
      <c r="AB164" s="441">
        <f t="shared" si="190"/>
        <v>0</v>
      </c>
      <c r="AC164" s="441">
        <f t="shared" si="190"/>
        <v>0</v>
      </c>
      <c r="AD164" s="441">
        <f t="shared" si="190"/>
        <v>0</v>
      </c>
      <c r="AE164" s="441">
        <f t="shared" si="190"/>
        <v>0</v>
      </c>
      <c r="AF164" s="436"/>
      <c r="AG164" s="436"/>
    </row>
    <row r="165" spans="1:33" s="3" customFormat="1">
      <c r="A165" s="436" t="s">
        <v>488</v>
      </c>
      <c r="B165" s="439"/>
      <c r="C165" s="439"/>
      <c r="D165" s="439"/>
      <c r="E165" s="439"/>
      <c r="F165" s="436"/>
      <c r="G165" s="440" t="str">
        <f t="shared" ref="G165:AE165" si="191">"= ("&amp;TEXT(16.38*G$6,"#0,00")&amp;" * "&amp;MIN(650,G$12)&amp;" + "&amp;TEXT(98.3*G$6,"#0,00")&amp;" * "&amp;MAX(0,MIN(50,G$12-650))&amp;" + "&amp;TEXT(131.07*G$6,"#0,00")&amp;" * "&amp;MAX(0,MIN(50,G$12-700))&amp;" + "&amp;TEXT(163.83*G$6,"#0,00")&amp;" * "&amp;MAX(0,G$12-750)&amp;") / 12 * "&amp;TEXT(G$3,"#0/#0")&amp;" ="</f>
        <v>= (20,20 * 650 + 121,21 * 0 + 161,62 * 0 + 202,02 * 0) / 12 * 1/1 =</v>
      </c>
      <c r="H165" s="440" t="str">
        <f t="shared" si="191"/>
        <v>= (20,20 * 0 + 121,21 * 0 + 161,62 * 0 + 202,02 * 0) / 12 * 1/1 =</v>
      </c>
      <c r="I165" s="440" t="str">
        <f t="shared" si="191"/>
        <v>= (20,20 * 0 + 121,21 * 0 + 161,62 * 0 + 202,02 * 0) / 12 * 1/1 =</v>
      </c>
      <c r="J165" s="440" t="str">
        <f t="shared" si="191"/>
        <v>= (0,00 * 0 + 0,00 * 0 + 0,00 * 0 + 0,00 * 0) / 12 * 1/1 =</v>
      </c>
      <c r="K165" s="440" t="str">
        <f t="shared" si="191"/>
        <v>= (0,00 * 0 + 0,00 * 0 + 0,00 * 0 + 0,00 * 0) / 12 * 1/1 =</v>
      </c>
      <c r="L165" s="440" t="str">
        <f t="shared" si="191"/>
        <v>= (0,00 * 0 + 0,00 * 0 + 0,00 * 0 + 0,00 * 0) / 12 * 1/1 =</v>
      </c>
      <c r="M165" s="440" t="str">
        <f t="shared" si="191"/>
        <v>= (0,00 * 0 + 0,00 * 0 + 0,00 * 0 + 0,00 * 0) / 12 * 1/1 =</v>
      </c>
      <c r="N165" s="440" t="str">
        <f t="shared" si="191"/>
        <v>= (0,00 * 0 + 0,00 * 0 + 0,00 * 0 + 0,00 * 0) / 12 * 1/1 =</v>
      </c>
      <c r="O165" s="440" t="str">
        <f t="shared" si="191"/>
        <v>= (0,00 * 0 + 0,00 * 0 + 0,00 * 0 + 0,00 * 0) / 12 * 1/1 =</v>
      </c>
      <c r="P165" s="440" t="str">
        <f t="shared" si="191"/>
        <v>= (0,00 * 0 + 0,00 * 0 + 0,00 * 0 + 0,00 * 0) / 12 * 1/1 =</v>
      </c>
      <c r="Q165" s="440" t="str">
        <f t="shared" si="191"/>
        <v>= (0,00 * 0 + 0,00 * 0 + 0,00 * 0 + 0,00 * 0) / 12 * 1/1 =</v>
      </c>
      <c r="R165" s="440" t="str">
        <f t="shared" si="191"/>
        <v>= (0,00 * 0 + 0,00 * 0 + 0,00 * 0 + 0,00 * 0) / 12 * 1/1 =</v>
      </c>
      <c r="S165" s="440"/>
      <c r="T165" s="935" t="str">
        <f t="shared" si="191"/>
        <v>= (20,20 * 0 + 121,21 * 0 + 161,62 * 0 + 202,02 * 0) / 12 * 1/1 =</v>
      </c>
      <c r="U165" s="440" t="str">
        <f t="shared" si="191"/>
        <v>= (20,20 * 0 + 121,21 * 0 + 161,62 * 0 + 202,02 * 0) / 12 * 1/1 =</v>
      </c>
      <c r="V165" s="440" t="str">
        <f t="shared" si="191"/>
        <v>= (20,20 * 0 + 121,21 * 0 + 161,62 * 0 + 202,02 * 0) / 12 * 1/1 =</v>
      </c>
      <c r="W165" s="440" t="str">
        <f t="shared" si="191"/>
        <v>= (0,00 * 0 + 0,00 * 0 + 0,00 * 0 + 0,00 * 0) / 12 * 1/1 =</v>
      </c>
      <c r="X165" s="440" t="str">
        <f t="shared" si="191"/>
        <v>= (0,00 * 0 + 0,00 * 0 + 0,00 * 0 + 0,00 * 0) / 12 * 1/1 =</v>
      </c>
      <c r="Y165" s="440" t="str">
        <f t="shared" si="191"/>
        <v>= (0,00 * 0 + 0,00 * 0 + 0,00 * 0 + 0,00 * 0) / 12 * 1/1 =</v>
      </c>
      <c r="Z165" s="440" t="str">
        <f t="shared" si="191"/>
        <v>= (0,00 * 0 + 0,00 * 0 + 0,00 * 0 + 0,00 * 0) / 12 * 1/1 =</v>
      </c>
      <c r="AA165" s="440" t="str">
        <f t="shared" si="191"/>
        <v>= (0,00 * 0 + 0,00 * 0 + 0,00 * 0 + 0,00 * 0) / 12 * 1/1 =</v>
      </c>
      <c r="AB165" s="440" t="str">
        <f t="shared" si="191"/>
        <v>= (0,00 * 0 + 0,00 * 0 + 0,00 * 0 + 0,00 * 0) / 12 * 1/1 =</v>
      </c>
      <c r="AC165" s="440" t="str">
        <f t="shared" si="191"/>
        <v>= (0,00 * 0 + 0,00 * 0 + 0,00 * 0 + 0,00 * 0) / 12 * 1/1 =</v>
      </c>
      <c r="AD165" s="440" t="str">
        <f t="shared" si="191"/>
        <v>= (0,00 * 0 + 0,00 * 0 + 0,00 * 0 + 0,00 * 0) / 12 * 1/1 =</v>
      </c>
      <c r="AE165" s="440" t="str">
        <f t="shared" si="191"/>
        <v>= (0,00 * 0 + 0,00 * 0 + 0,00 * 0 + 0,00 * 0) / 12 * 1/1 =</v>
      </c>
      <c r="AF165" s="436"/>
      <c r="AG165" s="436"/>
    </row>
    <row r="166" spans="1:33" s="3" customFormat="1">
      <c r="A166" s="436" t="s">
        <v>489</v>
      </c>
      <c r="B166" s="439"/>
      <c r="C166" s="439"/>
      <c r="D166" s="439"/>
      <c r="E166" s="439"/>
      <c r="F166" s="436"/>
      <c r="G166" s="440" t="str">
        <f t="shared" ref="G166:AE166" si="192">"= ("&amp;TEXT(22.41*G$6,"#0,00")&amp;" * "&amp;MIN(750,G$12)&amp;" + "&amp;TEXT(55.63*G$6,"#0,00")&amp;" * "&amp;MAX(0,MIN(50,G$12-750))&amp;" + "&amp;TEXT(131.07*G$6,"#0,00")&amp;" * "&amp;MAX(0,MIN(50,G$12-800))&amp;" + "&amp;TEXT(163.83*G$6,"#0,00")&amp;" * "&amp;MAX(0,G$12-835)&amp;") / 12 * "&amp;TEXT(G$3,"#0/#0")&amp;" ="</f>
        <v>= (27,63 * 750 + 68,60 * 0 + 161,62 * 0 + 202,02 * 0) / 12 * 1/1 =</v>
      </c>
      <c r="H166" s="440" t="str">
        <f t="shared" si="192"/>
        <v>= (27,63 * 0 + 68,60 * 0 + 161,62 * 0 + 202,02 * 0) / 12 * 1/1 =</v>
      </c>
      <c r="I166" s="440" t="str">
        <f t="shared" si="192"/>
        <v>= (27,63 * 0 + 68,60 * 0 + 161,62 * 0 + 202,02 * 0) / 12 * 1/1 =</v>
      </c>
      <c r="J166" s="440" t="str">
        <f t="shared" si="192"/>
        <v>= (0,00 * 0 + 0,00 * 0 + 0,00 * 0 + 0,00 * 0) / 12 * 1/1 =</v>
      </c>
      <c r="K166" s="440" t="str">
        <f t="shared" si="192"/>
        <v>= (0,00 * 0 + 0,00 * 0 + 0,00 * 0 + 0,00 * 0) / 12 * 1/1 =</v>
      </c>
      <c r="L166" s="440" t="str">
        <f t="shared" si="192"/>
        <v>= (0,00 * 0 + 0,00 * 0 + 0,00 * 0 + 0,00 * 0) / 12 * 1/1 =</v>
      </c>
      <c r="M166" s="440" t="str">
        <f t="shared" si="192"/>
        <v>= (0,00 * 0 + 0,00 * 0 + 0,00 * 0 + 0,00 * 0) / 12 * 1/1 =</v>
      </c>
      <c r="N166" s="440" t="str">
        <f t="shared" si="192"/>
        <v>= (0,00 * 0 + 0,00 * 0 + 0,00 * 0 + 0,00 * 0) / 12 * 1/1 =</v>
      </c>
      <c r="O166" s="440" t="str">
        <f t="shared" si="192"/>
        <v>= (0,00 * 0 + 0,00 * 0 + 0,00 * 0 + 0,00 * 0) / 12 * 1/1 =</v>
      </c>
      <c r="P166" s="440" t="str">
        <f t="shared" si="192"/>
        <v>= (0,00 * 0 + 0,00 * 0 + 0,00 * 0 + 0,00 * 0) / 12 * 1/1 =</v>
      </c>
      <c r="Q166" s="440" t="str">
        <f t="shared" si="192"/>
        <v>= (0,00 * 0 + 0,00 * 0 + 0,00 * 0 + 0,00 * 0) / 12 * 1/1 =</v>
      </c>
      <c r="R166" s="440" t="str">
        <f t="shared" si="192"/>
        <v>= (0,00 * 0 + 0,00 * 0 + 0,00 * 0 + 0,00 * 0) / 12 * 1/1 =</v>
      </c>
      <c r="S166" s="440"/>
      <c r="T166" s="935" t="str">
        <f t="shared" si="192"/>
        <v>= (27,63 * 0 + 68,60 * 0 + 161,62 * 0 + 202,02 * 0) / 12 * 1/1 =</v>
      </c>
      <c r="U166" s="440" t="str">
        <f t="shared" si="192"/>
        <v>= (27,63 * 0 + 68,60 * 0 + 161,62 * 0 + 202,02 * 0) / 12 * 1/1 =</v>
      </c>
      <c r="V166" s="440" t="str">
        <f t="shared" si="192"/>
        <v>= (27,63 * 0 + 68,60 * 0 + 161,62 * 0 + 202,02 * 0) / 12 * 1/1 =</v>
      </c>
      <c r="W166" s="440" t="str">
        <f t="shared" si="192"/>
        <v>= (0,00 * 0 + 0,00 * 0 + 0,00 * 0 + 0,00 * 0) / 12 * 1/1 =</v>
      </c>
      <c r="X166" s="440" t="str">
        <f t="shared" si="192"/>
        <v>= (0,00 * 0 + 0,00 * 0 + 0,00 * 0 + 0,00 * 0) / 12 * 1/1 =</v>
      </c>
      <c r="Y166" s="440" t="str">
        <f t="shared" si="192"/>
        <v>= (0,00 * 0 + 0,00 * 0 + 0,00 * 0 + 0,00 * 0) / 12 * 1/1 =</v>
      </c>
      <c r="Z166" s="440" t="str">
        <f t="shared" si="192"/>
        <v>= (0,00 * 0 + 0,00 * 0 + 0,00 * 0 + 0,00 * 0) / 12 * 1/1 =</v>
      </c>
      <c r="AA166" s="440" t="str">
        <f t="shared" si="192"/>
        <v>= (0,00 * 0 + 0,00 * 0 + 0,00 * 0 + 0,00 * 0) / 12 * 1/1 =</v>
      </c>
      <c r="AB166" s="440" t="str">
        <f t="shared" si="192"/>
        <v>= (0,00 * 0 + 0,00 * 0 + 0,00 * 0 + 0,00 * 0) / 12 * 1/1 =</v>
      </c>
      <c r="AC166" s="440" t="str">
        <f t="shared" si="192"/>
        <v>= (0,00 * 0 + 0,00 * 0 + 0,00 * 0 + 0,00 * 0) / 12 * 1/1 =</v>
      </c>
      <c r="AD166" s="440" t="str">
        <f t="shared" si="192"/>
        <v>= (0,00 * 0 + 0,00 * 0 + 0,00 * 0 + 0,00 * 0) / 12 * 1/1 =</v>
      </c>
      <c r="AE166" s="440" t="str">
        <f t="shared" si="192"/>
        <v>= (0,00 * 0 + 0,00 * 0 + 0,00 * 0 + 0,00 * 0) / 12 * 1/1 =</v>
      </c>
      <c r="AF166" s="436"/>
      <c r="AG166" s="436"/>
    </row>
    <row r="167" spans="1:33" s="3" customFormat="1">
      <c r="A167" s="436"/>
      <c r="B167" s="342">
        <v>1</v>
      </c>
      <c r="C167" s="439"/>
      <c r="D167" s="439">
        <v>50</v>
      </c>
      <c r="E167" s="439"/>
      <c r="F167" s="442" t="s">
        <v>85</v>
      </c>
      <c r="G167" s="440" t="str">
        <f t="shared" ref="G167:T167" si="193">"= "&amp;TEXT(VLOOKUP(G$4,basistabel12,2,0)*G$6/12,"#.000,00")&amp;" * "&amp;TEXT(G$10,"0,0000")&amp;" * "&amp;TEXT(G$3,"#0/#0")&amp;" ="</f>
        <v>= 28.740,88 * 0,0000 * 1/1 =</v>
      </c>
      <c r="H167" s="440" t="str">
        <f t="shared" si="193"/>
        <v>= 28.740,88 * 0,0000 * 1/1 =</v>
      </c>
      <c r="I167" s="440" t="str">
        <f t="shared" si="193"/>
        <v>= 28.740,88 * 0,0000 * 1/1 =</v>
      </c>
      <c r="J167" s="440" t="str">
        <f t="shared" si="193"/>
        <v>= 000,00 * 0,0000 * 1/1 =</v>
      </c>
      <c r="K167" s="440" t="str">
        <f t="shared" si="193"/>
        <v>= 000,00 * 0,0000 * 1/1 =</v>
      </c>
      <c r="L167" s="440" t="str">
        <f t="shared" si="193"/>
        <v>= 000,00 * 0,0000 * 1/1 =</v>
      </c>
      <c r="M167" s="440" t="str">
        <f t="shared" si="193"/>
        <v>= 000,00 * 0,0000 * 1/1 =</v>
      </c>
      <c r="N167" s="440" t="str">
        <f t="shared" si="193"/>
        <v>= 000,00 * 0,0000 * 1/1 =</v>
      </c>
      <c r="O167" s="440" t="str">
        <f t="shared" si="193"/>
        <v>= 000,00 * 0,0000 * 1/1 =</v>
      </c>
      <c r="P167" s="440" t="str">
        <f t="shared" si="193"/>
        <v>= 000,00 * 0,0000 * 1/1 =</v>
      </c>
      <c r="Q167" s="440" t="str">
        <f t="shared" si="193"/>
        <v>= 000,00 * 0,0000 * 1/1 =</v>
      </c>
      <c r="R167" s="440" t="str">
        <f t="shared" si="193"/>
        <v>= 000,00 * 0,0000 * 1/1 =</v>
      </c>
      <c r="S167" s="440" t="e">
        <f t="shared" si="193"/>
        <v>#N/A</v>
      </c>
      <c r="T167" s="935" t="str">
        <f t="shared" si="193"/>
        <v>= 28.740,88 * 0,0000 * 1/1 =</v>
      </c>
      <c r="U167" s="440" t="str">
        <f t="shared" ref="U167:AE167" si="194">"= "&amp;TEXT(VLOOKUP(U4,basistabel12,2,0)*U6/12,"#.000,00")&amp;" * "&amp;TEXT(U10,"0,0000")&amp;" * "&amp;TEXT(U3,"#0/#0")&amp;" ="</f>
        <v>= 28.740,88 * 0,0000 * 1/1 =</v>
      </c>
      <c r="V167" s="440" t="str">
        <f t="shared" si="194"/>
        <v>= 28.740,88 * 0,0000 * 1/1 =</v>
      </c>
      <c r="W167" s="440" t="str">
        <f t="shared" si="194"/>
        <v>= 000,00 * 0,0000 * 1/1 =</v>
      </c>
      <c r="X167" s="440" t="str">
        <f t="shared" si="194"/>
        <v>= 000,00 * 0,0000 * 1/1 =</v>
      </c>
      <c r="Y167" s="440" t="str">
        <f t="shared" si="194"/>
        <v>= 000,00 * 0,0000 * 1/1 =</v>
      </c>
      <c r="Z167" s="440" t="str">
        <f t="shared" si="194"/>
        <v>= 000,00 * 0,0000 * 1/1 =</v>
      </c>
      <c r="AA167" s="440" t="str">
        <f t="shared" si="194"/>
        <v>= 000,00 * 0,0000 * 1/1 =</v>
      </c>
      <c r="AB167" s="440" t="str">
        <f t="shared" si="194"/>
        <v>= 000,00 * 0,0000 * 1/1 =</v>
      </c>
      <c r="AC167" s="440" t="str">
        <f t="shared" si="194"/>
        <v>= 000,00 * 0,0000 * 1/1 =</v>
      </c>
      <c r="AD167" s="440" t="str">
        <f t="shared" si="194"/>
        <v>= 000,00 * 0,0000 * 1/1 =</v>
      </c>
      <c r="AE167" s="440" t="str">
        <f t="shared" si="194"/>
        <v>= 000,00 * 0,0000 * 1/1 =</v>
      </c>
      <c r="AF167" s="436"/>
      <c r="AG167" s="436"/>
    </row>
    <row r="168" spans="1:33" s="3" customFormat="1">
      <c r="A168" s="436"/>
      <c r="B168" s="341">
        <f>B167+1</f>
        <v>2</v>
      </c>
      <c r="C168" s="439"/>
      <c r="D168" s="439">
        <f t="shared" ref="D168:D191" si="195">B54</f>
        <v>51</v>
      </c>
      <c r="E168" s="439"/>
      <c r="F168" s="443" t="s">
        <v>86</v>
      </c>
      <c r="G168" s="440" t="e" vm="1">
        <f t="shared" ref="G168:AE168" si="196">"= "&amp;TEXT(VLOOKUP(G$4,omraadetabel12,G$7,0)/12,"#.000,00")&amp;" * "&amp;TEXT(G$10,"0,0000")&amp;" * "&amp;TEXT(G$3,"#0/#0")&amp;" ="</f>
        <v>#VALUE!</v>
      </c>
      <c r="H168" s="440" t="e" vm="1">
        <f t="shared" si="196"/>
        <v>#VALUE!</v>
      </c>
      <c r="I168" s="440" t="e" vm="1">
        <f t="shared" si="196"/>
        <v>#VALUE!</v>
      </c>
      <c r="J168" s="440" t="e" vm="1">
        <f t="shared" si="196"/>
        <v>#VALUE!</v>
      </c>
      <c r="K168" s="440" t="e" vm="1">
        <f t="shared" si="196"/>
        <v>#VALUE!</v>
      </c>
      <c r="L168" s="440" t="e" vm="1">
        <f t="shared" si="196"/>
        <v>#VALUE!</v>
      </c>
      <c r="M168" s="440" t="e" vm="1">
        <f t="shared" si="196"/>
        <v>#VALUE!</v>
      </c>
      <c r="N168" s="440" t="e" vm="1">
        <f t="shared" si="196"/>
        <v>#VALUE!</v>
      </c>
      <c r="O168" s="440" t="e" vm="1">
        <f t="shared" si="196"/>
        <v>#VALUE!</v>
      </c>
      <c r="P168" s="440" t="e" vm="1">
        <f t="shared" si="196"/>
        <v>#VALUE!</v>
      </c>
      <c r="Q168" s="440" t="e" vm="1">
        <f t="shared" si="196"/>
        <v>#VALUE!</v>
      </c>
      <c r="R168" s="440" t="e" vm="1">
        <f t="shared" si="196"/>
        <v>#VALUE!</v>
      </c>
      <c r="S168" s="440" t="e">
        <f t="shared" si="196"/>
        <v>#N/A</v>
      </c>
      <c r="T168" s="935" t="e" vm="1">
        <f t="shared" si="196"/>
        <v>#VALUE!</v>
      </c>
      <c r="U168" s="440" t="e" vm="1">
        <f t="shared" si="196"/>
        <v>#VALUE!</v>
      </c>
      <c r="V168" s="440" t="e" vm="1">
        <f t="shared" si="196"/>
        <v>#VALUE!</v>
      </c>
      <c r="W168" s="440" t="e" vm="1">
        <f t="shared" si="196"/>
        <v>#VALUE!</v>
      </c>
      <c r="X168" s="440" t="e" vm="1">
        <f t="shared" si="196"/>
        <v>#VALUE!</v>
      </c>
      <c r="Y168" s="440" t="e" vm="1">
        <f t="shared" si="196"/>
        <v>#VALUE!</v>
      </c>
      <c r="Z168" s="440" t="e" vm="1">
        <f t="shared" si="196"/>
        <v>#VALUE!</v>
      </c>
      <c r="AA168" s="440" t="e" vm="1">
        <f t="shared" si="196"/>
        <v>#VALUE!</v>
      </c>
      <c r="AB168" s="440" t="e" vm="1">
        <f t="shared" si="196"/>
        <v>#VALUE!</v>
      </c>
      <c r="AC168" s="440" t="e" vm="1">
        <f t="shared" si="196"/>
        <v>#VALUE!</v>
      </c>
      <c r="AD168" s="440" t="e" vm="1">
        <f t="shared" si="196"/>
        <v>#VALUE!</v>
      </c>
      <c r="AE168" s="440" t="e" vm="1">
        <f t="shared" si="196"/>
        <v>#VALUE!</v>
      </c>
      <c r="AF168" s="436"/>
      <c r="AG168" s="436"/>
    </row>
    <row r="169" spans="1:33" s="3" customFormat="1">
      <c r="A169" s="436"/>
      <c r="B169" s="342">
        <f t="shared" ref="B169:B186" si="197">B168+1</f>
        <v>3</v>
      </c>
      <c r="C169" s="439"/>
      <c r="D169" s="439">
        <f t="shared" si="195"/>
        <v>52</v>
      </c>
      <c r="E169" s="439"/>
      <c r="F169" s="443" t="s">
        <v>170</v>
      </c>
      <c r="G169" s="440" t="str">
        <f t="shared" ref="G169:AE169" si="198">IF(LEFT(G4)="L",G165,G166)</f>
        <v>= (20,20 * 650 + 121,21 * 0 + 161,62 * 0 + 202,02 * 0) / 12 * 1/1 =</v>
      </c>
      <c r="H169" s="440" t="str">
        <f t="shared" si="198"/>
        <v>= (20,20 * 0 + 121,21 * 0 + 161,62 * 0 + 202,02 * 0) / 12 * 1/1 =</v>
      </c>
      <c r="I169" s="440" t="str">
        <f t="shared" si="198"/>
        <v>= (20,20 * 0 + 121,21 * 0 + 161,62 * 0 + 202,02 * 0) / 12 * 1/1 =</v>
      </c>
      <c r="J169" s="440" t="str">
        <f t="shared" si="198"/>
        <v>= (0,00 * 0 + 0,00 * 0 + 0,00 * 0 + 0,00 * 0) / 12 * 1/1 =</v>
      </c>
      <c r="K169" s="440" t="str">
        <f t="shared" si="198"/>
        <v>= (0,00 * 0 + 0,00 * 0 + 0,00 * 0 + 0,00 * 0) / 12 * 1/1 =</v>
      </c>
      <c r="L169" s="440" t="str">
        <f t="shared" si="198"/>
        <v>= (0,00 * 0 + 0,00 * 0 + 0,00 * 0 + 0,00 * 0) / 12 * 1/1 =</v>
      </c>
      <c r="M169" s="440" t="str">
        <f t="shared" si="198"/>
        <v>= (0,00 * 0 + 0,00 * 0 + 0,00 * 0 + 0,00 * 0) / 12 * 1/1 =</v>
      </c>
      <c r="N169" s="440" t="str">
        <f t="shared" si="198"/>
        <v>= (0,00 * 0 + 0,00 * 0 + 0,00 * 0 + 0,00 * 0) / 12 * 1/1 =</v>
      </c>
      <c r="O169" s="440" t="str">
        <f t="shared" si="198"/>
        <v>= (0,00 * 0 + 0,00 * 0 + 0,00 * 0 + 0,00 * 0) / 12 * 1/1 =</v>
      </c>
      <c r="P169" s="440" t="str">
        <f t="shared" si="198"/>
        <v>= (0,00 * 0 + 0,00 * 0 + 0,00 * 0 + 0,00 * 0) / 12 * 1/1 =</v>
      </c>
      <c r="Q169" s="440" t="str">
        <f t="shared" si="198"/>
        <v>= (0,00 * 0 + 0,00 * 0 + 0,00 * 0 + 0,00 * 0) / 12 * 1/1 =</v>
      </c>
      <c r="R169" s="440" t="str">
        <f t="shared" si="198"/>
        <v>= (0,00 * 0 + 0,00 * 0 + 0,00 * 0 + 0,00 * 0) / 12 * 1/1 =</v>
      </c>
      <c r="S169" s="440">
        <f t="shared" si="198"/>
        <v>0</v>
      </c>
      <c r="T169" s="935" t="str">
        <f t="shared" si="198"/>
        <v>= (20,20 * 0 + 121,21 * 0 + 161,62 * 0 + 202,02 * 0) / 12 * 1/1 =</v>
      </c>
      <c r="U169" s="440" t="str">
        <f t="shared" si="198"/>
        <v>= (20,20 * 0 + 121,21 * 0 + 161,62 * 0 + 202,02 * 0) / 12 * 1/1 =</v>
      </c>
      <c r="V169" s="440" t="str">
        <f t="shared" si="198"/>
        <v>= (20,20 * 0 + 121,21 * 0 + 161,62 * 0 + 202,02 * 0) / 12 * 1/1 =</v>
      </c>
      <c r="W169" s="440" t="str">
        <f t="shared" si="198"/>
        <v>= (0,00 * 0 + 0,00 * 0 + 0,00 * 0 + 0,00 * 0) / 12 * 1/1 =</v>
      </c>
      <c r="X169" s="440" t="str">
        <f t="shared" si="198"/>
        <v>= (0,00 * 0 + 0,00 * 0 + 0,00 * 0 + 0,00 * 0) / 12 * 1/1 =</v>
      </c>
      <c r="Y169" s="440" t="str">
        <f t="shared" si="198"/>
        <v>= (0,00 * 0 + 0,00 * 0 + 0,00 * 0 + 0,00 * 0) / 12 * 1/1 =</v>
      </c>
      <c r="Z169" s="440" t="str">
        <f t="shared" si="198"/>
        <v>= (0,00 * 0 + 0,00 * 0 + 0,00 * 0 + 0,00 * 0) / 12 * 1/1 =</v>
      </c>
      <c r="AA169" s="440" t="str">
        <f t="shared" si="198"/>
        <v>= (0,00 * 0 + 0,00 * 0 + 0,00 * 0 + 0,00 * 0) / 12 * 1/1 =</v>
      </c>
      <c r="AB169" s="440" t="str">
        <f t="shared" si="198"/>
        <v>= (0,00 * 0 + 0,00 * 0 + 0,00 * 0 + 0,00 * 0) / 12 * 1/1 =</v>
      </c>
      <c r="AC169" s="440" t="str">
        <f t="shared" si="198"/>
        <v>= (0,00 * 0 + 0,00 * 0 + 0,00 * 0 + 0,00 * 0) / 12 * 1/1 =</v>
      </c>
      <c r="AD169" s="440" t="str">
        <f t="shared" si="198"/>
        <v>= (0,00 * 0 + 0,00 * 0 + 0,00 * 0 + 0,00 * 0) / 12 * 1/1 =</v>
      </c>
      <c r="AE169" s="440" t="str">
        <f t="shared" si="198"/>
        <v>= (0,00 * 0 + 0,00 * 0 + 0,00 * 0 + 0,00 * 0) / 12 * 1/1 =</v>
      </c>
      <c r="AF169" s="436"/>
      <c r="AG169" s="436"/>
    </row>
    <row r="170" spans="1:33" s="3" customFormat="1">
      <c r="A170" s="436"/>
      <c r="B170" s="341">
        <f t="shared" si="197"/>
        <v>4</v>
      </c>
      <c r="C170" s="439"/>
      <c r="D170" s="439">
        <f t="shared" si="195"/>
        <v>53</v>
      </c>
      <c r="E170" s="439"/>
      <c r="F170" s="443" t="s">
        <v>171</v>
      </c>
      <c r="G170" s="440" t="s">
        <v>607</v>
      </c>
      <c r="H170" s="440" t="s">
        <v>607</v>
      </c>
      <c r="I170" s="440" t="s">
        <v>607</v>
      </c>
      <c r="J170" s="440" t="s">
        <v>607</v>
      </c>
      <c r="K170" s="440" t="s">
        <v>607</v>
      </c>
      <c r="L170" s="440" t="s">
        <v>607</v>
      </c>
      <c r="M170" s="440" t="s">
        <v>607</v>
      </c>
      <c r="N170" s="440" t="s">
        <v>607</v>
      </c>
      <c r="O170" s="440" t="s">
        <v>607</v>
      </c>
      <c r="P170" s="440" t="s">
        <v>607</v>
      </c>
      <c r="Q170" s="440" t="s">
        <v>607</v>
      </c>
      <c r="R170" s="440" t="s">
        <v>607</v>
      </c>
      <c r="S170" s="440" t="s">
        <v>607</v>
      </c>
      <c r="T170" s="935" t="s">
        <v>607</v>
      </c>
      <c r="U170" s="440" t="s">
        <v>607</v>
      </c>
      <c r="V170" s="440" t="s">
        <v>607</v>
      </c>
      <c r="W170" s="440" t="s">
        <v>607</v>
      </c>
      <c r="X170" s="440" t="s">
        <v>607</v>
      </c>
      <c r="Y170" s="440" t="s">
        <v>607</v>
      </c>
      <c r="Z170" s="440" t="s">
        <v>607</v>
      </c>
      <c r="AA170" s="440" t="s">
        <v>607</v>
      </c>
      <c r="AB170" s="440" t="s">
        <v>607</v>
      </c>
      <c r="AC170" s="440" t="s">
        <v>607</v>
      </c>
      <c r="AD170" s="440" t="s">
        <v>607</v>
      </c>
      <c r="AE170" s="440" t="s">
        <v>607</v>
      </c>
      <c r="AF170" s="436"/>
      <c r="AG170" s="436"/>
    </row>
    <row r="171" spans="1:33" s="3" customFormat="1">
      <c r="A171" s="436"/>
      <c r="B171" s="342">
        <f t="shared" si="197"/>
        <v>5</v>
      </c>
      <c r="C171" s="439"/>
      <c r="D171" s="439">
        <f t="shared" si="195"/>
        <v>54</v>
      </c>
      <c r="E171" s="439"/>
      <c r="F171" s="443" t="s">
        <v>172</v>
      </c>
      <c r="G171" s="440" t="str">
        <f t="shared" ref="G171:AE176" si="199">"= "&amp;TEXT(G14,"#.###,00")&amp;" * "&amp;G$6&amp;IF($D57&gt;0," * "&amp;TEXT(G$10,"0,0000"),"")&amp;" * "&amp;TEXT(G$3,"#0/#0")&amp;" / 12 ="</f>
        <v>= ,00 * 1,233095 * 1/1 / 12 =</v>
      </c>
      <c r="H171" s="440" t="str">
        <f t="shared" si="199"/>
        <v>= ,00 * 1,233095 * 1/1 / 12 =</v>
      </c>
      <c r="I171" s="440" t="str">
        <f t="shared" si="199"/>
        <v>= ,00 * 1,233095 * 1/1 / 12 =</v>
      </c>
      <c r="J171" s="440" t="str">
        <f t="shared" si="199"/>
        <v>= ,00 *  * 1/1 / 12 =</v>
      </c>
      <c r="K171" s="440" t="str">
        <f t="shared" si="199"/>
        <v>= ,00 * 0 * 1/1 / 12 =</v>
      </c>
      <c r="L171" s="440" t="str">
        <f t="shared" si="199"/>
        <v>= ,00 * 0 * 1/1 / 12 =</v>
      </c>
      <c r="M171" s="440" t="str">
        <f t="shared" si="199"/>
        <v>= ,00 * 0 * 1/1 / 12 =</v>
      </c>
      <c r="N171" s="440" t="str">
        <f t="shared" si="199"/>
        <v>= ,00 * 0 * 1/1 / 12 =</v>
      </c>
      <c r="O171" s="440" t="str">
        <f t="shared" si="199"/>
        <v>= ,00 *  * 1/1 / 12 =</v>
      </c>
      <c r="P171" s="440" t="str">
        <f t="shared" si="199"/>
        <v>= ,00 * 0 * 1/1 / 12 =</v>
      </c>
      <c r="Q171" s="440" t="str">
        <f t="shared" si="199"/>
        <v>= ,00 * 0 * 1/1 / 12 =</v>
      </c>
      <c r="R171" s="440" t="str">
        <f t="shared" si="199"/>
        <v>= ,00 * 0 * 1/1 / 12 =</v>
      </c>
      <c r="S171" s="440" t="str">
        <f t="shared" si="199"/>
        <v>= ,00 *  * 0/1 / 12 =</v>
      </c>
      <c r="T171" s="935" t="str">
        <f t="shared" si="199"/>
        <v>= ,00 * 1,233095 * 1/1 / 12 =</v>
      </c>
      <c r="U171" s="440" t="str">
        <f t="shared" si="199"/>
        <v>= ,00 * 1,233095 * 1/1 / 12 =</v>
      </c>
      <c r="V171" s="440" t="str">
        <f t="shared" si="199"/>
        <v>= ,00 * 1,233095 * 1/1 / 12 =</v>
      </c>
      <c r="W171" s="440" t="str">
        <f t="shared" si="199"/>
        <v>= ,00 * 0 * 1/1 / 12 =</v>
      </c>
      <c r="X171" s="440" t="str">
        <f t="shared" si="199"/>
        <v>= ,00 * 0 * 1/1 / 12 =</v>
      </c>
      <c r="Y171" s="440" t="str">
        <f t="shared" si="199"/>
        <v>= ,00 * 0 * 1/1 / 12 =</v>
      </c>
      <c r="Z171" s="440" t="str">
        <f t="shared" si="199"/>
        <v>= ,00 * 0 * 1/1 / 12 =</v>
      </c>
      <c r="AA171" s="440" t="str">
        <f t="shared" si="199"/>
        <v>= ,00 * 0 * 1/1 / 12 =</v>
      </c>
      <c r="AB171" s="440" t="str">
        <f t="shared" si="199"/>
        <v>= ,00 * 0 * 1/1 / 12 =</v>
      </c>
      <c r="AC171" s="440" t="str">
        <f t="shared" si="199"/>
        <v>= ,00 * 0 * 1/1 / 12 =</v>
      </c>
      <c r="AD171" s="440" t="str">
        <f t="shared" si="199"/>
        <v>= ,00 * 0 * 1/1 / 12 =</v>
      </c>
      <c r="AE171" s="440" t="str">
        <f t="shared" si="199"/>
        <v>= ,00 * 0 * 1/1 / 12 =</v>
      </c>
      <c r="AF171" s="436"/>
      <c r="AG171" s="436"/>
    </row>
    <row r="172" spans="1:33" s="3" customFormat="1">
      <c r="A172" s="436"/>
      <c r="B172" s="341">
        <f t="shared" si="197"/>
        <v>6</v>
      </c>
      <c r="C172" s="439"/>
      <c r="D172" s="439">
        <f t="shared" si="195"/>
        <v>55</v>
      </c>
      <c r="E172" s="439"/>
      <c r="F172" s="443" t="s">
        <v>173</v>
      </c>
      <c r="G172" s="440" t="str">
        <f t="shared" si="199"/>
        <v>= ,00 * 1,233095 * 1/1 / 12 =</v>
      </c>
      <c r="H172" s="440" t="str">
        <f t="shared" si="199"/>
        <v>= ,00 * 1,233095 * 1/1 / 12 =</v>
      </c>
      <c r="I172" s="440" t="str">
        <f t="shared" si="199"/>
        <v>= ,00 * 1,233095 * 1/1 / 12 =</v>
      </c>
      <c r="J172" s="440" t="str">
        <f t="shared" si="199"/>
        <v>= ,00 *  * 1/1 / 12 =</v>
      </c>
      <c r="K172" s="440" t="str">
        <f t="shared" si="199"/>
        <v>= ,00 * 0 * 1/1 / 12 =</v>
      </c>
      <c r="L172" s="440" t="str">
        <f t="shared" si="199"/>
        <v>= ,00 * 0 * 1/1 / 12 =</v>
      </c>
      <c r="M172" s="440" t="str">
        <f t="shared" si="199"/>
        <v>= ,00 * 0 * 1/1 / 12 =</v>
      </c>
      <c r="N172" s="440" t="str">
        <f t="shared" si="199"/>
        <v>= ,00 * 0 * 1/1 / 12 =</v>
      </c>
      <c r="O172" s="440" t="str">
        <f t="shared" si="199"/>
        <v>= ,00 *  * 1/1 / 12 =</v>
      </c>
      <c r="P172" s="440" t="str">
        <f t="shared" si="199"/>
        <v>= ,00 * 0 * 1/1 / 12 =</v>
      </c>
      <c r="Q172" s="440" t="str">
        <f t="shared" si="199"/>
        <v>= ,00 * 0 * 1/1 / 12 =</v>
      </c>
      <c r="R172" s="440" t="str">
        <f t="shared" si="199"/>
        <v>= ,00 * 0 * 1/1 / 12 =</v>
      </c>
      <c r="S172" s="440" t="str">
        <f t="shared" si="199"/>
        <v>= ,00 *  * 0/1 / 12 =</v>
      </c>
      <c r="T172" s="935" t="str">
        <f t="shared" si="199"/>
        <v>= ,00 * 1,233095 * 1/1 / 12 =</v>
      </c>
      <c r="U172" s="440" t="str">
        <f t="shared" si="199"/>
        <v>= ,00 * 1,233095 * 1/1 / 12 =</v>
      </c>
      <c r="V172" s="440" t="str">
        <f t="shared" si="199"/>
        <v>= ,00 * 1,233095 * 1/1 / 12 =</v>
      </c>
      <c r="W172" s="440" t="str">
        <f t="shared" si="199"/>
        <v>= ,00 * 0 * 1/1 / 12 =</v>
      </c>
      <c r="X172" s="440" t="str">
        <f t="shared" si="199"/>
        <v>= ,00 * 0 * 1/1 / 12 =</v>
      </c>
      <c r="Y172" s="440" t="str">
        <f t="shared" si="199"/>
        <v>= ,00 * 0 * 1/1 / 12 =</v>
      </c>
      <c r="Z172" s="440" t="str">
        <f t="shared" si="199"/>
        <v>= ,00 * 0 * 1/1 / 12 =</v>
      </c>
      <c r="AA172" s="440" t="str">
        <f t="shared" si="199"/>
        <v>= ,00 * 0 * 1/1 / 12 =</v>
      </c>
      <c r="AB172" s="440" t="str">
        <f t="shared" si="199"/>
        <v>= ,00 * 0 * 1/1 / 12 =</v>
      </c>
      <c r="AC172" s="440" t="str">
        <f t="shared" si="199"/>
        <v>= ,00 * 0 * 1/1 / 12 =</v>
      </c>
      <c r="AD172" s="440" t="str">
        <f t="shared" si="199"/>
        <v>= ,00 * 0 * 1/1 / 12 =</v>
      </c>
      <c r="AE172" s="440" t="str">
        <f t="shared" si="199"/>
        <v>= ,00 * 0 * 1/1 / 12 =</v>
      </c>
      <c r="AF172" s="436"/>
      <c r="AG172" s="436"/>
    </row>
    <row r="173" spans="1:33" s="3" customFormat="1">
      <c r="A173" s="436"/>
      <c r="B173" s="342">
        <f t="shared" si="197"/>
        <v>7</v>
      </c>
      <c r="C173" s="439"/>
      <c r="D173" s="439">
        <f t="shared" si="195"/>
        <v>56</v>
      </c>
      <c r="E173" s="439"/>
      <c r="F173" s="443" t="s">
        <v>174</v>
      </c>
      <c r="G173" s="440" t="str">
        <f t="shared" si="199"/>
        <v>= ,00 * 1,233095 * 1/1 / 12 =</v>
      </c>
      <c r="H173" s="440" t="str">
        <f t="shared" si="199"/>
        <v>= ,00 * 1,233095 * 1/1 / 12 =</v>
      </c>
      <c r="I173" s="440" t="str">
        <f t="shared" si="199"/>
        <v>= ,00 * 1,233095 * 1/1 / 12 =</v>
      </c>
      <c r="J173" s="440" t="str">
        <f t="shared" si="199"/>
        <v>= ,00 *  * 1/1 / 12 =</v>
      </c>
      <c r="K173" s="440" t="str">
        <f t="shared" si="199"/>
        <v>= ,00 * 0 * 1/1 / 12 =</v>
      </c>
      <c r="L173" s="440" t="str">
        <f t="shared" si="199"/>
        <v>= ,00 * 0 * 1/1 / 12 =</v>
      </c>
      <c r="M173" s="440" t="str">
        <f t="shared" si="199"/>
        <v>= ,00 * 0 * 1/1 / 12 =</v>
      </c>
      <c r="N173" s="440" t="str">
        <f t="shared" si="199"/>
        <v>= ,00 * 0 * 1/1 / 12 =</v>
      </c>
      <c r="O173" s="440" t="str">
        <f t="shared" si="199"/>
        <v>= ,00 *  * 1/1 / 12 =</v>
      </c>
      <c r="P173" s="440" t="str">
        <f t="shared" si="199"/>
        <v>= ,00 * 0 * 1/1 / 12 =</v>
      </c>
      <c r="Q173" s="440" t="str">
        <f t="shared" si="199"/>
        <v>= ,00 * 0 * 1/1 / 12 =</v>
      </c>
      <c r="R173" s="440" t="str">
        <f t="shared" si="199"/>
        <v>= ,00 * 0 * 1/1 / 12 =</v>
      </c>
      <c r="S173" s="440" t="str">
        <f t="shared" si="199"/>
        <v>= ,00 *  * 0/1 / 12 =</v>
      </c>
      <c r="T173" s="935" t="str">
        <f t="shared" si="199"/>
        <v>= ,00 * 1,233095 * 1/1 / 12 =</v>
      </c>
      <c r="U173" s="440" t="str">
        <f t="shared" si="199"/>
        <v>= ,00 * 1,233095 * 1/1 / 12 =</v>
      </c>
      <c r="V173" s="440" t="str">
        <f t="shared" si="199"/>
        <v>= ,00 * 1,233095 * 1/1 / 12 =</v>
      </c>
      <c r="W173" s="440" t="str">
        <f t="shared" si="199"/>
        <v>= ,00 * 0 * 1/1 / 12 =</v>
      </c>
      <c r="X173" s="440" t="str">
        <f t="shared" si="199"/>
        <v>= ,00 * 0 * 1/1 / 12 =</v>
      </c>
      <c r="Y173" s="440" t="str">
        <f t="shared" si="199"/>
        <v>= ,00 * 0 * 1/1 / 12 =</v>
      </c>
      <c r="Z173" s="440" t="str">
        <f t="shared" si="199"/>
        <v>= ,00 * 0 * 1/1 / 12 =</v>
      </c>
      <c r="AA173" s="440" t="str">
        <f t="shared" si="199"/>
        <v>= ,00 * 0 * 1/1 / 12 =</v>
      </c>
      <c r="AB173" s="440" t="str">
        <f t="shared" si="199"/>
        <v>= ,00 * 0 * 1/1 / 12 =</v>
      </c>
      <c r="AC173" s="440" t="str">
        <f t="shared" si="199"/>
        <v>= ,00 * 0 * 1/1 / 12 =</v>
      </c>
      <c r="AD173" s="440" t="str">
        <f t="shared" si="199"/>
        <v>= ,00 * 0 * 1/1 / 12 =</v>
      </c>
      <c r="AE173" s="440" t="str">
        <f t="shared" si="199"/>
        <v>= ,00 * 0 * 1/1 / 12 =</v>
      </c>
      <c r="AF173" s="436"/>
      <c r="AG173" s="436"/>
    </row>
    <row r="174" spans="1:33" s="3" customFormat="1">
      <c r="A174" s="436"/>
      <c r="B174" s="341">
        <f t="shared" si="197"/>
        <v>8</v>
      </c>
      <c r="C174" s="439"/>
      <c r="D174" s="439">
        <f t="shared" si="195"/>
        <v>57</v>
      </c>
      <c r="E174" s="439"/>
      <c r="F174" s="443" t="s">
        <v>175</v>
      </c>
      <c r="G174" s="440" t="str">
        <f t="shared" si="199"/>
        <v>= ,00 * 1,233095 * 0,0000 * 1/1 / 12 =</v>
      </c>
      <c r="H174" s="440" t="str">
        <f t="shared" si="199"/>
        <v>= ,00 * 1,233095 * 0,0000 * 1/1 / 12 =</v>
      </c>
      <c r="I174" s="440" t="str">
        <f t="shared" si="199"/>
        <v>= ,00 * 1,233095 * 0,0000 * 1/1 / 12 =</v>
      </c>
      <c r="J174" s="440" t="str">
        <f t="shared" si="199"/>
        <v>= ,00 *  * 0,0000 * 1/1 / 12 =</v>
      </c>
      <c r="K174" s="440" t="str">
        <f t="shared" si="199"/>
        <v>= ,00 * 0 * 0,0000 * 1/1 / 12 =</v>
      </c>
      <c r="L174" s="440" t="str">
        <f t="shared" si="199"/>
        <v>= ,00 * 0 * 0,0000 * 1/1 / 12 =</v>
      </c>
      <c r="M174" s="440" t="str">
        <f t="shared" si="199"/>
        <v>= ,00 * 0 * 0,0000 * 1/1 / 12 =</v>
      </c>
      <c r="N174" s="440" t="str">
        <f t="shared" si="199"/>
        <v>= ,00 * 0 * 0,0000 * 1/1 / 12 =</v>
      </c>
      <c r="O174" s="440" t="str">
        <f t="shared" si="199"/>
        <v>= ,00 *  * 0,0000 * 1/1 / 12 =</v>
      </c>
      <c r="P174" s="440" t="str">
        <f t="shared" si="199"/>
        <v>= ,00 * 0 * 0,0000 * 1/1 / 12 =</v>
      </c>
      <c r="Q174" s="440" t="str">
        <f t="shared" si="199"/>
        <v>= ,00 * 0 * 0,0000 * 1/1 / 12 =</v>
      </c>
      <c r="R174" s="440" t="str">
        <f t="shared" si="199"/>
        <v>= ,00 * 0 * 0,0000 * 1/1 / 12 =</v>
      </c>
      <c r="S174" s="440" t="str">
        <f t="shared" si="199"/>
        <v>= ,00 *  * 0,0000 * 0/1 / 12 =</v>
      </c>
      <c r="T174" s="935" t="str">
        <f t="shared" si="199"/>
        <v>= ,00 * 1,233095 * 0,0000 * 1/1 / 12 =</v>
      </c>
      <c r="U174" s="440" t="str">
        <f t="shared" si="199"/>
        <v>= ,00 * 1,233095 * 0,0000 * 1/1 / 12 =</v>
      </c>
      <c r="V174" s="440" t="str">
        <f t="shared" si="199"/>
        <v>= ,00 * 1,233095 * 0,0000 * 1/1 / 12 =</v>
      </c>
      <c r="W174" s="440" t="str">
        <f t="shared" si="199"/>
        <v>= ,00 * 0 * 0,0000 * 1/1 / 12 =</v>
      </c>
      <c r="X174" s="440" t="str">
        <f t="shared" si="199"/>
        <v>= ,00 * 0 * 0,0000 * 1/1 / 12 =</v>
      </c>
      <c r="Y174" s="440" t="str">
        <f t="shared" si="199"/>
        <v>= ,00 * 0 * 0,0000 * 1/1 / 12 =</v>
      </c>
      <c r="Z174" s="440" t="str">
        <f t="shared" si="199"/>
        <v>= ,00 * 0 * 0,0000 * 1/1 / 12 =</v>
      </c>
      <c r="AA174" s="440" t="str">
        <f t="shared" si="199"/>
        <v>= ,00 * 0 * 0,0000 * 1/1 / 12 =</v>
      </c>
      <c r="AB174" s="440" t="str">
        <f t="shared" si="199"/>
        <v>= ,00 * 0 * 0,0000 * 1/1 / 12 =</v>
      </c>
      <c r="AC174" s="440" t="str">
        <f t="shared" si="199"/>
        <v>= ,00 * 0 * 0,0000 * 1/1 / 12 =</v>
      </c>
      <c r="AD174" s="440" t="str">
        <f t="shared" si="199"/>
        <v>= ,00 * 0 * 0,0000 * 1/1 / 12 =</v>
      </c>
      <c r="AE174" s="440" t="str">
        <f t="shared" si="199"/>
        <v>= ,00 * 0 * 0,0000 * 1/1 / 12 =</v>
      </c>
      <c r="AF174" s="436"/>
      <c r="AG174" s="436"/>
    </row>
    <row r="175" spans="1:33" s="3" customFormat="1">
      <c r="A175" s="436"/>
      <c r="B175" s="342">
        <f t="shared" si="197"/>
        <v>9</v>
      </c>
      <c r="C175" s="439"/>
      <c r="D175" s="439">
        <f t="shared" si="195"/>
        <v>58</v>
      </c>
      <c r="E175" s="439"/>
      <c r="F175" s="443" t="s">
        <v>176</v>
      </c>
      <c r="G175" s="440" t="str">
        <f t="shared" si="199"/>
        <v>= ,00 * 1,233095 * 0,0000 * 1/1 / 12 =</v>
      </c>
      <c r="H175" s="440" t="str">
        <f t="shared" si="199"/>
        <v>= ,00 * 1,233095 * 0,0000 * 1/1 / 12 =</v>
      </c>
      <c r="I175" s="440" t="str">
        <f t="shared" si="199"/>
        <v>= ,00 * 1,233095 * 0,0000 * 1/1 / 12 =</v>
      </c>
      <c r="J175" s="440" t="str">
        <f t="shared" si="199"/>
        <v>= ,00 *  * 0,0000 * 1/1 / 12 =</v>
      </c>
      <c r="K175" s="440" t="str">
        <f t="shared" si="199"/>
        <v>= ,00 * 0 * 0,0000 * 1/1 / 12 =</v>
      </c>
      <c r="L175" s="440" t="str">
        <f t="shared" si="199"/>
        <v>= ,00 * 0 * 0,0000 * 1/1 / 12 =</v>
      </c>
      <c r="M175" s="440" t="str">
        <f t="shared" si="199"/>
        <v>= ,00 * 0 * 0,0000 * 1/1 / 12 =</v>
      </c>
      <c r="N175" s="440" t="str">
        <f t="shared" si="199"/>
        <v>= ,00 * 0 * 0,0000 * 1/1 / 12 =</v>
      </c>
      <c r="O175" s="440" t="str">
        <f t="shared" si="199"/>
        <v>= ,00 *  * 0,0000 * 1/1 / 12 =</v>
      </c>
      <c r="P175" s="440" t="str">
        <f t="shared" si="199"/>
        <v>= ,00 * 0 * 0,0000 * 1/1 / 12 =</v>
      </c>
      <c r="Q175" s="440" t="str">
        <f t="shared" si="199"/>
        <v>= ,00 * 0 * 0,0000 * 1/1 / 12 =</v>
      </c>
      <c r="R175" s="440" t="str">
        <f t="shared" si="199"/>
        <v>= ,00 * 0 * 0,0000 * 1/1 / 12 =</v>
      </c>
      <c r="S175" s="440" t="str">
        <f t="shared" si="199"/>
        <v>= ,00 *  * 0,0000 * 0/1 / 12 =</v>
      </c>
      <c r="T175" s="935" t="str">
        <f t="shared" si="199"/>
        <v>= ,00 * 1,233095 * 0,0000 * 1/1 / 12 =</v>
      </c>
      <c r="U175" s="440" t="str">
        <f t="shared" si="199"/>
        <v>= ,00 * 1,233095 * 0,0000 * 1/1 / 12 =</v>
      </c>
      <c r="V175" s="440" t="str">
        <f t="shared" si="199"/>
        <v>= ,00 * 1,233095 * 0,0000 * 1/1 / 12 =</v>
      </c>
      <c r="W175" s="440" t="str">
        <f t="shared" si="199"/>
        <v>= ,00 * 0 * 0,0000 * 1/1 / 12 =</v>
      </c>
      <c r="X175" s="440" t="str">
        <f t="shared" si="199"/>
        <v>= ,00 * 0 * 0,0000 * 1/1 / 12 =</v>
      </c>
      <c r="Y175" s="440" t="str">
        <f t="shared" si="199"/>
        <v>= ,00 * 0 * 0,0000 * 1/1 / 12 =</v>
      </c>
      <c r="Z175" s="440" t="str">
        <f t="shared" si="199"/>
        <v>= ,00 * 0 * 0,0000 * 1/1 / 12 =</v>
      </c>
      <c r="AA175" s="440" t="str">
        <f t="shared" si="199"/>
        <v>= ,00 * 0 * 0,0000 * 1/1 / 12 =</v>
      </c>
      <c r="AB175" s="440" t="str">
        <f t="shared" si="199"/>
        <v>= ,00 * 0 * 0,0000 * 1/1 / 12 =</v>
      </c>
      <c r="AC175" s="440" t="str">
        <f t="shared" si="199"/>
        <v>= ,00 * 0 * 0,0000 * 1/1 / 12 =</v>
      </c>
      <c r="AD175" s="440" t="str">
        <f t="shared" si="199"/>
        <v>= ,00 * 0 * 0,0000 * 1/1 / 12 =</v>
      </c>
      <c r="AE175" s="440" t="str">
        <f t="shared" si="199"/>
        <v>= ,00 * 0 * 0,0000 * 1/1 / 12 =</v>
      </c>
      <c r="AF175" s="436"/>
      <c r="AG175" s="436"/>
    </row>
    <row r="176" spans="1:33" s="3" customFormat="1">
      <c r="A176" s="436"/>
      <c r="B176" s="341">
        <f t="shared" si="197"/>
        <v>10</v>
      </c>
      <c r="C176" s="439"/>
      <c r="D176" s="439">
        <f t="shared" si="195"/>
        <v>59</v>
      </c>
      <c r="E176" s="439"/>
      <c r="F176" s="443" t="s">
        <v>177</v>
      </c>
      <c r="G176" s="440" t="str">
        <f t="shared" si="199"/>
        <v>= ,00 * 1,233095 * 0,0000 * 1/1 / 12 =</v>
      </c>
      <c r="H176" s="440" t="str">
        <f t="shared" si="199"/>
        <v>= ,00 * 1,233095 * 0,0000 * 1/1 / 12 =</v>
      </c>
      <c r="I176" s="440" t="str">
        <f t="shared" si="199"/>
        <v>= ,00 * 1,233095 * 0,0000 * 1/1 / 12 =</v>
      </c>
      <c r="J176" s="440" t="str">
        <f t="shared" si="199"/>
        <v>= ,00 *  * 0,0000 * 1/1 / 12 =</v>
      </c>
      <c r="K176" s="440" t="str">
        <f t="shared" si="199"/>
        <v>= ,00 * 0 * 0,0000 * 1/1 / 12 =</v>
      </c>
      <c r="L176" s="440" t="str">
        <f t="shared" si="199"/>
        <v>= ,00 * 0 * 0,0000 * 1/1 / 12 =</v>
      </c>
      <c r="M176" s="440" t="str">
        <f t="shared" si="199"/>
        <v>= ,00 * 0 * 0,0000 * 1/1 / 12 =</v>
      </c>
      <c r="N176" s="440" t="str">
        <f t="shared" si="199"/>
        <v>= ,00 * 0 * 0,0000 * 1/1 / 12 =</v>
      </c>
      <c r="O176" s="440" t="str">
        <f t="shared" si="199"/>
        <v>= ,00 *  * 0,0000 * 1/1 / 12 =</v>
      </c>
      <c r="P176" s="440" t="str">
        <f t="shared" si="199"/>
        <v>= ,00 * 0 * 0,0000 * 1/1 / 12 =</v>
      </c>
      <c r="Q176" s="440" t="str">
        <f t="shared" si="199"/>
        <v>= ,00 * 0 * 0,0000 * 1/1 / 12 =</v>
      </c>
      <c r="R176" s="440" t="str">
        <f t="shared" si="199"/>
        <v>= ,00 * 0 * 0,0000 * 1/1 / 12 =</v>
      </c>
      <c r="S176" s="440" t="str">
        <f t="shared" si="199"/>
        <v>= ,00 *  * 0,0000 * 0/1 / 12 =</v>
      </c>
      <c r="T176" s="935" t="str">
        <f t="shared" si="199"/>
        <v>= ,00 * 1,233095 * 0,0000 * 1/1 / 12 =</v>
      </c>
      <c r="U176" s="440" t="str">
        <f t="shared" si="199"/>
        <v>= ,00 * 1,233095 * 0,0000 * 1/1 / 12 =</v>
      </c>
      <c r="V176" s="440" t="str">
        <f t="shared" si="199"/>
        <v>= ,00 * 1,233095 * 0,0000 * 1/1 / 12 =</v>
      </c>
      <c r="W176" s="440" t="str">
        <f t="shared" si="199"/>
        <v>= ,00 * 0 * 0,0000 * 1/1 / 12 =</v>
      </c>
      <c r="X176" s="440" t="str">
        <f t="shared" si="199"/>
        <v>= ,00 * 0 * 0,0000 * 1/1 / 12 =</v>
      </c>
      <c r="Y176" s="440" t="str">
        <f t="shared" si="199"/>
        <v>= ,00 * 0 * 0,0000 * 1/1 / 12 =</v>
      </c>
      <c r="Z176" s="440" t="str">
        <f t="shared" si="199"/>
        <v>= ,00 * 0 * 0,0000 * 1/1 / 12 =</v>
      </c>
      <c r="AA176" s="440" t="str">
        <f t="shared" si="199"/>
        <v>= ,00 * 0 * 0,0000 * 1/1 / 12 =</v>
      </c>
      <c r="AB176" s="440" t="str">
        <f t="shared" si="199"/>
        <v>= ,00 * 0 * 0,0000 * 1/1 / 12 =</v>
      </c>
      <c r="AC176" s="440" t="str">
        <f t="shared" si="199"/>
        <v>= ,00 * 0 * 0,0000 * 1/1 / 12 =</v>
      </c>
      <c r="AD176" s="440" t="str">
        <f t="shared" si="199"/>
        <v>= ,00 * 0 * 0,0000 * 1/1 / 12 =</v>
      </c>
      <c r="AE176" s="440" t="str">
        <f t="shared" si="199"/>
        <v>= ,00 * 0 * 0,0000 * 1/1 / 12 =</v>
      </c>
      <c r="AF176" s="436"/>
      <c r="AG176" s="436"/>
    </row>
    <row r="177" spans="1:33" s="3" customFormat="1">
      <c r="A177" s="436"/>
      <c r="B177" s="342">
        <f t="shared" si="197"/>
        <v>11</v>
      </c>
      <c r="C177" s="439"/>
      <c r="D177" s="439">
        <f t="shared" si="195"/>
        <v>60</v>
      </c>
      <c r="E177" s="439"/>
      <c r="F177" s="443" t="s">
        <v>535</v>
      </c>
      <c r="G177" s="440" t="str">
        <f t="shared" ref="G177:AE178" si="200">"= "&amp;TEXT(G20,"#.###,00")&amp;" * "&amp;G$6&amp;" * "&amp;TEXT(G$10,"0,0000")&amp;" * "&amp;TEXT(G$3,"#0/#0")&amp;" / 12 ="</f>
        <v>= ,00 * 1,233095 * 0,0000 * 1/1 / 12 =</v>
      </c>
      <c r="H177" s="440" t="str">
        <f t="shared" si="200"/>
        <v>= ,00 * 1,233095 * 0,0000 * 1/1 / 12 =</v>
      </c>
      <c r="I177" s="440" t="str">
        <f t="shared" si="200"/>
        <v>= ,00 * 1,233095 * 0,0000 * 1/1 / 12 =</v>
      </c>
      <c r="J177" s="440" t="str">
        <f t="shared" si="200"/>
        <v>= ,00 *  * 0,0000 * 1/1 / 12 =</v>
      </c>
      <c r="K177" s="440" t="str">
        <f t="shared" si="200"/>
        <v>= ,00 * 0 * 0,0000 * 1/1 / 12 =</v>
      </c>
      <c r="L177" s="440" t="str">
        <f t="shared" si="200"/>
        <v>= ,00 * 0 * 0,0000 * 1/1 / 12 =</v>
      </c>
      <c r="M177" s="440" t="str">
        <f t="shared" si="200"/>
        <v>= ,00 * 0 * 0,0000 * 1/1 / 12 =</v>
      </c>
      <c r="N177" s="440" t="str">
        <f t="shared" si="200"/>
        <v>= ,00 * 0 * 0,0000 * 1/1 / 12 =</v>
      </c>
      <c r="O177" s="440" t="str">
        <f t="shared" si="200"/>
        <v>= ,00 *  * 0,0000 * 1/1 / 12 =</v>
      </c>
      <c r="P177" s="440" t="str">
        <f t="shared" si="200"/>
        <v>= ,00 * 0 * 0,0000 * 1/1 / 12 =</v>
      </c>
      <c r="Q177" s="440" t="str">
        <f t="shared" si="200"/>
        <v>= ,00 * 0 * 0,0000 * 1/1 / 12 =</v>
      </c>
      <c r="R177" s="440" t="str">
        <f t="shared" si="200"/>
        <v>= ,00 * 0 * 0,0000 * 1/1 / 12 =</v>
      </c>
      <c r="S177" s="440" t="str">
        <f t="shared" si="200"/>
        <v>= ,00 *  * 0,0000 * 0/1 / 12 =</v>
      </c>
      <c r="T177" s="935" t="str">
        <f t="shared" si="200"/>
        <v>= ,00 * 1,233095 * 0,0000 * 1/1 / 12 =</v>
      </c>
      <c r="U177" s="440" t="str">
        <f t="shared" si="200"/>
        <v>= ,00 * 1,233095 * 0,0000 * 1/1 / 12 =</v>
      </c>
      <c r="V177" s="440" t="str">
        <f t="shared" si="200"/>
        <v>= ,00 * 1,233095 * 0,0000 * 1/1 / 12 =</v>
      </c>
      <c r="W177" s="440" t="str">
        <f t="shared" si="200"/>
        <v>= ,00 * 0 * 0,0000 * 1/1 / 12 =</v>
      </c>
      <c r="X177" s="440" t="str">
        <f t="shared" si="200"/>
        <v>= ,00 * 0 * 0,0000 * 1/1 / 12 =</v>
      </c>
      <c r="Y177" s="440" t="str">
        <f t="shared" si="200"/>
        <v>= ,00 * 0 * 0,0000 * 1/1 / 12 =</v>
      </c>
      <c r="Z177" s="440" t="str">
        <f t="shared" si="200"/>
        <v>= ,00 * 0 * 0,0000 * 1/1 / 12 =</v>
      </c>
      <c r="AA177" s="440" t="str">
        <f t="shared" si="200"/>
        <v>= ,00 * 0 * 0,0000 * 1/1 / 12 =</v>
      </c>
      <c r="AB177" s="440" t="str">
        <f t="shared" si="200"/>
        <v>= ,00 * 0 * 0,0000 * 1/1 / 12 =</v>
      </c>
      <c r="AC177" s="440" t="str">
        <f t="shared" si="200"/>
        <v>= ,00 * 0 * 0,0000 * 1/1 / 12 =</v>
      </c>
      <c r="AD177" s="440" t="str">
        <f t="shared" si="200"/>
        <v>= ,00 * 0 * 0,0000 * 1/1 / 12 =</v>
      </c>
      <c r="AE177" s="440" t="str">
        <f t="shared" si="200"/>
        <v>= ,00 * 0 * 0,0000 * 1/1 / 12 =</v>
      </c>
      <c r="AF177" s="436"/>
      <c r="AG177" s="436"/>
    </row>
    <row r="178" spans="1:33" s="3" customFormat="1">
      <c r="A178" s="436"/>
      <c r="B178" s="341">
        <f t="shared" si="197"/>
        <v>12</v>
      </c>
      <c r="C178" s="439"/>
      <c r="D178" s="439">
        <f t="shared" si="195"/>
        <v>61</v>
      </c>
      <c r="E178" s="439"/>
      <c r="F178" s="443" t="s">
        <v>114</v>
      </c>
      <c r="G178" s="440" t="str">
        <f t="shared" si="200"/>
        <v>= ,00 * 1,233095 * 0,0000 * 1/1 / 12 =</v>
      </c>
      <c r="H178" s="440" t="str">
        <f t="shared" si="200"/>
        <v>= ,00 * 1,233095 * 0,0000 * 1/1 / 12 =</v>
      </c>
      <c r="I178" s="440" t="str">
        <f t="shared" si="200"/>
        <v>= ,00 * 1,233095 * 0,0000 * 1/1 / 12 =</v>
      </c>
      <c r="J178" s="440" t="str">
        <f t="shared" si="200"/>
        <v>= ,00 *  * 0,0000 * 1/1 / 12 =</v>
      </c>
      <c r="K178" s="440" t="str">
        <f t="shared" si="200"/>
        <v>= ,00 * 0 * 0,0000 * 1/1 / 12 =</v>
      </c>
      <c r="L178" s="440" t="str">
        <f t="shared" si="200"/>
        <v>= ,00 * 0 * 0,0000 * 1/1 / 12 =</v>
      </c>
      <c r="M178" s="440" t="str">
        <f t="shared" si="200"/>
        <v>= ,00 * 0 * 0,0000 * 1/1 / 12 =</v>
      </c>
      <c r="N178" s="440" t="str">
        <f t="shared" si="200"/>
        <v>= ,00 * 0 * 0,0000 * 1/1 / 12 =</v>
      </c>
      <c r="O178" s="440" t="str">
        <f t="shared" si="200"/>
        <v>= ,00 *  * 0,0000 * 1/1 / 12 =</v>
      </c>
      <c r="P178" s="440" t="str">
        <f t="shared" si="200"/>
        <v>= ,00 * 0 * 0,0000 * 1/1 / 12 =</v>
      </c>
      <c r="Q178" s="440" t="str">
        <f t="shared" si="200"/>
        <v>= ,00 * 0 * 0,0000 * 1/1 / 12 =</v>
      </c>
      <c r="R178" s="440" t="str">
        <f t="shared" si="200"/>
        <v>= ,00 * 0 * 0,0000 * 1/1 / 12 =</v>
      </c>
      <c r="S178" s="440" t="str">
        <f t="shared" si="200"/>
        <v>= ,00 *  * 0,0000 * 0/1 / 12 =</v>
      </c>
      <c r="T178" s="935" t="str">
        <f t="shared" si="200"/>
        <v>= ,00 * 1,233095 * 0,0000 * 1/1 / 12 =</v>
      </c>
      <c r="U178" s="440" t="str">
        <f t="shared" si="200"/>
        <v>= ,00 * 1,233095 * 0,0000 * 1/1 / 12 =</v>
      </c>
      <c r="V178" s="440" t="str">
        <f t="shared" si="200"/>
        <v>= ,00 * 1,233095 * 0,0000 * 1/1 / 12 =</v>
      </c>
      <c r="W178" s="440" t="str">
        <f t="shared" si="200"/>
        <v>= ,00 * 0 * 0,0000 * 1/1 / 12 =</v>
      </c>
      <c r="X178" s="440" t="str">
        <f t="shared" si="200"/>
        <v>= ,00 * 0 * 0,0000 * 1/1 / 12 =</v>
      </c>
      <c r="Y178" s="440" t="str">
        <f t="shared" si="200"/>
        <v>= ,00 * 0 * 0,0000 * 1/1 / 12 =</v>
      </c>
      <c r="Z178" s="440" t="str">
        <f t="shared" si="200"/>
        <v>= ,00 * 0 * 0,0000 * 1/1 / 12 =</v>
      </c>
      <c r="AA178" s="440" t="str">
        <f t="shared" si="200"/>
        <v>= ,00 * 0 * 0,0000 * 1/1 / 12 =</v>
      </c>
      <c r="AB178" s="440" t="str">
        <f t="shared" si="200"/>
        <v>= ,00 * 0 * 0,0000 * 1/1 / 12 =</v>
      </c>
      <c r="AC178" s="440" t="str">
        <f t="shared" si="200"/>
        <v>= ,00 * 0 * 0,0000 * 1/1 / 12 =</v>
      </c>
      <c r="AD178" s="440" t="str">
        <f t="shared" si="200"/>
        <v>= ,00 * 0 * 0,0000 * 1/1 / 12 =</v>
      </c>
      <c r="AE178" s="440" t="str">
        <f t="shared" si="200"/>
        <v>= ,00 * 0 * 0,0000 * 1/1 / 12 =</v>
      </c>
      <c r="AF178" s="436"/>
      <c r="AG178" s="436"/>
    </row>
    <row r="179" spans="1:33" s="3" customFormat="1">
      <c r="A179" s="436"/>
      <c r="B179" s="342">
        <f t="shared" si="197"/>
        <v>13</v>
      </c>
      <c r="C179" s="439"/>
      <c r="D179" s="439">
        <f t="shared" si="195"/>
        <v>62</v>
      </c>
      <c r="E179" s="439"/>
      <c r="F179" s="443" t="s">
        <v>367</v>
      </c>
      <c r="G179" s="440" t="str">
        <f t="shared" ref="G179:AE179" si="201">"= "&amp;TEXT(IF(RIGHT(G4)="1",5200)+IF(RIGHT(G4)="2",7900)+IF(RIGHT(G4)="3",7900),"#.###")&amp;" * "&amp;G$6&amp;" * "&amp;TEXT(G$10,"0,0000")&amp;" * "&amp;TEXT(G$3,"#0/#0")&amp;" / 12 ="</f>
        <v>= 5.200 * 1,233095 * 0,0000 * 1/1 / 12 =</v>
      </c>
      <c r="H179" s="440" t="str">
        <f t="shared" si="201"/>
        <v>= 5.200 * 1,233095 * 0,0000 * 1/1 / 12 =</v>
      </c>
      <c r="I179" s="440" t="str">
        <f t="shared" si="201"/>
        <v>= 5.200 * 1,233095 * 0,0000 * 1/1 / 12 =</v>
      </c>
      <c r="J179" s="440" t="str">
        <f t="shared" si="201"/>
        <v>= 5.200 *  * 0,0000 * 1/1 / 12 =</v>
      </c>
      <c r="K179" s="440" t="str">
        <f t="shared" si="201"/>
        <v>= 5.200 * 0 * 0,0000 * 1/1 / 12 =</v>
      </c>
      <c r="L179" s="440" t="str">
        <f t="shared" si="201"/>
        <v>= 5.200 * 0 * 0,0000 * 1/1 / 12 =</v>
      </c>
      <c r="M179" s="440" t="str">
        <f t="shared" si="201"/>
        <v>= 5.200 * 0 * 0,0000 * 1/1 / 12 =</v>
      </c>
      <c r="N179" s="440" t="str">
        <f t="shared" si="201"/>
        <v>= 5.200 * 0 * 0,0000 * 1/1 / 12 =</v>
      </c>
      <c r="O179" s="440" t="str">
        <f t="shared" si="201"/>
        <v>= 5.200 *  * 0,0000 * 1/1 / 12 =</v>
      </c>
      <c r="P179" s="440" t="str">
        <f t="shared" si="201"/>
        <v>= 5.200 * 0 * 0,0000 * 1/1 / 12 =</v>
      </c>
      <c r="Q179" s="440" t="str">
        <f t="shared" si="201"/>
        <v>= 5.200 * 0 * 0,0000 * 1/1 / 12 =</v>
      </c>
      <c r="R179" s="440" t="str">
        <f t="shared" si="201"/>
        <v>= 5.200 * 0 * 0,0000 * 1/1 / 12 =</v>
      </c>
      <c r="S179" s="440" t="str">
        <f t="shared" si="201"/>
        <v>=  *  * 0,0000 * 0/1 / 12 =</v>
      </c>
      <c r="T179" s="935" t="str">
        <f t="shared" si="201"/>
        <v>= 5.200 * 1,233095 * 0,0000 * 1/1 / 12 =</v>
      </c>
      <c r="U179" s="440" t="str">
        <f t="shared" si="201"/>
        <v>= 5.200 * 1,233095 * 0,0000 * 1/1 / 12 =</v>
      </c>
      <c r="V179" s="440" t="str">
        <f t="shared" si="201"/>
        <v>= 5.200 * 1,233095 * 0,0000 * 1/1 / 12 =</v>
      </c>
      <c r="W179" s="440" t="str">
        <f t="shared" si="201"/>
        <v>= 5.200 * 0 * 0,0000 * 1/1 / 12 =</v>
      </c>
      <c r="X179" s="440" t="str">
        <f t="shared" si="201"/>
        <v>= 5.200 * 0 * 0,0000 * 1/1 / 12 =</v>
      </c>
      <c r="Y179" s="440" t="str">
        <f t="shared" si="201"/>
        <v>= 5.200 * 0 * 0,0000 * 1/1 / 12 =</v>
      </c>
      <c r="Z179" s="440" t="str">
        <f t="shared" si="201"/>
        <v>= 5.200 * 0 * 0,0000 * 1/1 / 12 =</v>
      </c>
      <c r="AA179" s="440" t="str">
        <f t="shared" si="201"/>
        <v>= 5.200 * 0 * 0,0000 * 1/1 / 12 =</v>
      </c>
      <c r="AB179" s="440" t="str">
        <f t="shared" si="201"/>
        <v>= 5.200 * 0 * 0,0000 * 1/1 / 12 =</v>
      </c>
      <c r="AC179" s="440" t="str">
        <f t="shared" si="201"/>
        <v>= 5.200 * 0 * 0,0000 * 1/1 / 12 =</v>
      </c>
      <c r="AD179" s="440" t="str">
        <f t="shared" si="201"/>
        <v>= 5.200 * 0 * 0,0000 * 1/1 / 12 =</v>
      </c>
      <c r="AE179" s="440" t="str">
        <f t="shared" si="201"/>
        <v>= 5.200 * 0 * 0,0000 * 1/1 / 12 =</v>
      </c>
      <c r="AF179" s="436"/>
      <c r="AG179" s="436"/>
    </row>
    <row r="180" spans="1:33" s="3" customFormat="1">
      <c r="A180" s="436"/>
      <c r="B180" s="341">
        <f t="shared" si="197"/>
        <v>14</v>
      </c>
      <c r="C180" s="439"/>
      <c r="D180" s="439">
        <f t="shared" si="195"/>
        <v>63</v>
      </c>
      <c r="E180" s="439"/>
      <c r="F180" s="443" t="s">
        <v>348</v>
      </c>
      <c r="G180" s="440" t="str">
        <f t="shared" ref="G180:AE180" si="202">"= 2.800 * "&amp;G6&amp;" * "&amp;TEXT(G$10,"0,0000")&amp;" * "&amp;TEXT(G$3,"#0/#0")&amp;" / 12 ="</f>
        <v>= 2.800 * 1,233095 * 0,0000 * 1/1 / 12 =</v>
      </c>
      <c r="H180" s="440" t="str">
        <f t="shared" si="202"/>
        <v>= 2.800 * 1,233095 * 0,0000 * 1/1 / 12 =</v>
      </c>
      <c r="I180" s="440" t="str">
        <f t="shared" si="202"/>
        <v>= 2.800 * 1,233095 * 0,0000 * 1/1 / 12 =</v>
      </c>
      <c r="J180" s="440" t="str">
        <f t="shared" si="202"/>
        <v>= 2.800 *  * 0,0000 * 1/1 / 12 =</v>
      </c>
      <c r="K180" s="440" t="str">
        <f t="shared" si="202"/>
        <v>= 2.800 * 0 * 0,0000 * 1/1 / 12 =</v>
      </c>
      <c r="L180" s="440" t="str">
        <f t="shared" si="202"/>
        <v>= 2.800 * 0 * 0,0000 * 1/1 / 12 =</v>
      </c>
      <c r="M180" s="440" t="str">
        <f t="shared" si="202"/>
        <v>= 2.800 * 0 * 0,0000 * 1/1 / 12 =</v>
      </c>
      <c r="N180" s="440" t="str">
        <f t="shared" si="202"/>
        <v>= 2.800 * 0 * 0,0000 * 1/1 / 12 =</v>
      </c>
      <c r="O180" s="440" t="str">
        <f t="shared" si="202"/>
        <v>= 2.800 *  * 0,0000 * 1/1 / 12 =</v>
      </c>
      <c r="P180" s="440" t="str">
        <f t="shared" si="202"/>
        <v>= 2.800 * 0 * 0,0000 * 1/1 / 12 =</v>
      </c>
      <c r="Q180" s="440" t="str">
        <f t="shared" si="202"/>
        <v>= 2.800 * 0 * 0,0000 * 1/1 / 12 =</v>
      </c>
      <c r="R180" s="440" t="str">
        <f t="shared" si="202"/>
        <v>= 2.800 * 0 * 0,0000 * 1/1 / 12 =</v>
      </c>
      <c r="S180" s="440" t="str">
        <f t="shared" si="202"/>
        <v>= 2.800 *  * 0,0000 * 0/1 / 12 =</v>
      </c>
      <c r="T180" s="935" t="str">
        <f t="shared" si="202"/>
        <v>= 2.800 * 1,233095 * 0,0000 * 1/1 / 12 =</v>
      </c>
      <c r="U180" s="440" t="str">
        <f t="shared" si="202"/>
        <v>= 2.800 * 1,233095 * 0,0000 * 1/1 / 12 =</v>
      </c>
      <c r="V180" s="440" t="str">
        <f t="shared" si="202"/>
        <v>= 2.800 * 1,233095 * 0,0000 * 1/1 / 12 =</v>
      </c>
      <c r="W180" s="440" t="str">
        <f t="shared" si="202"/>
        <v>= 2.800 * 0 * 0,0000 * 1/1 / 12 =</v>
      </c>
      <c r="X180" s="440" t="str">
        <f t="shared" si="202"/>
        <v>= 2.800 * 0 * 0,0000 * 1/1 / 12 =</v>
      </c>
      <c r="Y180" s="440" t="str">
        <f t="shared" si="202"/>
        <v>= 2.800 * 0 * 0,0000 * 1/1 / 12 =</v>
      </c>
      <c r="Z180" s="440" t="str">
        <f t="shared" si="202"/>
        <v>= 2.800 * 0 * 0,0000 * 1/1 / 12 =</v>
      </c>
      <c r="AA180" s="440" t="str">
        <f t="shared" si="202"/>
        <v>= 2.800 * 0 * 0,0000 * 1/1 / 12 =</v>
      </c>
      <c r="AB180" s="440" t="str">
        <f t="shared" si="202"/>
        <v>= 2.800 * 0 * 0,0000 * 1/1 / 12 =</v>
      </c>
      <c r="AC180" s="440" t="str">
        <f t="shared" si="202"/>
        <v>= 2.800 * 0 * 0,0000 * 1/1 / 12 =</v>
      </c>
      <c r="AD180" s="440" t="str">
        <f t="shared" si="202"/>
        <v>= 2.800 * 0 * 0,0000 * 1/1 / 12 =</v>
      </c>
      <c r="AE180" s="440" t="str">
        <f t="shared" si="202"/>
        <v>= 2.800 * 0 * 0,0000 * 1/1 / 12 =</v>
      </c>
      <c r="AF180" s="436"/>
      <c r="AG180" s="436"/>
    </row>
    <row r="181" spans="1:33" s="3" customFormat="1">
      <c r="A181" s="436"/>
      <c r="B181" s="341">
        <f t="shared" si="197"/>
        <v>15</v>
      </c>
      <c r="C181" s="439"/>
      <c r="D181" s="439">
        <f t="shared" si="195"/>
        <v>64</v>
      </c>
      <c r="E181" s="439"/>
      <c r="F181" s="443" t="s">
        <v>711</v>
      </c>
      <c r="G181" s="440" t="str">
        <f>"= 4100 * "&amp;G6&amp;" * "&amp;TEXT(G$10,"0,0000")&amp;" * "&amp;TEXT(G$3,"#0/#0")&amp;" / 12 ="</f>
        <v>= 4100 * 1,233095 * 0,0000 * 1/1 / 12 =</v>
      </c>
      <c r="H181" s="440" t="str">
        <f t="shared" ref="H181:AE181" si="203">"= 4100 * "&amp;H6&amp;" * "&amp;TEXT(H$10,"0,0000")&amp;" * "&amp;TEXT(H$3,"#0/#0")&amp;" / 12 ="</f>
        <v>= 4100 * 1,233095 * 0,0000 * 1/1 / 12 =</v>
      </c>
      <c r="I181" s="440" t="str">
        <f t="shared" si="203"/>
        <v>= 4100 * 1,233095 * 0,0000 * 1/1 / 12 =</v>
      </c>
      <c r="J181" s="440" t="str">
        <f t="shared" si="203"/>
        <v>= 4100 *  * 0,0000 * 1/1 / 12 =</v>
      </c>
      <c r="K181" s="440" t="str">
        <f t="shared" si="203"/>
        <v>= 4100 * 0 * 0,0000 * 1/1 / 12 =</v>
      </c>
      <c r="L181" s="440" t="str">
        <f t="shared" si="203"/>
        <v>= 4100 * 0 * 0,0000 * 1/1 / 12 =</v>
      </c>
      <c r="M181" s="440" t="str">
        <f t="shared" si="203"/>
        <v>= 4100 * 0 * 0,0000 * 1/1 / 12 =</v>
      </c>
      <c r="N181" s="440" t="str">
        <f t="shared" si="203"/>
        <v>= 4100 * 0 * 0,0000 * 1/1 / 12 =</v>
      </c>
      <c r="O181" s="440" t="str">
        <f t="shared" si="203"/>
        <v>= 4100 *  * 0,0000 * 1/1 / 12 =</v>
      </c>
      <c r="P181" s="440" t="str">
        <f t="shared" si="203"/>
        <v>= 4100 * 0 * 0,0000 * 1/1 / 12 =</v>
      </c>
      <c r="Q181" s="440" t="str">
        <f t="shared" si="203"/>
        <v>= 4100 * 0 * 0,0000 * 1/1 / 12 =</v>
      </c>
      <c r="R181" s="440" t="str">
        <f t="shared" si="203"/>
        <v>= 4100 * 0 * 0,0000 * 1/1 / 12 =</v>
      </c>
      <c r="S181" s="440" t="str">
        <f t="shared" si="203"/>
        <v>= 4100 *  * 0,0000 * 0/1 / 12 =</v>
      </c>
      <c r="T181" s="440" t="str">
        <f t="shared" si="203"/>
        <v>= 4100 * 1,233095 * 0,0000 * 1/1 / 12 =</v>
      </c>
      <c r="U181" s="440" t="str">
        <f t="shared" si="203"/>
        <v>= 4100 * 1,233095 * 0,0000 * 1/1 / 12 =</v>
      </c>
      <c r="V181" s="440" t="str">
        <f t="shared" si="203"/>
        <v>= 4100 * 1,233095 * 0,0000 * 1/1 / 12 =</v>
      </c>
      <c r="W181" s="440" t="str">
        <f t="shared" si="203"/>
        <v>= 4100 * 0 * 0,0000 * 1/1 / 12 =</v>
      </c>
      <c r="X181" s="440" t="str">
        <f t="shared" si="203"/>
        <v>= 4100 * 0 * 0,0000 * 1/1 / 12 =</v>
      </c>
      <c r="Y181" s="440" t="str">
        <f t="shared" si="203"/>
        <v>= 4100 * 0 * 0,0000 * 1/1 / 12 =</v>
      </c>
      <c r="Z181" s="440" t="str">
        <f t="shared" si="203"/>
        <v>= 4100 * 0 * 0,0000 * 1/1 / 12 =</v>
      </c>
      <c r="AA181" s="440" t="str">
        <f t="shared" si="203"/>
        <v>= 4100 * 0 * 0,0000 * 1/1 / 12 =</v>
      </c>
      <c r="AB181" s="440" t="str">
        <f t="shared" si="203"/>
        <v>= 4100 * 0 * 0,0000 * 1/1 / 12 =</v>
      </c>
      <c r="AC181" s="440" t="str">
        <f t="shared" si="203"/>
        <v>= 4100 * 0 * 0,0000 * 1/1 / 12 =</v>
      </c>
      <c r="AD181" s="440" t="str">
        <f t="shared" si="203"/>
        <v>= 4100 * 0 * 0,0000 * 1/1 / 12 =</v>
      </c>
      <c r="AE181" s="440" t="str">
        <f t="shared" si="203"/>
        <v>= 4100 * 0 * 0,0000 * 1/1 / 12 =</v>
      </c>
      <c r="AF181" s="436"/>
      <c r="AG181" s="436"/>
    </row>
    <row r="182" spans="1:33" s="3" customFormat="1">
      <c r="A182" s="436"/>
      <c r="B182" s="341">
        <f t="shared" si="197"/>
        <v>16</v>
      </c>
      <c r="C182" s="439"/>
      <c r="D182" s="439">
        <f t="shared" si="195"/>
        <v>65</v>
      </c>
      <c r="E182" s="439"/>
      <c r="F182" s="443" t="s">
        <v>159</v>
      </c>
      <c r="G182" s="440" t="str">
        <f t="shared" ref="G182:AE182" si="204">"= "&amp;TEXT(G23,"#.###,00")&amp;IF($E23&lt;&gt;""," * "&amp;G$6,"")&amp;IF($D23&lt;&gt;""," * "&amp;TEXT(G$10,"0,0000"),"")&amp;" * "&amp;TEXT(G$3,"#0/#0")&amp;" / 12 ="</f>
        <v>= ,00 * 1/1 / 12 =</v>
      </c>
      <c r="H182" s="440" t="str">
        <f t="shared" si="204"/>
        <v>= ,00 * 1/1 / 12 =</v>
      </c>
      <c r="I182" s="440" t="str">
        <f t="shared" si="204"/>
        <v>= ,00 * 1/1 / 12 =</v>
      </c>
      <c r="J182" s="440" t="str">
        <f t="shared" si="204"/>
        <v>= ,00 * 1/1 / 12 =</v>
      </c>
      <c r="K182" s="440" t="str">
        <f t="shared" si="204"/>
        <v>= ,00 * 1/1 / 12 =</v>
      </c>
      <c r="L182" s="440" t="str">
        <f t="shared" si="204"/>
        <v>= ,00 * 1/1 / 12 =</v>
      </c>
      <c r="M182" s="440" t="str">
        <f t="shared" si="204"/>
        <v>= ,00 * 1/1 / 12 =</v>
      </c>
      <c r="N182" s="440" t="str">
        <f t="shared" si="204"/>
        <v>= ,00 * 1/1 / 12 =</v>
      </c>
      <c r="O182" s="440" t="str">
        <f t="shared" si="204"/>
        <v>= ,00 * 1/1 / 12 =</v>
      </c>
      <c r="P182" s="440" t="str">
        <f t="shared" si="204"/>
        <v>= ,00 * 1/1 / 12 =</v>
      </c>
      <c r="Q182" s="440" t="str">
        <f t="shared" si="204"/>
        <v>= ,00 * 1/1 / 12 =</v>
      </c>
      <c r="R182" s="440" t="str">
        <f t="shared" si="204"/>
        <v>= ,00 * 1/1 / 12 =</v>
      </c>
      <c r="S182" s="440" t="str">
        <f t="shared" si="204"/>
        <v>= ,00 * 0/1 / 12 =</v>
      </c>
      <c r="T182" s="935" t="str">
        <f t="shared" si="204"/>
        <v>= ,00 * 1/1 / 12 =</v>
      </c>
      <c r="U182" s="440" t="str">
        <f t="shared" si="204"/>
        <v>= ,00 * 1/1 / 12 =</v>
      </c>
      <c r="V182" s="440" t="str">
        <f t="shared" si="204"/>
        <v>= ,00 * 1/1 / 12 =</v>
      </c>
      <c r="W182" s="440" t="str">
        <f t="shared" si="204"/>
        <v>= ,00 * 1/1 / 12 =</v>
      </c>
      <c r="X182" s="440" t="str">
        <f t="shared" si="204"/>
        <v>= ,00 * 1/1 / 12 =</v>
      </c>
      <c r="Y182" s="440" t="str">
        <f t="shared" si="204"/>
        <v>= ,00 * 1/1 / 12 =</v>
      </c>
      <c r="Z182" s="440" t="str">
        <f t="shared" si="204"/>
        <v>= ,00 * 1/1 / 12 =</v>
      </c>
      <c r="AA182" s="440" t="str">
        <f t="shared" si="204"/>
        <v>= ,00 * 1/1 / 12 =</v>
      </c>
      <c r="AB182" s="440" t="str">
        <f t="shared" si="204"/>
        <v>= ,00 * 1/1 / 12 =</v>
      </c>
      <c r="AC182" s="440" t="str">
        <f t="shared" si="204"/>
        <v>= ,00 * 1/1 / 12 =</v>
      </c>
      <c r="AD182" s="440" t="str">
        <f t="shared" si="204"/>
        <v>= ,00 * 1/1 / 12 =</v>
      </c>
      <c r="AE182" s="440" t="str">
        <f t="shared" si="204"/>
        <v>= ,00 * 1/1 / 12 =</v>
      </c>
      <c r="AF182" s="436"/>
      <c r="AG182" s="436"/>
    </row>
    <row r="183" spans="1:33" s="3" customFormat="1">
      <c r="A183" s="436"/>
      <c r="B183" s="341">
        <f t="shared" si="197"/>
        <v>17</v>
      </c>
      <c r="C183" s="439"/>
      <c r="D183" s="439">
        <f t="shared" si="195"/>
        <v>66</v>
      </c>
      <c r="E183" s="439"/>
      <c r="F183" s="443" t="s">
        <v>160</v>
      </c>
      <c r="G183" s="440" t="str">
        <f>"= 108,35 * "&amp;TEXT(G$3,"#0/#0")&amp;" ="</f>
        <v>= 108,35 * 1/1 =</v>
      </c>
      <c r="H183" s="440" t="str">
        <f t="shared" ref="H183:S183" si="205">"= 108,35 * "&amp;TEXT(H$3,"#0/#0")&amp;" ="</f>
        <v>= 108,35 * 1/1 =</v>
      </c>
      <c r="I183" s="440" t="str">
        <f t="shared" si="205"/>
        <v>= 108,35 * 1/1 =</v>
      </c>
      <c r="J183" s="440" t="str">
        <f t="shared" si="205"/>
        <v>= 108,35 * 1/1 =</v>
      </c>
      <c r="K183" s="440" t="str">
        <f t="shared" si="205"/>
        <v>= 108,35 * 1/1 =</v>
      </c>
      <c r="L183" s="440" t="str">
        <f t="shared" si="205"/>
        <v>= 108,35 * 1/1 =</v>
      </c>
      <c r="M183" s="440" t="str">
        <f t="shared" si="205"/>
        <v>= 108,35 * 1/1 =</v>
      </c>
      <c r="N183" s="440" t="str">
        <f t="shared" si="205"/>
        <v>= 108,35 * 1/1 =</v>
      </c>
      <c r="O183" s="440" t="str">
        <f t="shared" si="205"/>
        <v>= 108,35 * 1/1 =</v>
      </c>
      <c r="P183" s="440" t="str">
        <f>"= 108,35 * "&amp;TEXT(P$3,"#0/#0")&amp;" ="</f>
        <v>= 108,35 * 1/1 =</v>
      </c>
      <c r="Q183" s="440" t="str">
        <f t="shared" si="205"/>
        <v>= 108,35 * 1/1 =</v>
      </c>
      <c r="R183" s="440" t="str">
        <f t="shared" si="205"/>
        <v>= 108,35 * 1/1 =</v>
      </c>
      <c r="S183" s="440" t="str">
        <f t="shared" si="205"/>
        <v>= 108,35 * 0/1 =</v>
      </c>
      <c r="T183" s="935" t="str">
        <f>"= 108,35 * "&amp;TEXT(T$3,"#0/#0")&amp;" ="</f>
        <v>= 108,35 * 1/1 =</v>
      </c>
      <c r="U183" s="440" t="str">
        <f t="shared" ref="U183:AE183" si="206">"= 108,35 * "&amp;TEXT(U$3,"#0/#0")&amp;" ="</f>
        <v>= 108,35 * 1/1 =</v>
      </c>
      <c r="V183" s="440" t="str">
        <f t="shared" si="206"/>
        <v>= 108,35 * 1/1 =</v>
      </c>
      <c r="W183" s="440" t="str">
        <f t="shared" si="206"/>
        <v>= 108,35 * 1/1 =</v>
      </c>
      <c r="X183" s="440" t="str">
        <f t="shared" si="206"/>
        <v>= 108,35 * 1/1 =</v>
      </c>
      <c r="Y183" s="440" t="str">
        <f t="shared" si="206"/>
        <v>= 108,35 * 1/1 =</v>
      </c>
      <c r="Z183" s="440" t="str">
        <f t="shared" si="206"/>
        <v>= 108,35 * 1/1 =</v>
      </c>
      <c r="AA183" s="440" t="str">
        <f t="shared" si="206"/>
        <v>= 108,35 * 1/1 =</v>
      </c>
      <c r="AB183" s="440" t="str">
        <f t="shared" si="206"/>
        <v>= 108,35 * 1/1 =</v>
      </c>
      <c r="AC183" s="440" t="str">
        <f t="shared" si="206"/>
        <v>= 108,35 * 1/1 =</v>
      </c>
      <c r="AD183" s="440" t="str">
        <f t="shared" si="206"/>
        <v>= 108,35 * 1/1 =</v>
      </c>
      <c r="AE183" s="440" t="str">
        <f t="shared" si="206"/>
        <v>= 108,35 * 1/1 =</v>
      </c>
      <c r="AF183" s="436"/>
      <c r="AG183" s="436"/>
    </row>
    <row r="184" spans="1:33" s="3" customFormat="1">
      <c r="A184" s="436"/>
      <c r="B184" s="342">
        <f t="shared" si="197"/>
        <v>18</v>
      </c>
      <c r="C184" s="439"/>
      <c r="D184" s="439">
        <f t="shared" si="195"/>
        <v>67</v>
      </c>
      <c r="E184" s="439"/>
      <c r="F184" s="443" t="s">
        <v>551</v>
      </c>
      <c r="G184" s="440" t="str">
        <f>"= "&amp;-(MAX(0,MIN(G$24,G$25*1))+G$28)&amp;" * 4,62% * SUM(lin. 1; lin. 3 - 12; lin. 14-15;"&amp;(IF(AND($C$68=1,G$68&gt;0)," lin. 16","; ")&amp;") =")</f>
        <v>= 0 * 4,62% * SUM(lin. 1; lin. 3 - 12; lin. 14-15;; ) =</v>
      </c>
      <c r="H184" s="440" t="str">
        <f t="shared" ref="H184:S184" si="207">"= "&amp;-(MAX(0,MIN(H$24,H$25*1))+H$28)&amp;" * 4,62% * SUM(lin. 1; lin. 3 - 12; lin. 14-15;"&amp;(IF(AND($C$68=1,H$68&gt;0)," lin. 16","; ")&amp;") =")</f>
        <v>= 0 * 4,62% * SUM(lin. 1; lin. 3 - 12; lin. 14-15;; ) =</v>
      </c>
      <c r="I184" s="440" t="str">
        <f t="shared" si="207"/>
        <v>= 0 * 4,62% * SUM(lin. 1; lin. 3 - 12; lin. 14-15;; ) =</v>
      </c>
      <c r="J184" s="440" t="str">
        <f t="shared" si="207"/>
        <v>= 0 * 4,62% * SUM(lin. 1; lin. 3 - 12; lin. 14-15;; ) =</v>
      </c>
      <c r="K184" s="440" t="str">
        <f t="shared" si="207"/>
        <v>= 0 * 4,62% * SUM(lin. 1; lin. 3 - 12; lin. 14-15;; ) =</v>
      </c>
      <c r="L184" s="440" t="str">
        <f t="shared" si="207"/>
        <v>= 0 * 4,62% * SUM(lin. 1; lin. 3 - 12; lin. 14-15;; ) =</v>
      </c>
      <c r="M184" s="440" t="str">
        <f t="shared" si="207"/>
        <v>= 0 * 4,62% * SUM(lin. 1; lin. 3 - 12; lin. 14-15;; ) =</v>
      </c>
      <c r="N184" s="440" t="str">
        <f t="shared" si="207"/>
        <v>= 0 * 4,62% * SUM(lin. 1; lin. 3 - 12; lin. 14-15;; ) =</v>
      </c>
      <c r="O184" s="440" t="str">
        <f t="shared" si="207"/>
        <v>= 0 * 4,62% * SUM(lin. 1; lin. 3 - 12; lin. 14-15;; ) =</v>
      </c>
      <c r="P184" s="440" t="str">
        <f t="shared" si="207"/>
        <v>= 0 * 4,62% * SUM(lin. 1; lin. 3 - 12; lin. 14-15;; ) =</v>
      </c>
      <c r="Q184" s="440" t="str">
        <f t="shared" si="207"/>
        <v>= 0 * 4,62% * SUM(lin. 1; lin. 3 - 12; lin. 14-15;; ) =</v>
      </c>
      <c r="R184" s="440" t="str">
        <f t="shared" si="207"/>
        <v>= 0 * 4,62% * SUM(lin. 1; lin. 3 - 12; lin. 14-15;; ) =</v>
      </c>
      <c r="S184" s="440" t="str">
        <f t="shared" si="207"/>
        <v>= 0 * 4,62% * SUM(lin. 1; lin. 3 - 12; lin. 14-15;; ) =</v>
      </c>
      <c r="T184" s="935" t="str">
        <f t="shared" ref="T184:AE184" si="208">"= "&amp;-(MAX(0,MIN(T$24,T$25*1))+T$28)&amp;" * 4,62% * SUM(lin. 1; lin. 3 - 12; lin. 14-15"&amp;(IF(AND($C$68=1,T$68&gt;0)," - 16","; ")&amp;") =")</f>
        <v>= 0 * 4,62% * SUM(lin. 1; lin. 3 - 12; lin. 14-15; ) =</v>
      </c>
      <c r="U184" s="440" t="str">
        <f t="shared" si="208"/>
        <v>= 0 * 4,62% * SUM(lin. 1; lin. 3 - 12; lin. 14-15; ) =</v>
      </c>
      <c r="V184" s="440" t="str">
        <f t="shared" si="208"/>
        <v>= 0 * 4,62% * SUM(lin. 1; lin. 3 - 12; lin. 14-15; ) =</v>
      </c>
      <c r="W184" s="440" t="str">
        <f t="shared" si="208"/>
        <v>= 0 * 4,62% * SUM(lin. 1; lin. 3 - 12; lin. 14-15; ) =</v>
      </c>
      <c r="X184" s="440" t="str">
        <f t="shared" si="208"/>
        <v>= 0 * 4,62% * SUM(lin. 1; lin. 3 - 12; lin. 14-15; ) =</v>
      </c>
      <c r="Y184" s="440" t="str">
        <f t="shared" si="208"/>
        <v>= 0 * 4,62% * SUM(lin. 1; lin. 3 - 12; lin. 14-15; ) =</v>
      </c>
      <c r="Z184" s="440" t="str">
        <f t="shared" si="208"/>
        <v>= 0 * 4,62% * SUM(lin. 1; lin. 3 - 12; lin. 14-15; ) =</v>
      </c>
      <c r="AA184" s="440" t="str">
        <f t="shared" si="208"/>
        <v>= 0 * 4,62% * SUM(lin. 1; lin. 3 - 12; lin. 14-15; ) =</v>
      </c>
      <c r="AB184" s="440" t="str">
        <f t="shared" si="208"/>
        <v>= 0 * 4,62% * SUM(lin. 1; lin. 3 - 12; lin. 14-15; ) =</v>
      </c>
      <c r="AC184" s="440" t="str">
        <f t="shared" si="208"/>
        <v>= 0 * 4,62% * SUM(lin. 1; lin. 3 - 12; lin. 14-15; ) =</v>
      </c>
      <c r="AD184" s="440" t="str">
        <f t="shared" si="208"/>
        <v>= 0 * 4,62% * SUM(lin. 1; lin. 3 - 12; lin. 14-15; ) =</v>
      </c>
      <c r="AE184" s="440" t="str">
        <f t="shared" si="208"/>
        <v>= 0 * 4,62% * SUM(lin. 1; lin. 3 - 12; lin. 14-15; ) =</v>
      </c>
      <c r="AF184" s="436"/>
      <c r="AG184" s="436"/>
    </row>
    <row r="185" spans="1:33" s="3" customFormat="1">
      <c r="A185" s="436"/>
      <c r="B185" s="341">
        <f t="shared" si="197"/>
        <v>19</v>
      </c>
      <c r="C185" s="439"/>
      <c r="D185" s="439">
        <f t="shared" si="195"/>
        <v>68</v>
      </c>
      <c r="E185" s="439"/>
      <c r="F185" s="443" t="s">
        <v>552</v>
      </c>
      <c r="G185" s="440" t="str">
        <f t="shared" ref="G185:AE185" si="209">"= "&amp;-(MAX(0,MIN(G$24,G$25*1))+G$28)&amp;" * 4,62% * SUM(lin. 2; lin. 13"&amp;(IF(AND($C$68=1,G$68&gt;0),";"," ; lin. 16")&amp;") =")</f>
        <v>= 0 * 4,62% * SUM(lin. 2; lin. 13 ; lin. 16) =</v>
      </c>
      <c r="H185" s="440" t="str">
        <f t="shared" si="209"/>
        <v>= 0 * 4,62% * SUM(lin. 2; lin. 13 ; lin. 16) =</v>
      </c>
      <c r="I185" s="440" t="str">
        <f t="shared" si="209"/>
        <v>= 0 * 4,62% * SUM(lin. 2; lin. 13 ; lin. 16) =</v>
      </c>
      <c r="J185" s="440" t="str">
        <f t="shared" si="209"/>
        <v>= 0 * 4,62% * SUM(lin. 2; lin. 13 ; lin. 16) =</v>
      </c>
      <c r="K185" s="440" t="str">
        <f t="shared" si="209"/>
        <v>= 0 * 4,62% * SUM(lin. 2; lin. 13 ; lin. 16) =</v>
      </c>
      <c r="L185" s="440" t="str">
        <f t="shared" si="209"/>
        <v>= 0 * 4,62% * SUM(lin. 2; lin. 13 ; lin. 16) =</v>
      </c>
      <c r="M185" s="440" t="str">
        <f t="shared" si="209"/>
        <v>= 0 * 4,62% * SUM(lin. 2; lin. 13 ; lin. 16) =</v>
      </c>
      <c r="N185" s="440" t="str">
        <f t="shared" si="209"/>
        <v>= 0 * 4,62% * SUM(lin. 2; lin. 13 ; lin. 16) =</v>
      </c>
      <c r="O185" s="440" t="str">
        <f t="shared" si="209"/>
        <v>= 0 * 4,62% * SUM(lin. 2; lin. 13 ; lin. 16) =</v>
      </c>
      <c r="P185" s="440" t="str">
        <f t="shared" si="209"/>
        <v>= 0 * 4,62% * SUM(lin. 2; lin. 13 ; lin. 16) =</v>
      </c>
      <c r="Q185" s="440" t="str">
        <f t="shared" si="209"/>
        <v>= 0 * 4,62% * SUM(lin. 2; lin. 13 ; lin. 16) =</v>
      </c>
      <c r="R185" s="440" t="str">
        <f t="shared" si="209"/>
        <v>= 0 * 4,62% * SUM(lin. 2; lin. 13 ; lin. 16) =</v>
      </c>
      <c r="S185" s="440" t="str">
        <f t="shared" si="209"/>
        <v>= 0 * 4,62% * SUM(lin. 2; lin. 13 ; lin. 16) =</v>
      </c>
      <c r="T185" s="935" t="str">
        <f t="shared" si="209"/>
        <v>= 0 * 4,62% * SUM(lin. 2; lin. 13 ; lin. 16) =</v>
      </c>
      <c r="U185" s="440" t="str">
        <f t="shared" si="209"/>
        <v>= 0 * 4,62% * SUM(lin. 2; lin. 13 ; lin. 16) =</v>
      </c>
      <c r="V185" s="440" t="str">
        <f t="shared" si="209"/>
        <v>= 0 * 4,62% * SUM(lin. 2; lin. 13 ; lin. 16) =</v>
      </c>
      <c r="W185" s="440" t="str">
        <f t="shared" si="209"/>
        <v>= 0 * 4,62% * SUM(lin. 2; lin. 13 ; lin. 16) =</v>
      </c>
      <c r="X185" s="440" t="str">
        <f t="shared" si="209"/>
        <v>= 0 * 4,62% * SUM(lin. 2; lin. 13 ; lin. 16) =</v>
      </c>
      <c r="Y185" s="440" t="str">
        <f t="shared" si="209"/>
        <v>= 0 * 4,62% * SUM(lin. 2; lin. 13 ; lin. 16) =</v>
      </c>
      <c r="Z185" s="440" t="str">
        <f t="shared" si="209"/>
        <v>= 0 * 4,62% * SUM(lin. 2; lin. 13 ; lin. 16) =</v>
      </c>
      <c r="AA185" s="440" t="str">
        <f t="shared" si="209"/>
        <v>= 0 * 4,62% * SUM(lin. 2; lin. 13 ; lin. 16) =</v>
      </c>
      <c r="AB185" s="440" t="str">
        <f t="shared" si="209"/>
        <v>= 0 * 4,62% * SUM(lin. 2; lin. 13 ; lin. 16) =</v>
      </c>
      <c r="AC185" s="440" t="str">
        <f t="shared" si="209"/>
        <v>= 0 * 4,62% * SUM(lin. 2; lin. 13 ; lin. 16) =</v>
      </c>
      <c r="AD185" s="440" t="str">
        <f t="shared" si="209"/>
        <v>= 0 * 4,62% * SUM(lin. 2; lin. 13 ; lin. 16) =</v>
      </c>
      <c r="AE185" s="440" t="str">
        <f t="shared" si="209"/>
        <v>= 0 * 4,62% * SUM(lin. 2; lin. 13 ; lin. 16) =</v>
      </c>
      <c r="AF185" s="436"/>
      <c r="AG185" s="436"/>
    </row>
    <row r="186" spans="1:33" s="3" customFormat="1">
      <c r="A186" s="436"/>
      <c r="B186" s="342">
        <f t="shared" si="197"/>
        <v>20</v>
      </c>
      <c r="C186" s="439"/>
      <c r="D186" s="439">
        <f t="shared" si="195"/>
        <v>69</v>
      </c>
      <c r="E186" s="439"/>
      <c r="F186" s="695" t="s">
        <v>559</v>
      </c>
      <c r="G186" s="854" t="s">
        <v>608</v>
      </c>
      <c r="H186" s="854" t="s">
        <v>608</v>
      </c>
      <c r="I186" s="854" t="s">
        <v>608</v>
      </c>
      <c r="J186" s="854" t="s">
        <v>608</v>
      </c>
      <c r="K186" s="854" t="s">
        <v>608</v>
      </c>
      <c r="L186" s="854" t="s">
        <v>608</v>
      </c>
      <c r="M186" s="854" t="s">
        <v>608</v>
      </c>
      <c r="N186" s="854" t="s">
        <v>608</v>
      </c>
      <c r="O186" s="854" t="s">
        <v>608</v>
      </c>
      <c r="P186" s="854" t="s">
        <v>608</v>
      </c>
      <c r="Q186" s="854" t="s">
        <v>608</v>
      </c>
      <c r="R186" s="854" t="s">
        <v>608</v>
      </c>
      <c r="S186" s="854" t="s">
        <v>608</v>
      </c>
      <c r="T186" s="937" t="s">
        <v>608</v>
      </c>
      <c r="U186" s="854" t="s">
        <v>608</v>
      </c>
      <c r="V186" s="854" t="s">
        <v>608</v>
      </c>
      <c r="W186" s="854" t="s">
        <v>608</v>
      </c>
      <c r="X186" s="854" t="s">
        <v>608</v>
      </c>
      <c r="Y186" s="854" t="s">
        <v>608</v>
      </c>
      <c r="Z186" s="854" t="s">
        <v>608</v>
      </c>
      <c r="AA186" s="854" t="s">
        <v>608</v>
      </c>
      <c r="AB186" s="854" t="s">
        <v>608</v>
      </c>
      <c r="AC186" s="854" t="s">
        <v>608</v>
      </c>
      <c r="AD186" s="854" t="s">
        <v>608</v>
      </c>
      <c r="AE186" s="854" t="s">
        <v>608</v>
      </c>
      <c r="AF186" s="436"/>
      <c r="AG186" s="436"/>
    </row>
    <row r="187" spans="1:33" s="3" customFormat="1">
      <c r="A187" s="436"/>
      <c r="B187" s="611">
        <v>21</v>
      </c>
      <c r="C187" s="439"/>
      <c r="D187" s="439">
        <f t="shared" si="195"/>
        <v>70</v>
      </c>
      <c r="E187" s="439"/>
      <c r="F187" s="695" t="s">
        <v>560</v>
      </c>
      <c r="G187" s="854" t="s">
        <v>608</v>
      </c>
      <c r="H187" s="854" t="s">
        <v>608</v>
      </c>
      <c r="I187" s="854" t="s">
        <v>608</v>
      </c>
      <c r="J187" s="854" t="s">
        <v>608</v>
      </c>
      <c r="K187" s="854" t="s">
        <v>608</v>
      </c>
      <c r="L187" s="854" t="s">
        <v>608</v>
      </c>
      <c r="M187" s="854" t="s">
        <v>608</v>
      </c>
      <c r="N187" s="854" t="s">
        <v>608</v>
      </c>
      <c r="O187" s="854" t="s">
        <v>608</v>
      </c>
      <c r="P187" s="854" t="s">
        <v>608</v>
      </c>
      <c r="Q187" s="854" t="s">
        <v>608</v>
      </c>
      <c r="R187" s="854" t="s">
        <v>608</v>
      </c>
      <c r="S187" s="854" t="s">
        <v>608</v>
      </c>
      <c r="T187" s="937" t="s">
        <v>608</v>
      </c>
      <c r="U187" s="854" t="s">
        <v>608</v>
      </c>
      <c r="V187" s="854" t="s">
        <v>608</v>
      </c>
      <c r="W187" s="854" t="s">
        <v>608</v>
      </c>
      <c r="X187" s="854" t="s">
        <v>608</v>
      </c>
      <c r="Y187" s="854" t="s">
        <v>608</v>
      </c>
      <c r="Z187" s="854" t="s">
        <v>608</v>
      </c>
      <c r="AA187" s="854" t="s">
        <v>608</v>
      </c>
      <c r="AB187" s="854" t="s">
        <v>608</v>
      </c>
      <c r="AC187" s="854" t="s">
        <v>608</v>
      </c>
      <c r="AD187" s="854" t="s">
        <v>608</v>
      </c>
      <c r="AE187" s="854" t="s">
        <v>608</v>
      </c>
      <c r="AF187" s="436"/>
      <c r="AG187" s="436"/>
    </row>
    <row r="188" spans="1:33" s="3" customFormat="1">
      <c r="A188" s="436"/>
      <c r="B188" s="615">
        <v>22</v>
      </c>
      <c r="C188" s="439"/>
      <c r="D188" s="439">
        <f t="shared" si="195"/>
        <v>71</v>
      </c>
      <c r="E188" s="439"/>
      <c r="F188" s="443" t="s">
        <v>419</v>
      </c>
      <c r="G188" s="440" t="str">
        <f t="shared" ref="G188:Y188" si="210">"= "&amp;G31&amp;" km a "&amp;TEXT($D$31,"0,00")&amp;" ="</f>
        <v>=  km a 2,23 =</v>
      </c>
      <c r="H188" s="440" t="str">
        <f t="shared" si="210"/>
        <v>=  km a 2,23 =</v>
      </c>
      <c r="I188" s="440" t="str">
        <f t="shared" si="210"/>
        <v>=  km a 2,23 =</v>
      </c>
      <c r="J188" s="440" t="str">
        <f t="shared" si="210"/>
        <v>=  km a 2,23 =</v>
      </c>
      <c r="K188" s="440" t="str">
        <f t="shared" si="210"/>
        <v>=  km a 2,23 =</v>
      </c>
      <c r="L188" s="440" t="str">
        <f t="shared" si="210"/>
        <v>=  km a 2,23 =</v>
      </c>
      <c r="M188" s="440" t="str">
        <f t="shared" si="210"/>
        <v>=  km a 2,23 =</v>
      </c>
      <c r="N188" s="440" t="str">
        <f t="shared" si="210"/>
        <v>=  km a 2,23 =</v>
      </c>
      <c r="O188" s="440" t="str">
        <f t="shared" si="210"/>
        <v>=  km a 2,23 =</v>
      </c>
      <c r="P188" s="440" t="str">
        <f t="shared" si="210"/>
        <v>=  km a 2,23 =</v>
      </c>
      <c r="Q188" s="440" t="str">
        <f t="shared" si="210"/>
        <v>=  km a 2,23 =</v>
      </c>
      <c r="R188" s="440" t="str">
        <f t="shared" si="210"/>
        <v>=  km a 2,23 =</v>
      </c>
      <c r="S188" s="440" t="str">
        <f t="shared" si="210"/>
        <v>=  km a 2,23 =</v>
      </c>
      <c r="T188" s="935" t="str">
        <f t="shared" si="210"/>
        <v>= 0 km a 2,23 =</v>
      </c>
      <c r="U188" s="440" t="str">
        <f t="shared" si="210"/>
        <v>= 0 km a 2,23 =</v>
      </c>
      <c r="V188" s="440" t="str">
        <f t="shared" si="210"/>
        <v>= 0 km a 2,23 =</v>
      </c>
      <c r="W188" s="440" t="str">
        <f t="shared" si="210"/>
        <v>= 0 km a 2,23 =</v>
      </c>
      <c r="X188" s="440" t="str">
        <f t="shared" si="210"/>
        <v>= 0 km a 2,23 =</v>
      </c>
      <c r="Y188" s="440" t="str">
        <f t="shared" si="210"/>
        <v>= 0 km a 2,23 =</v>
      </c>
      <c r="Z188" s="444" t="str">
        <f t="shared" ref="Z188:AE188" si="211">"= "&amp;Z31&amp;" km a "&amp;TEXT($E$31,"0,00")&amp;" ="</f>
        <v>= 0 km a 0,00 =</v>
      </c>
      <c r="AA188" s="444" t="str">
        <f t="shared" si="211"/>
        <v>= 0 km a 0,00 =</v>
      </c>
      <c r="AB188" s="444" t="str">
        <f t="shared" si="211"/>
        <v>= 0 km a 0,00 =</v>
      </c>
      <c r="AC188" s="444" t="str">
        <f t="shared" si="211"/>
        <v>= 0 km a 0,00 =</v>
      </c>
      <c r="AD188" s="444" t="str">
        <f t="shared" si="211"/>
        <v>= 0 km a 0,00 =</v>
      </c>
      <c r="AE188" s="444" t="str">
        <f t="shared" si="211"/>
        <v>= 0 km a 0,00 =</v>
      </c>
      <c r="AF188" s="436"/>
      <c r="AG188" s="436"/>
    </row>
    <row r="189" spans="1:33" s="3" customFormat="1">
      <c r="A189" s="436"/>
      <c r="B189" s="611">
        <v>23</v>
      </c>
      <c r="C189" s="439"/>
      <c r="D189" s="439">
        <f t="shared" si="195"/>
        <v>72</v>
      </c>
      <c r="E189" s="439"/>
      <c r="F189" s="443" t="s">
        <v>420</v>
      </c>
      <c r="G189" s="440" t="str">
        <f t="shared" ref="G189:Y189" si="212">"= "&amp;G32&amp;" km a "&amp;TEXT($D$32,"0,00")&amp;" ="</f>
        <v>=  km a 3,81 =</v>
      </c>
      <c r="H189" s="440" t="str">
        <f t="shared" si="212"/>
        <v>=  km a 3,81 =</v>
      </c>
      <c r="I189" s="440" t="str">
        <f t="shared" si="212"/>
        <v>=  km a 3,81 =</v>
      </c>
      <c r="J189" s="440" t="str">
        <f t="shared" si="212"/>
        <v>=  km a 3,81 =</v>
      </c>
      <c r="K189" s="440" t="str">
        <f t="shared" si="212"/>
        <v>=  km a 3,81 =</v>
      </c>
      <c r="L189" s="440" t="str">
        <f t="shared" si="212"/>
        <v>=  km a 3,81 =</v>
      </c>
      <c r="M189" s="440" t="str">
        <f t="shared" si="212"/>
        <v>=  km a 3,81 =</v>
      </c>
      <c r="N189" s="440" t="str">
        <f t="shared" si="212"/>
        <v>=  km a 3,81 =</v>
      </c>
      <c r="O189" s="440" t="str">
        <f t="shared" si="212"/>
        <v>=  km a 3,81 =</v>
      </c>
      <c r="P189" s="440" t="str">
        <f t="shared" si="212"/>
        <v>=  km a 3,81 =</v>
      </c>
      <c r="Q189" s="440" t="str">
        <f t="shared" si="212"/>
        <v>=  km a 3,81 =</v>
      </c>
      <c r="R189" s="440" t="str">
        <f t="shared" si="212"/>
        <v>=  km a 3,81 =</v>
      </c>
      <c r="S189" s="440" t="str">
        <f t="shared" si="212"/>
        <v>=  km a 3,81 =</v>
      </c>
      <c r="T189" s="935" t="str">
        <f t="shared" si="212"/>
        <v>= 0 km a 3,81 =</v>
      </c>
      <c r="U189" s="440" t="str">
        <f t="shared" si="212"/>
        <v>= 0 km a 3,81 =</v>
      </c>
      <c r="V189" s="440" t="str">
        <f t="shared" si="212"/>
        <v>= 0 km a 3,81 =</v>
      </c>
      <c r="W189" s="440" t="str">
        <f t="shared" si="212"/>
        <v>= 0 km a 3,81 =</v>
      </c>
      <c r="X189" s="440" t="str">
        <f t="shared" si="212"/>
        <v>= 0 km a 3,81 =</v>
      </c>
      <c r="Y189" s="440" t="str">
        <f t="shared" si="212"/>
        <v>= 0 km a 3,81 =</v>
      </c>
      <c r="Z189" s="444" t="str">
        <f t="shared" ref="Z189:AE189" si="213">"= "&amp;Z32&amp;" km a "&amp;TEXT($E$32,"0,00")&amp;" ="</f>
        <v>= 0 km a 0,00 =</v>
      </c>
      <c r="AA189" s="444" t="str">
        <f t="shared" si="213"/>
        <v>= 0 km a 0,00 =</v>
      </c>
      <c r="AB189" s="444" t="str">
        <f t="shared" si="213"/>
        <v>= 0 km a 0,00 =</v>
      </c>
      <c r="AC189" s="444" t="str">
        <f t="shared" si="213"/>
        <v>= 0 km a 0,00 =</v>
      </c>
      <c r="AD189" s="444" t="str">
        <f t="shared" si="213"/>
        <v>= 0 km a 0,00 =</v>
      </c>
      <c r="AE189" s="444" t="str">
        <f t="shared" si="213"/>
        <v>= 0 km a 0,00 =</v>
      </c>
      <c r="AF189" s="436"/>
      <c r="AG189" s="436"/>
    </row>
    <row r="190" spans="1:33" s="3" customFormat="1">
      <c r="A190" s="436"/>
      <c r="B190" s="615">
        <v>24</v>
      </c>
      <c r="C190" s="439"/>
      <c r="D190" s="439">
        <f t="shared" si="195"/>
        <v>73</v>
      </c>
      <c r="E190" s="439"/>
      <c r="F190" s="445" t="s">
        <v>421</v>
      </c>
      <c r="G190" s="440" t="str">
        <f>"(spørg administrationen vedr. beregning)"</f>
        <v>(spørg administrationen vedr. beregning)</v>
      </c>
      <c r="H190" s="440" t="str">
        <f t="shared" ref="H190:S190" si="214">"(spørg administrationen vedr. beregning)"</f>
        <v>(spørg administrationen vedr. beregning)</v>
      </c>
      <c r="I190" s="440" t="str">
        <f t="shared" si="214"/>
        <v>(spørg administrationen vedr. beregning)</v>
      </c>
      <c r="J190" s="440" t="str">
        <f t="shared" si="214"/>
        <v>(spørg administrationen vedr. beregning)</v>
      </c>
      <c r="K190" s="440" t="str">
        <f t="shared" si="214"/>
        <v>(spørg administrationen vedr. beregning)</v>
      </c>
      <c r="L190" s="440" t="str">
        <f t="shared" si="214"/>
        <v>(spørg administrationen vedr. beregning)</v>
      </c>
      <c r="M190" s="440" t="str">
        <f t="shared" si="214"/>
        <v>(spørg administrationen vedr. beregning)</v>
      </c>
      <c r="N190" s="440" t="str">
        <f t="shared" si="214"/>
        <v>(spørg administrationen vedr. beregning)</v>
      </c>
      <c r="O190" s="440" t="str">
        <f t="shared" si="214"/>
        <v>(spørg administrationen vedr. beregning)</v>
      </c>
      <c r="P190" s="440" t="str">
        <f>"(spørg administrationen vedr. beregning)"</f>
        <v>(spørg administrationen vedr. beregning)</v>
      </c>
      <c r="Q190" s="440" t="str">
        <f t="shared" si="214"/>
        <v>(spørg administrationen vedr. beregning)</v>
      </c>
      <c r="R190" s="440" t="str">
        <f t="shared" si="214"/>
        <v>(spørg administrationen vedr. beregning)</v>
      </c>
      <c r="S190" s="440" t="str">
        <f t="shared" si="214"/>
        <v>(spørg administrationen vedr. beregning)</v>
      </c>
      <c r="T190" s="935" t="str">
        <f>"(spørg administrationen vedr. beregning)"</f>
        <v>(spørg administrationen vedr. beregning)</v>
      </c>
      <c r="U190" s="440" t="str">
        <f t="shared" ref="U190:AE190" si="215">"(spørg administrationen vedr. beregning)"</f>
        <v>(spørg administrationen vedr. beregning)</v>
      </c>
      <c r="V190" s="440" t="str">
        <f t="shared" si="215"/>
        <v>(spørg administrationen vedr. beregning)</v>
      </c>
      <c r="W190" s="440" t="str">
        <f t="shared" si="215"/>
        <v>(spørg administrationen vedr. beregning)</v>
      </c>
      <c r="X190" s="440" t="str">
        <f t="shared" si="215"/>
        <v>(spørg administrationen vedr. beregning)</v>
      </c>
      <c r="Y190" s="440" t="str">
        <f t="shared" si="215"/>
        <v>(spørg administrationen vedr. beregning)</v>
      </c>
      <c r="Z190" s="440" t="str">
        <f t="shared" si="215"/>
        <v>(spørg administrationen vedr. beregning)</v>
      </c>
      <c r="AA190" s="440" t="str">
        <f t="shared" si="215"/>
        <v>(spørg administrationen vedr. beregning)</v>
      </c>
      <c r="AB190" s="440" t="str">
        <f t="shared" si="215"/>
        <v>(spørg administrationen vedr. beregning)</v>
      </c>
      <c r="AC190" s="440" t="str">
        <f t="shared" si="215"/>
        <v>(spørg administrationen vedr. beregning)</v>
      </c>
      <c r="AD190" s="440" t="str">
        <f t="shared" si="215"/>
        <v>(spørg administrationen vedr. beregning)</v>
      </c>
      <c r="AE190" s="440" t="str">
        <f t="shared" si="215"/>
        <v>(spørg administrationen vedr. beregning)</v>
      </c>
      <c r="AF190" s="436"/>
      <c r="AG190" s="436"/>
    </row>
    <row r="191" spans="1:33" s="3" customFormat="1">
      <c r="A191" s="436"/>
      <c r="B191" s="611">
        <v>25</v>
      </c>
      <c r="C191" s="439"/>
      <c r="D191" s="439">
        <f t="shared" si="195"/>
        <v>74</v>
      </c>
      <c r="E191" s="439"/>
      <c r="F191" s="445" t="s">
        <v>422</v>
      </c>
      <c r="G191" s="440" t="str">
        <f>"= "&amp;TEXT(G34,"#.###")&amp;" (højst 8.000 kr. er skattefri, resten i lin. 33)"</f>
        <v>=  (højst 8.000 kr. er skattefri, resten i lin. 33)</v>
      </c>
      <c r="H191" s="440" t="str">
        <f t="shared" ref="H191:R191" si="216">"= "&amp;TEXT(H34,"#.###")&amp;" (højst 8.000 kr. er skattefri, resten i lin. 33)"</f>
        <v>=  (højst 8.000 kr. er skattefri, resten i lin. 33)</v>
      </c>
      <c r="I191" s="440" t="str">
        <f t="shared" si="216"/>
        <v>=  (højst 8.000 kr. er skattefri, resten i lin. 33)</v>
      </c>
      <c r="J191" s="440" t="str">
        <f t="shared" si="216"/>
        <v>=  (højst 8.000 kr. er skattefri, resten i lin. 33)</v>
      </c>
      <c r="K191" s="440" t="str">
        <f t="shared" si="216"/>
        <v>=  (højst 8.000 kr. er skattefri, resten i lin. 33)</v>
      </c>
      <c r="L191" s="440" t="str">
        <f t="shared" si="216"/>
        <v>=  (højst 8.000 kr. er skattefri, resten i lin. 33)</v>
      </c>
      <c r="M191" s="440" t="str">
        <f t="shared" si="216"/>
        <v>=  (højst 8.000 kr. er skattefri, resten i lin. 33)</v>
      </c>
      <c r="N191" s="440" t="str">
        <f t="shared" si="216"/>
        <v>=  (højst 8.000 kr. er skattefri, resten i lin. 33)</v>
      </c>
      <c r="O191" s="440" t="str">
        <f t="shared" si="216"/>
        <v>=  (højst 8.000 kr. er skattefri, resten i lin. 33)</v>
      </c>
      <c r="P191" s="440" t="str">
        <f t="shared" si="216"/>
        <v>=  (højst 8.000 kr. er skattefri, resten i lin. 33)</v>
      </c>
      <c r="Q191" s="440" t="str">
        <f t="shared" si="216"/>
        <v>=  (højst 8.000 kr. er skattefri, resten i lin. 33)</v>
      </c>
      <c r="R191" s="440" t="str">
        <f t="shared" si="216"/>
        <v>=  (højst 8.000 kr. er skattefri, resten i lin. 33)</v>
      </c>
      <c r="S191" s="440" t="str">
        <f t="shared" ref="S191" si="217">"= "&amp;TEXT(S34,"#.###")&amp;" (højst 8.000 kr. er skattefri, resten i lin. 34)"</f>
        <v>=  (højst 8.000 kr. er skattefri, resten i lin. 34)</v>
      </c>
      <c r="T191" s="935" t="str">
        <f t="shared" ref="T191:AE191" si="218">"= "&amp;TEXT(T34,"#.###")&amp;" (højst 8.000 kr. er skattefri, resten i lin. 30)"</f>
        <v>=  (højst 8.000 kr. er skattefri, resten i lin. 30)</v>
      </c>
      <c r="U191" s="440" t="str">
        <f t="shared" si="218"/>
        <v>=  (højst 8.000 kr. er skattefri, resten i lin. 30)</v>
      </c>
      <c r="V191" s="440" t="str">
        <f t="shared" si="218"/>
        <v>=  (højst 8.000 kr. er skattefri, resten i lin. 30)</v>
      </c>
      <c r="W191" s="440" t="str">
        <f t="shared" si="218"/>
        <v>=  (højst 8.000 kr. er skattefri, resten i lin. 30)</v>
      </c>
      <c r="X191" s="440" t="str">
        <f t="shared" si="218"/>
        <v>=  (højst 8.000 kr. er skattefri, resten i lin. 30)</v>
      </c>
      <c r="Y191" s="440" t="str">
        <f t="shared" si="218"/>
        <v>=  (højst 8.000 kr. er skattefri, resten i lin. 30)</v>
      </c>
      <c r="Z191" s="440" t="str">
        <f t="shared" si="218"/>
        <v>=  (højst 8.000 kr. er skattefri, resten i lin. 30)</v>
      </c>
      <c r="AA191" s="440" t="str">
        <f t="shared" si="218"/>
        <v>=  (højst 8.000 kr. er skattefri, resten i lin. 30)</v>
      </c>
      <c r="AB191" s="440" t="str">
        <f t="shared" si="218"/>
        <v>=  (højst 8.000 kr. er skattefri, resten i lin. 30)</v>
      </c>
      <c r="AC191" s="440" t="str">
        <f t="shared" si="218"/>
        <v>=  (højst 8.000 kr. er skattefri, resten i lin. 30)</v>
      </c>
      <c r="AD191" s="440" t="str">
        <f t="shared" si="218"/>
        <v>=  (højst 8.000 kr. er skattefri, resten i lin. 30)</v>
      </c>
      <c r="AE191" s="440" t="str">
        <f t="shared" si="218"/>
        <v>=  (højst 8.000 kr. er skattefri, resten i lin. 30)</v>
      </c>
      <c r="AF191" s="436"/>
      <c r="AG191" s="436"/>
    </row>
    <row r="192" spans="1:33" s="3" customFormat="1">
      <c r="A192" s="436"/>
      <c r="B192" s="611"/>
      <c r="C192" s="439"/>
      <c r="D192" s="439"/>
      <c r="E192" s="439"/>
      <c r="F192" s="445" t="s">
        <v>646</v>
      </c>
      <c r="G192" s="440" t="str">
        <f>"= "&amp;G36&amp;" dag a "&amp;ROUND(163.64*G$6,2)&amp;" ="</f>
        <v>=  dag a 201,78 =</v>
      </c>
      <c r="H192" s="440" t="str">
        <f t="shared" ref="H192:O192" si="219">"= "&amp;H36&amp;" dag a "&amp;ROUND(163.64*H$6,2)&amp;" ="</f>
        <v>=  dag a 201,78 =</v>
      </c>
      <c r="I192" s="440" t="str">
        <f t="shared" si="219"/>
        <v>=  dag a 201,78 =</v>
      </c>
      <c r="J192" s="440" t="str">
        <f t="shared" si="219"/>
        <v>=  dag a 0 =</v>
      </c>
      <c r="K192" s="440" t="str">
        <f t="shared" si="219"/>
        <v>=  dag a 0 =</v>
      </c>
      <c r="L192" s="440" t="str">
        <f t="shared" si="219"/>
        <v>=  dag a 0 =</v>
      </c>
      <c r="M192" s="440" t="str">
        <f t="shared" si="219"/>
        <v>=  dag a 0 =</v>
      </c>
      <c r="N192" s="440" t="str">
        <f t="shared" si="219"/>
        <v>=  dag a 0 =</v>
      </c>
      <c r="O192" s="440" t="str">
        <f t="shared" si="219"/>
        <v>=  dag a 0 =</v>
      </c>
      <c r="P192" s="440" t="str">
        <f>"= "&amp;P36&amp;" dag a "&amp;ROUND(163.64*P$6,2)&amp;" ="</f>
        <v>=  dag a 0 =</v>
      </c>
      <c r="Q192" s="440" t="str">
        <f t="shared" ref="Q192:S192" si="220">"= "&amp;Q36&amp;" dag a "&amp;ROUND(163.64*Q$6,2)&amp;" ="</f>
        <v>=  dag a 0 =</v>
      </c>
      <c r="R192" s="440" t="str">
        <f t="shared" si="220"/>
        <v>=  dag a 0 =</v>
      </c>
      <c r="S192" s="440" t="str">
        <f t="shared" si="220"/>
        <v>=  dag a 0 =</v>
      </c>
      <c r="T192" s="935"/>
      <c r="U192" s="440"/>
      <c r="V192" s="440"/>
      <c r="W192" s="440"/>
      <c r="X192" s="440"/>
      <c r="Y192" s="440"/>
      <c r="Z192" s="440"/>
      <c r="AA192" s="440"/>
      <c r="AB192" s="440"/>
      <c r="AC192" s="440"/>
      <c r="AD192" s="440"/>
      <c r="AE192" s="440"/>
      <c r="AF192" s="436"/>
      <c r="AG192" s="436"/>
    </row>
    <row r="193" spans="1:33" s="3" customFormat="1">
      <c r="A193" s="436"/>
      <c r="B193" s="611"/>
      <c r="C193" s="439"/>
      <c r="D193" s="439"/>
      <c r="E193" s="439"/>
      <c r="F193" s="445" t="s">
        <v>647</v>
      </c>
      <c r="G193" s="440" t="str">
        <f>"= "&amp;G37&amp;" dag a "&amp;ROUND(372.2*G$6,2)&amp;" ="</f>
        <v>=  dag a 458,96 =</v>
      </c>
      <c r="H193" s="440" t="str">
        <f t="shared" ref="H193:O193" si="221">"= "&amp;H37&amp;" dag a "&amp;ROUND(372.2*H$6,2)&amp;" ="</f>
        <v>=  dag a 458,96 =</v>
      </c>
      <c r="I193" s="440" t="str">
        <f t="shared" si="221"/>
        <v>=  dag a 458,96 =</v>
      </c>
      <c r="J193" s="440" t="str">
        <f t="shared" si="221"/>
        <v>=  dag a 0 =</v>
      </c>
      <c r="K193" s="440" t="str">
        <f t="shared" si="221"/>
        <v>=  dag a 0 =</v>
      </c>
      <c r="L193" s="440" t="str">
        <f t="shared" si="221"/>
        <v>=  dag a 0 =</v>
      </c>
      <c r="M193" s="440" t="str">
        <f t="shared" si="221"/>
        <v>=  dag a 0 =</v>
      </c>
      <c r="N193" s="440" t="str">
        <f t="shared" si="221"/>
        <v>=  dag a 0 =</v>
      </c>
      <c r="O193" s="440" t="str">
        <f t="shared" si="221"/>
        <v>=  dag a 0 =</v>
      </c>
      <c r="P193" s="440" t="str">
        <f>"= "&amp;P37&amp;" dag a "&amp;ROUND(372.2*P$6,2)&amp;" ="</f>
        <v>=  dag a 0 =</v>
      </c>
      <c r="Q193" s="440" t="str">
        <f t="shared" ref="Q193:S193" si="222">"= "&amp;Q37&amp;" dag a "&amp;ROUND(372.2*Q$6,2)&amp;" ="</f>
        <v>=  dag a 0 =</v>
      </c>
      <c r="R193" s="440" t="str">
        <f t="shared" si="222"/>
        <v>=  dag a 0 =</v>
      </c>
      <c r="S193" s="440" t="str">
        <f t="shared" si="222"/>
        <v>=  dag a 0 =</v>
      </c>
      <c r="T193" s="935"/>
      <c r="U193" s="440"/>
      <c r="V193" s="440"/>
      <c r="W193" s="440"/>
      <c r="X193" s="440"/>
      <c r="Y193" s="440"/>
      <c r="Z193" s="440"/>
      <c r="AA193" s="440"/>
      <c r="AB193" s="440"/>
      <c r="AC193" s="440"/>
      <c r="AD193" s="440"/>
      <c r="AE193" s="440"/>
      <c r="AF193" s="436"/>
      <c r="AG193" s="436"/>
    </row>
    <row r="194" spans="1:33" s="3" customFormat="1">
      <c r="A194" s="436"/>
      <c r="B194" s="615">
        <v>26</v>
      </c>
      <c r="C194" s="439"/>
      <c r="D194" s="439">
        <f>B80</f>
        <v>75</v>
      </c>
      <c r="E194" s="439"/>
      <c r="F194" s="445" t="s">
        <v>684</v>
      </c>
      <c r="G194" s="440" t="str">
        <f t="shared" ref="G194:AE195" si="223">"= "&amp;G35&amp;" t. a "&amp;ROUND(19*G$6,2)&amp;" ="</f>
        <v>=  t. a 23,43 =</v>
      </c>
      <c r="H194" s="440" t="str">
        <f t="shared" si="223"/>
        <v>=  t. a 23,43 =</v>
      </c>
      <c r="I194" s="440" t="str">
        <f t="shared" si="223"/>
        <v>=  t. a 23,43 =</v>
      </c>
      <c r="J194" s="440" t="str">
        <f t="shared" si="223"/>
        <v>=  t. a 0 =</v>
      </c>
      <c r="K194" s="440" t="str">
        <f t="shared" si="223"/>
        <v>=  t. a 0 =</v>
      </c>
      <c r="L194" s="440" t="str">
        <f t="shared" si="223"/>
        <v>=  t. a 0 =</v>
      </c>
      <c r="M194" s="440" t="str">
        <f t="shared" si="223"/>
        <v>=  t. a 0 =</v>
      </c>
      <c r="N194" s="440" t="str">
        <f t="shared" si="223"/>
        <v>=  t. a 0 =</v>
      </c>
      <c r="O194" s="440" t="str">
        <f t="shared" si="223"/>
        <v>=  t. a 0 =</v>
      </c>
      <c r="P194" s="440" t="str">
        <f t="shared" si="223"/>
        <v>=  t. a 0 =</v>
      </c>
      <c r="Q194" s="440" t="str">
        <f t="shared" si="223"/>
        <v>=  t. a 0 =</v>
      </c>
      <c r="R194" s="440" t="str">
        <f t="shared" si="223"/>
        <v>=  t. a 0 =</v>
      </c>
      <c r="S194" s="440" t="str">
        <f t="shared" si="223"/>
        <v>=  t. a 0 =</v>
      </c>
      <c r="T194" s="935" t="str">
        <f t="shared" si="223"/>
        <v>= 0 t. a 23,43 =</v>
      </c>
      <c r="U194" s="440" t="str">
        <f t="shared" si="223"/>
        <v>= 0 t. a 23,43 =</v>
      </c>
      <c r="V194" s="440" t="str">
        <f t="shared" si="223"/>
        <v>= 0 t. a 23,43 =</v>
      </c>
      <c r="W194" s="440" t="str">
        <f t="shared" si="223"/>
        <v>= 0 t. a 0 =</v>
      </c>
      <c r="X194" s="440" t="str">
        <f t="shared" si="223"/>
        <v>= 0 t. a 0 =</v>
      </c>
      <c r="Y194" s="440" t="str">
        <f t="shared" si="223"/>
        <v>= 0 t. a 0 =</v>
      </c>
      <c r="Z194" s="440" t="str">
        <f t="shared" si="223"/>
        <v>= 0 t. a 0 =</v>
      </c>
      <c r="AA194" s="440" t="str">
        <f t="shared" si="223"/>
        <v>= 0 t. a 0 =</v>
      </c>
      <c r="AB194" s="440" t="str">
        <f t="shared" si="223"/>
        <v>= 0 t. a 0 =</v>
      </c>
      <c r="AC194" s="440" t="str">
        <f t="shared" si="223"/>
        <v>= 0 t. a 0 =</v>
      </c>
      <c r="AD194" s="440" t="str">
        <f t="shared" si="223"/>
        <v>= 0 t. a 0 =</v>
      </c>
      <c r="AE194" s="440" t="str">
        <f t="shared" si="223"/>
        <v>= 0 t. a 0 =</v>
      </c>
      <c r="AF194" s="436"/>
      <c r="AG194" s="436"/>
    </row>
    <row r="195" spans="1:33" s="3" customFormat="1">
      <c r="A195" s="436"/>
      <c r="B195" s="615">
        <v>26</v>
      </c>
      <c r="C195" s="439"/>
      <c r="D195" s="439">
        <f>B81</f>
        <v>76</v>
      </c>
      <c r="E195" s="439"/>
      <c r="F195" s="445" t="s">
        <v>650</v>
      </c>
      <c r="G195" s="440" t="str">
        <f>"= "&amp;G41&amp;" t. a "&amp;ROUND(267.31*G$6,2)&amp;" ="</f>
        <v>=  t. a 329,62 =</v>
      </c>
      <c r="H195" s="440" t="str">
        <f t="shared" ref="H195:O195" si="224">"= "&amp;H41&amp;" t. a "&amp;ROUND(267.31*H$6,2)&amp;" ="</f>
        <v>=  t. a 329,62 =</v>
      </c>
      <c r="I195" s="440" t="str">
        <f t="shared" si="224"/>
        <v>=  t. a 329,62 =</v>
      </c>
      <c r="J195" s="440" t="str">
        <f t="shared" si="224"/>
        <v>=  t. a 0 =</v>
      </c>
      <c r="K195" s="440" t="str">
        <f t="shared" si="224"/>
        <v>=  t. a 0 =</v>
      </c>
      <c r="L195" s="440" t="str">
        <f t="shared" si="224"/>
        <v>=  t. a 0 =</v>
      </c>
      <c r="M195" s="440" t="str">
        <f t="shared" si="224"/>
        <v>=  t. a 0 =</v>
      </c>
      <c r="N195" s="440" t="str">
        <f t="shared" si="224"/>
        <v>=  t. a 0 =</v>
      </c>
      <c r="O195" s="440" t="str">
        <f t="shared" si="224"/>
        <v>=  t. a 0 =</v>
      </c>
      <c r="P195" s="440" t="str">
        <f>"= "&amp;P41&amp;" t. a "&amp;ROUND(267.31*P$6,2)&amp;" ="</f>
        <v>=  t. a 0 =</v>
      </c>
      <c r="Q195" s="440" t="str">
        <f t="shared" ref="Q195:S195" si="225">"= "&amp;Q41&amp;" t. a "&amp;ROUND(267.31*Q$6,2)&amp;" ="</f>
        <v>=  t. a 0 =</v>
      </c>
      <c r="R195" s="440" t="str">
        <f t="shared" si="225"/>
        <v>=  t. a 0 =</v>
      </c>
      <c r="S195" s="440" t="str">
        <f t="shared" si="225"/>
        <v>=  t. a 0 =</v>
      </c>
      <c r="T195" s="935" t="str">
        <f t="shared" si="223"/>
        <v>= 0 t. a 23,43 =</v>
      </c>
      <c r="U195" s="440" t="str">
        <f t="shared" si="223"/>
        <v>= 0 t. a 23,43 =</v>
      </c>
      <c r="V195" s="440" t="str">
        <f t="shared" si="223"/>
        <v>= 0 t. a 23,43 =</v>
      </c>
      <c r="W195" s="440" t="str">
        <f t="shared" si="223"/>
        <v>= 0 t. a 0 =</v>
      </c>
      <c r="X195" s="440" t="str">
        <f t="shared" si="223"/>
        <v>= 0 t. a 0 =</v>
      </c>
      <c r="Y195" s="440" t="str">
        <f t="shared" si="223"/>
        <v>= 0 t. a 0 =</v>
      </c>
      <c r="Z195" s="440" t="str">
        <f t="shared" si="223"/>
        <v>= 0 t. a 0 =</v>
      </c>
      <c r="AA195" s="440" t="str">
        <f t="shared" si="223"/>
        <v>= 0 t. a 0 =</v>
      </c>
      <c r="AB195" s="440" t="str">
        <f t="shared" si="223"/>
        <v>= 0 t. a 0 =</v>
      </c>
      <c r="AC195" s="440" t="str">
        <f t="shared" si="223"/>
        <v>= 0 t. a 0 =</v>
      </c>
      <c r="AD195" s="440" t="str">
        <f t="shared" si="223"/>
        <v>= 0 t. a 0 =</v>
      </c>
      <c r="AE195" s="440" t="str">
        <f t="shared" si="223"/>
        <v>= 0 t. a 0 =</v>
      </c>
      <c r="AF195" s="436"/>
      <c r="AG195" s="436"/>
    </row>
    <row r="196" spans="1:33" s="3" customFormat="1">
      <c r="A196" s="436"/>
      <c r="B196" s="611">
        <v>27</v>
      </c>
      <c r="C196" s="439"/>
      <c r="D196" s="439">
        <f>B81</f>
        <v>76</v>
      </c>
      <c r="E196" s="439"/>
      <c r="F196" s="445" t="s">
        <v>423</v>
      </c>
      <c r="G196" s="440" t="str">
        <f t="shared" ref="G196:AE196" si="226">"= "&amp;G38&amp;" t. a "&amp;TEXT(G$163,"#,00")&amp;" * 25% ="</f>
        <v>=  t. a ,00 * 25% =</v>
      </c>
      <c r="H196" s="440" t="str">
        <f t="shared" si="226"/>
        <v>=  t. a ,00 * 25% =</v>
      </c>
      <c r="I196" s="440" t="str">
        <f t="shared" si="226"/>
        <v>=  t. a ,00 * 25% =</v>
      </c>
      <c r="J196" s="440" t="str">
        <f t="shared" si="226"/>
        <v>=  t. a ,00 * 25% =</v>
      </c>
      <c r="K196" s="440" t="str">
        <f t="shared" si="226"/>
        <v>=  t. a ,00 * 25% =</v>
      </c>
      <c r="L196" s="440" t="str">
        <f t="shared" si="226"/>
        <v>=  t. a ,00 * 25% =</v>
      </c>
      <c r="M196" s="440" t="str">
        <f t="shared" si="226"/>
        <v>=  t. a ,00 * 25% =</v>
      </c>
      <c r="N196" s="440" t="str">
        <f t="shared" si="226"/>
        <v>=  t. a ,00 * 25% =</v>
      </c>
      <c r="O196" s="440" t="str">
        <f t="shared" si="226"/>
        <v>=  t. a ,00 * 25% =</v>
      </c>
      <c r="P196" s="440" t="str">
        <f t="shared" si="226"/>
        <v>=  t. a ,00 * 25% =</v>
      </c>
      <c r="Q196" s="440" t="str">
        <f t="shared" si="226"/>
        <v>=  t. a ,00 * 25% =</v>
      </c>
      <c r="R196" s="440" t="str">
        <f t="shared" si="226"/>
        <v>=  t. a ,00 * 25% =</v>
      </c>
      <c r="S196" s="440" t="str">
        <f t="shared" si="226"/>
        <v>=  t. a ,00 * 25% =</v>
      </c>
      <c r="T196" s="935" t="str">
        <f t="shared" si="226"/>
        <v>= 0 t. a ,00 * 25% =</v>
      </c>
      <c r="U196" s="440" t="str">
        <f t="shared" si="226"/>
        <v>= 0 t. a ,00 * 25% =</v>
      </c>
      <c r="V196" s="440" t="str">
        <f t="shared" si="226"/>
        <v>= 0 t. a ,00 * 25% =</v>
      </c>
      <c r="W196" s="440" t="str">
        <f t="shared" si="226"/>
        <v>= 0 t. a ,00 * 25% =</v>
      </c>
      <c r="X196" s="440" t="str">
        <f t="shared" si="226"/>
        <v>= 0 t. a ,00 * 25% =</v>
      </c>
      <c r="Y196" s="440" t="str">
        <f t="shared" si="226"/>
        <v>= 0 t. a ,00 * 25% =</v>
      </c>
      <c r="Z196" s="440" t="str">
        <f t="shared" si="226"/>
        <v>= 0 t. a ,00 * 25% =</v>
      </c>
      <c r="AA196" s="440" t="str">
        <f t="shared" si="226"/>
        <v>= 0 t. a ,00 * 25% =</v>
      </c>
      <c r="AB196" s="440" t="str">
        <f t="shared" si="226"/>
        <v>= 0 t. a ,00 * 25% =</v>
      </c>
      <c r="AC196" s="440" t="str">
        <f t="shared" si="226"/>
        <v>= 0 t. a ,00 * 25% =</v>
      </c>
      <c r="AD196" s="440" t="str">
        <f t="shared" si="226"/>
        <v>= 0 t. a ,00 * 25% =</v>
      </c>
      <c r="AE196" s="440" t="str">
        <f t="shared" si="226"/>
        <v>= 0 t. a ,00 * 25% =</v>
      </c>
      <c r="AF196" s="436"/>
      <c r="AG196" s="436"/>
    </row>
    <row r="197" spans="1:33" s="3" customFormat="1">
      <c r="A197" s="436"/>
      <c r="B197" s="615">
        <v>28</v>
      </c>
      <c r="C197" s="439"/>
      <c r="D197" s="439">
        <f>B82</f>
        <v>77</v>
      </c>
      <c r="E197" s="439"/>
      <c r="F197" s="445" t="s">
        <v>424</v>
      </c>
      <c r="G197" s="440" t="str">
        <f t="shared" ref="G197:AE197" si="227">"= "&amp;G39&amp;" t. a "&amp;TEXT(G$163,"#,00")&amp;" *50% ="</f>
        <v>=  t. a ,00 *50% =</v>
      </c>
      <c r="H197" s="440" t="str">
        <f t="shared" si="227"/>
        <v>=  t. a ,00 *50% =</v>
      </c>
      <c r="I197" s="440" t="str">
        <f t="shared" si="227"/>
        <v>=  t. a ,00 *50% =</v>
      </c>
      <c r="J197" s="440" t="str">
        <f t="shared" si="227"/>
        <v>=  t. a ,00 *50% =</v>
      </c>
      <c r="K197" s="440" t="str">
        <f t="shared" si="227"/>
        <v>=  t. a ,00 *50% =</v>
      </c>
      <c r="L197" s="440" t="str">
        <f t="shared" si="227"/>
        <v>=  t. a ,00 *50% =</v>
      </c>
      <c r="M197" s="440" t="str">
        <f t="shared" si="227"/>
        <v>=  t. a ,00 *50% =</v>
      </c>
      <c r="N197" s="440" t="str">
        <f t="shared" si="227"/>
        <v>=  t. a ,00 *50% =</v>
      </c>
      <c r="O197" s="440" t="str">
        <f t="shared" si="227"/>
        <v>=  t. a ,00 *50% =</v>
      </c>
      <c r="P197" s="440" t="str">
        <f t="shared" si="227"/>
        <v>=  t. a ,00 *50% =</v>
      </c>
      <c r="Q197" s="440" t="str">
        <f t="shared" si="227"/>
        <v>=  t. a ,00 *50% =</v>
      </c>
      <c r="R197" s="440" t="str">
        <f t="shared" si="227"/>
        <v>=  t. a ,00 *50% =</v>
      </c>
      <c r="S197" s="440" t="str">
        <f t="shared" si="227"/>
        <v>=  t. a ,00 *50% =</v>
      </c>
      <c r="T197" s="935" t="str">
        <f t="shared" si="227"/>
        <v>= 0 t. a ,00 *50% =</v>
      </c>
      <c r="U197" s="440" t="str">
        <f t="shared" si="227"/>
        <v>= 0 t. a ,00 *50% =</v>
      </c>
      <c r="V197" s="440" t="str">
        <f t="shared" si="227"/>
        <v>= 0 t. a ,00 *50% =</v>
      </c>
      <c r="W197" s="440" t="str">
        <f t="shared" si="227"/>
        <v>= 0 t. a ,00 *50% =</v>
      </c>
      <c r="X197" s="440" t="str">
        <f t="shared" si="227"/>
        <v>= 0 t. a ,00 *50% =</v>
      </c>
      <c r="Y197" s="440" t="str">
        <f t="shared" si="227"/>
        <v>= 0 t. a ,00 *50% =</v>
      </c>
      <c r="Z197" s="440" t="str">
        <f t="shared" si="227"/>
        <v>= 0 t. a ,00 *50% =</v>
      </c>
      <c r="AA197" s="440" t="str">
        <f t="shared" si="227"/>
        <v>= 0 t. a ,00 *50% =</v>
      </c>
      <c r="AB197" s="440" t="str">
        <f t="shared" si="227"/>
        <v>= 0 t. a ,00 *50% =</v>
      </c>
      <c r="AC197" s="440" t="str">
        <f t="shared" si="227"/>
        <v>= 0 t. a ,00 *50% =</v>
      </c>
      <c r="AD197" s="440" t="str">
        <f t="shared" si="227"/>
        <v>= 0 t. a ,00 *50% =</v>
      </c>
      <c r="AE197" s="440" t="str">
        <f t="shared" si="227"/>
        <v>= 0 t. a ,00 *50% =</v>
      </c>
      <c r="AF197" s="436"/>
      <c r="AG197" s="436"/>
    </row>
    <row r="198" spans="1:33" s="3" customFormat="1">
      <c r="A198" s="436"/>
      <c r="B198" s="611" t="s">
        <v>561</v>
      </c>
      <c r="C198" s="439"/>
      <c r="D198" s="439">
        <f>B83</f>
        <v>78</v>
      </c>
      <c r="E198" s="439"/>
      <c r="F198" s="445" t="s">
        <v>479</v>
      </c>
      <c r="G198" s="440" t="str">
        <f t="shared" ref="G198:AE198" si="228">"= "&amp;G40&amp;" t. a "&amp;TEXT(G$163,"#,00")&amp;" ="</f>
        <v>=  t. a ,00 =</v>
      </c>
      <c r="H198" s="440" t="str">
        <f t="shared" si="228"/>
        <v>=  t. a ,00 =</v>
      </c>
      <c r="I198" s="440" t="str">
        <f t="shared" si="228"/>
        <v>=  t. a ,00 =</v>
      </c>
      <c r="J198" s="440" t="str">
        <f t="shared" si="228"/>
        <v>=  t. a ,00 =</v>
      </c>
      <c r="K198" s="440" t="str">
        <f t="shared" si="228"/>
        <v>=  t. a ,00 =</v>
      </c>
      <c r="L198" s="440" t="str">
        <f t="shared" si="228"/>
        <v>=  t. a ,00 =</v>
      </c>
      <c r="M198" s="440" t="str">
        <f t="shared" si="228"/>
        <v>=  t. a ,00 =</v>
      </c>
      <c r="N198" s="440" t="str">
        <f t="shared" si="228"/>
        <v>=  t. a ,00 =</v>
      </c>
      <c r="O198" s="440" t="str">
        <f t="shared" si="228"/>
        <v>=  t. a ,00 =</v>
      </c>
      <c r="P198" s="440" t="str">
        <f t="shared" si="228"/>
        <v>=  t. a ,00 =</v>
      </c>
      <c r="Q198" s="440" t="str">
        <f t="shared" si="228"/>
        <v>=  t. a ,00 =</v>
      </c>
      <c r="R198" s="440" t="str">
        <f t="shared" si="228"/>
        <v>=  t. a ,00 =</v>
      </c>
      <c r="S198" s="440" t="str">
        <f t="shared" si="228"/>
        <v>=  t. a ,00 =</v>
      </c>
      <c r="T198" s="935" t="str">
        <f t="shared" si="228"/>
        <v>= 0 t. a ,00 =</v>
      </c>
      <c r="U198" s="440" t="str">
        <f t="shared" si="228"/>
        <v>= 0 t. a ,00 =</v>
      </c>
      <c r="V198" s="440" t="str">
        <f t="shared" si="228"/>
        <v>= 0 t. a ,00 =</v>
      </c>
      <c r="W198" s="440" t="str">
        <f t="shared" si="228"/>
        <v>= 0 t. a ,00 =</v>
      </c>
      <c r="X198" s="440" t="str">
        <f t="shared" si="228"/>
        <v>= 0 t. a ,00 =</v>
      </c>
      <c r="Y198" s="440" t="str">
        <f t="shared" si="228"/>
        <v>= 0 t. a ,00 =</v>
      </c>
      <c r="Z198" s="440" t="str">
        <f t="shared" si="228"/>
        <v>= 0 t. a ,00 =</v>
      </c>
      <c r="AA198" s="440" t="str">
        <f t="shared" si="228"/>
        <v>= 0 t. a ,00 =</v>
      </c>
      <c r="AB198" s="440" t="str">
        <f t="shared" si="228"/>
        <v>= 0 t. a ,00 =</v>
      </c>
      <c r="AC198" s="440" t="str">
        <f t="shared" si="228"/>
        <v>= 0 t. a ,00 =</v>
      </c>
      <c r="AD198" s="440" t="str">
        <f t="shared" si="228"/>
        <v>= 0 t. a ,00 =</v>
      </c>
      <c r="AE198" s="440" t="str">
        <f t="shared" si="228"/>
        <v>= 0 t. a ,00 =</v>
      </c>
      <c r="AF198" s="436"/>
      <c r="AG198" s="436"/>
    </row>
    <row r="199" spans="1:33" s="3" customFormat="1">
      <c r="A199" s="436"/>
      <c r="B199" s="615" t="s">
        <v>561</v>
      </c>
      <c r="C199" s="439"/>
      <c r="D199" s="439">
        <f>B87</f>
        <v>82</v>
      </c>
      <c r="E199" s="698"/>
      <c r="F199" s="446" t="s">
        <v>418</v>
      </c>
      <c r="G199" s="444" t="str">
        <f t="shared" ref="G199:AB199" si="229">"= "&amp;IF(G87&lt;&gt;0,"Se specifikation lin. 68- 76 i arket "&amp;$G$1)</f>
        <v>= FALSK</v>
      </c>
      <c r="H199" s="444" t="str">
        <f t="shared" si="229"/>
        <v>= FALSK</v>
      </c>
      <c r="I199" s="444" t="str">
        <f t="shared" si="229"/>
        <v>= FALSK</v>
      </c>
      <c r="J199" s="444" t="str">
        <f t="shared" si="229"/>
        <v>= FALSK</v>
      </c>
      <c r="K199" s="444" t="str">
        <f t="shared" si="229"/>
        <v>= FALSK</v>
      </c>
      <c r="L199" s="444" t="str">
        <f t="shared" si="229"/>
        <v>= FALSK</v>
      </c>
      <c r="M199" s="444" t="str">
        <f t="shared" si="229"/>
        <v>= FALSK</v>
      </c>
      <c r="N199" s="444" t="str">
        <f t="shared" si="229"/>
        <v>= FALSK</v>
      </c>
      <c r="O199" s="444" t="str">
        <f t="shared" si="229"/>
        <v>= FALSK</v>
      </c>
      <c r="P199" s="444" t="str">
        <f t="shared" si="229"/>
        <v>= FALSK</v>
      </c>
      <c r="Q199" s="444" t="str">
        <f t="shared" si="229"/>
        <v>= FALSK</v>
      </c>
      <c r="R199" s="444" t="str">
        <f t="shared" si="229"/>
        <v>= FALSK</v>
      </c>
      <c r="S199" s="444" t="str">
        <f t="shared" si="229"/>
        <v>= FALSK</v>
      </c>
      <c r="T199" s="935" t="str">
        <f t="shared" si="229"/>
        <v>= FALSK</v>
      </c>
      <c r="U199" s="444" t="str">
        <f t="shared" si="229"/>
        <v>= FALSK</v>
      </c>
      <c r="V199" s="444" t="str">
        <f t="shared" si="229"/>
        <v>= FALSK</v>
      </c>
      <c r="W199" s="444" t="str">
        <f t="shared" si="229"/>
        <v>= FALSK</v>
      </c>
      <c r="X199" s="444" t="str">
        <f t="shared" si="229"/>
        <v>= FALSK</v>
      </c>
      <c r="Y199" s="444" t="str">
        <f t="shared" si="229"/>
        <v>= FALSK</v>
      </c>
      <c r="Z199" s="444" t="str">
        <f t="shared" si="229"/>
        <v>= FALSK</v>
      </c>
      <c r="AA199" s="444" t="str">
        <f t="shared" si="229"/>
        <v>= FALSK</v>
      </c>
      <c r="AB199" s="444" t="str">
        <f t="shared" si="229"/>
        <v>= FALSK</v>
      </c>
      <c r="AC199" s="444" t="e">
        <f>"= "&amp;IF(#REF!&lt;&gt;0,"Se specifikation lin. 68- 76 i arket "&amp;$G$1)</f>
        <v>#REF!</v>
      </c>
      <c r="AD199" s="444" t="str">
        <f t="shared" ref="AD199:AE199" si="230">"= "&amp;IF(AD87&lt;&gt;0,"Se specifikation lin. 68- 76 i arket "&amp;$G$1)</f>
        <v>= FALSK</v>
      </c>
      <c r="AE199" s="444" t="str">
        <f t="shared" si="230"/>
        <v>= FALSK</v>
      </c>
      <c r="AF199" s="436"/>
      <c r="AG199" s="436"/>
    </row>
    <row r="200" spans="1:33" s="3" customFormat="1">
      <c r="A200" s="436"/>
      <c r="B200" s="615"/>
      <c r="C200" s="439"/>
      <c r="D200" s="439">
        <v>116</v>
      </c>
      <c r="E200" s="698"/>
      <c r="F200" s="1062" t="s">
        <v>691</v>
      </c>
      <c r="G200" s="444" t="s">
        <v>692</v>
      </c>
      <c r="H200" s="444" t="s">
        <v>692</v>
      </c>
      <c r="I200" s="444" t="s">
        <v>692</v>
      </c>
      <c r="J200" s="444" t="s">
        <v>692</v>
      </c>
      <c r="K200" s="444" t="s">
        <v>692</v>
      </c>
      <c r="L200" s="444" t="s">
        <v>692</v>
      </c>
      <c r="M200" s="444" t="s">
        <v>692</v>
      </c>
      <c r="N200" s="444" t="s">
        <v>692</v>
      </c>
      <c r="O200" s="444" t="s">
        <v>692</v>
      </c>
      <c r="P200" s="444" t="s">
        <v>692</v>
      </c>
      <c r="Q200" s="444" t="s">
        <v>692</v>
      </c>
      <c r="R200" s="444" t="s">
        <v>692</v>
      </c>
      <c r="S200" s="444" t="s">
        <v>692</v>
      </c>
      <c r="T200" s="935"/>
      <c r="U200" s="444"/>
      <c r="V200" s="444"/>
      <c r="W200" s="444"/>
      <c r="X200" s="444"/>
      <c r="Y200" s="444"/>
      <c r="Z200" s="444"/>
      <c r="AA200" s="444"/>
      <c r="AB200" s="444"/>
      <c r="AC200" s="444"/>
      <c r="AD200" s="444"/>
      <c r="AE200" s="444"/>
      <c r="AF200" s="436"/>
      <c r="AG200" s="436"/>
    </row>
    <row r="201" spans="1:33" s="3" customFormat="1">
      <c r="A201" s="436"/>
      <c r="B201" s="611">
        <v>38</v>
      </c>
      <c r="C201" s="439"/>
      <c r="D201" s="439">
        <f t="shared" ref="D201:D217" si="231">B89</f>
        <v>83</v>
      </c>
      <c r="E201" s="439"/>
      <c r="F201" s="447" t="s">
        <v>104</v>
      </c>
      <c r="G201" s="440"/>
      <c r="H201" s="440"/>
      <c r="I201" s="440"/>
      <c r="J201" s="440"/>
      <c r="K201" s="440"/>
      <c r="L201" s="440"/>
      <c r="M201" s="440"/>
      <c r="N201" s="440"/>
      <c r="O201" s="440"/>
      <c r="P201" s="440"/>
      <c r="Q201" s="440"/>
      <c r="R201" s="440"/>
      <c r="S201" s="440"/>
      <c r="T201" s="935"/>
      <c r="U201" s="440"/>
      <c r="V201" s="440"/>
      <c r="W201" s="440"/>
      <c r="X201" s="440"/>
      <c r="Y201" s="440"/>
      <c r="Z201" s="440"/>
      <c r="AA201" s="440"/>
      <c r="AB201" s="440"/>
      <c r="AC201" s="440"/>
      <c r="AD201" s="440"/>
      <c r="AE201" s="440"/>
      <c r="AF201" s="436"/>
      <c r="AG201" s="436"/>
    </row>
    <row r="202" spans="1:33" s="3" customFormat="1">
      <c r="A202" s="436"/>
      <c r="B202" s="623">
        <v>39</v>
      </c>
      <c r="C202" s="439"/>
      <c r="D202" s="439">
        <f t="shared" si="231"/>
        <v>84</v>
      </c>
      <c r="E202" s="439"/>
      <c r="F202" s="442" t="s">
        <v>102</v>
      </c>
      <c r="G202" s="440" t="str">
        <f t="shared" ref="G202:AE202" si="232">"= "&amp;TEXT(G53,"#.###,00")&amp;" * 17,3% / 3  ="</f>
        <v>= ,00 * 17,3% / 3  =</v>
      </c>
      <c r="H202" s="440" t="str">
        <f t="shared" si="232"/>
        <v>= ,00 * 17,3% / 3  =</v>
      </c>
      <c r="I202" s="440" t="str">
        <f t="shared" si="232"/>
        <v>= ,00 * 17,3% / 3  =</v>
      </c>
      <c r="J202" s="440" t="str">
        <f t="shared" si="232"/>
        <v>= ,00 * 17,3% / 3  =</v>
      </c>
      <c r="K202" s="440" t="str">
        <f t="shared" si="232"/>
        <v>= ,00 * 17,3% / 3  =</v>
      </c>
      <c r="L202" s="440" t="str">
        <f t="shared" si="232"/>
        <v>= ,00 * 17,3% / 3  =</v>
      </c>
      <c r="M202" s="440" t="str">
        <f t="shared" si="232"/>
        <v>= ,00 * 17,3% / 3  =</v>
      </c>
      <c r="N202" s="440" t="str">
        <f t="shared" si="232"/>
        <v>= ,00 * 17,3% / 3  =</v>
      </c>
      <c r="O202" s="440" t="str">
        <f t="shared" si="232"/>
        <v>= ,00 * 17,3% / 3  =</v>
      </c>
      <c r="P202" s="440" t="str">
        <f t="shared" si="232"/>
        <v>= ,00 * 17,3% / 3  =</v>
      </c>
      <c r="Q202" s="440" t="str">
        <f t="shared" si="232"/>
        <v>= ,00 * 17,3% / 3  =</v>
      </c>
      <c r="R202" s="440" t="str">
        <f t="shared" si="232"/>
        <v>= ,00 * 17,3% / 3  =</v>
      </c>
      <c r="S202" s="440" t="str">
        <f t="shared" si="232"/>
        <v>= ,00 * 17,3% / 3  =</v>
      </c>
      <c r="T202" s="935" t="str">
        <f t="shared" si="232"/>
        <v>= ,00 * 17,3% / 3  =</v>
      </c>
      <c r="U202" s="440" t="str">
        <f t="shared" si="232"/>
        <v>= ,00 * 17,3% / 3  =</v>
      </c>
      <c r="V202" s="440" t="str">
        <f t="shared" si="232"/>
        <v>= ,00 * 17,3% / 3  =</v>
      </c>
      <c r="W202" s="440" t="str">
        <f t="shared" si="232"/>
        <v>= ,00 * 17,3% / 3  =</v>
      </c>
      <c r="X202" s="440" t="str">
        <f t="shared" si="232"/>
        <v>= ,00 * 17,3% / 3  =</v>
      </c>
      <c r="Y202" s="440" t="str">
        <f t="shared" si="232"/>
        <v>= ,00 * 17,3% / 3  =</v>
      </c>
      <c r="Z202" s="440" t="str">
        <f t="shared" si="232"/>
        <v>= ,00 * 17,3% / 3  =</v>
      </c>
      <c r="AA202" s="440" t="str">
        <f t="shared" si="232"/>
        <v>= ,00 * 17,3% / 3  =</v>
      </c>
      <c r="AB202" s="440" t="str">
        <f t="shared" si="232"/>
        <v>= ,00 * 17,3% / 3  =</v>
      </c>
      <c r="AC202" s="440" t="str">
        <f t="shared" si="232"/>
        <v>= ,00 * 17,3% / 3  =</v>
      </c>
      <c r="AD202" s="440" t="str">
        <f t="shared" si="232"/>
        <v>= ,00 * 17,3% / 3  =</v>
      </c>
      <c r="AE202" s="440" t="str">
        <f t="shared" si="232"/>
        <v>= ,00 * 17,3% / 3  =</v>
      </c>
      <c r="AF202" s="436"/>
      <c r="AG202" s="436"/>
    </row>
    <row r="203" spans="1:33" s="3" customFormat="1">
      <c r="A203" s="436"/>
      <c r="B203" s="619">
        <v>40</v>
      </c>
      <c r="C203" s="439"/>
      <c r="D203" s="439">
        <f t="shared" si="231"/>
        <v>85</v>
      </c>
      <c r="E203" s="439"/>
      <c r="F203" s="443" t="s">
        <v>183</v>
      </c>
      <c r="G203" s="440" t="str">
        <f t="shared" ref="G203:AE210" si="233">"= "&amp;TEXT(G55,"#.###,00")&amp;" * 17,3% / 3  ="</f>
        <v>= ,00 * 17,3% / 3  =</v>
      </c>
      <c r="H203" s="440" t="str">
        <f t="shared" si="233"/>
        <v>= ,00 * 17,3% / 3  =</v>
      </c>
      <c r="I203" s="440" t="str">
        <f t="shared" si="233"/>
        <v>= ,00 * 17,3% / 3  =</v>
      </c>
      <c r="J203" s="440" t="str">
        <f t="shared" si="233"/>
        <v>= ,00 * 17,3% / 3  =</v>
      </c>
      <c r="K203" s="440" t="str">
        <f t="shared" si="233"/>
        <v>= ,00 * 17,3% / 3  =</v>
      </c>
      <c r="L203" s="440" t="str">
        <f t="shared" si="233"/>
        <v>= ,00 * 17,3% / 3  =</v>
      </c>
      <c r="M203" s="440" t="str">
        <f t="shared" si="233"/>
        <v>= ,00 * 17,3% / 3  =</v>
      </c>
      <c r="N203" s="440" t="str">
        <f t="shared" si="233"/>
        <v>= ,00 * 17,3% / 3  =</v>
      </c>
      <c r="O203" s="440" t="str">
        <f t="shared" si="233"/>
        <v>= ,00 * 17,3% / 3  =</v>
      </c>
      <c r="P203" s="440" t="str">
        <f t="shared" si="233"/>
        <v>= ,00 * 17,3% / 3  =</v>
      </c>
      <c r="Q203" s="440" t="str">
        <f t="shared" si="233"/>
        <v>= ,00 * 17,3% / 3  =</v>
      </c>
      <c r="R203" s="440" t="str">
        <f t="shared" si="233"/>
        <v>= ,00 * 17,3% / 3  =</v>
      </c>
      <c r="S203" s="440" t="str">
        <f t="shared" si="233"/>
        <v>= ,00 * 17,3% / 3  =</v>
      </c>
      <c r="T203" s="935" t="str">
        <f t="shared" si="233"/>
        <v>= ,00 * 17,3% / 3  =</v>
      </c>
      <c r="U203" s="440" t="str">
        <f t="shared" si="233"/>
        <v>= ,00 * 17,3% / 3  =</v>
      </c>
      <c r="V203" s="440" t="str">
        <f t="shared" si="233"/>
        <v>= ,00 * 17,3% / 3  =</v>
      </c>
      <c r="W203" s="440" t="str">
        <f t="shared" si="233"/>
        <v>= ,00 * 17,3% / 3  =</v>
      </c>
      <c r="X203" s="440" t="str">
        <f t="shared" si="233"/>
        <v>= ,00 * 17,3% / 3  =</v>
      </c>
      <c r="Y203" s="440" t="str">
        <f t="shared" si="233"/>
        <v>= ,00 * 17,3% / 3  =</v>
      </c>
      <c r="Z203" s="440" t="str">
        <f t="shared" si="233"/>
        <v>= ,00 * 17,3% / 3  =</v>
      </c>
      <c r="AA203" s="440" t="str">
        <f t="shared" si="233"/>
        <v>= ,00 * 17,3% / 3  =</v>
      </c>
      <c r="AB203" s="440" t="str">
        <f t="shared" si="233"/>
        <v>= ,00 * 17,3% / 3  =</v>
      </c>
      <c r="AC203" s="440" t="str">
        <f t="shared" si="233"/>
        <v>= ,00 * 17,3% / 3  =</v>
      </c>
      <c r="AD203" s="440" t="str">
        <f t="shared" si="233"/>
        <v>= ,00 * 17,3% / 3  =</v>
      </c>
      <c r="AE203" s="440" t="str">
        <f t="shared" si="233"/>
        <v>= ,00 * 17,3% / 3  =</v>
      </c>
      <c r="AF203" s="436"/>
      <c r="AG203" s="436"/>
    </row>
    <row r="204" spans="1:33" s="3" customFormat="1">
      <c r="A204" s="436"/>
      <c r="B204" s="623">
        <v>41</v>
      </c>
      <c r="C204" s="439"/>
      <c r="D204" s="439">
        <f t="shared" si="231"/>
        <v>86</v>
      </c>
      <c r="E204" s="439"/>
      <c r="F204" s="443" t="s">
        <v>103</v>
      </c>
      <c r="G204" s="440" t="str">
        <f t="shared" si="233"/>
        <v>= ,00 * 17,3% / 3  =</v>
      </c>
      <c r="H204" s="440" t="str">
        <f t="shared" si="233"/>
        <v>= ,00 * 17,3% / 3  =</v>
      </c>
      <c r="I204" s="440" t="str">
        <f t="shared" si="233"/>
        <v>= ,00 * 17,3% / 3  =</v>
      </c>
      <c r="J204" s="440" t="str">
        <f t="shared" si="233"/>
        <v>= ,00 * 17,3% / 3  =</v>
      </c>
      <c r="K204" s="440" t="str">
        <f t="shared" si="233"/>
        <v>= ,00 * 17,3% / 3  =</v>
      </c>
      <c r="L204" s="440" t="str">
        <f t="shared" si="233"/>
        <v>= ,00 * 17,3% / 3  =</v>
      </c>
      <c r="M204" s="440" t="str">
        <f t="shared" si="233"/>
        <v>= ,00 * 17,3% / 3  =</v>
      </c>
      <c r="N204" s="440" t="str">
        <f t="shared" si="233"/>
        <v>= ,00 * 17,3% / 3  =</v>
      </c>
      <c r="O204" s="440" t="str">
        <f t="shared" si="233"/>
        <v>= ,00 * 17,3% / 3  =</v>
      </c>
      <c r="P204" s="440" t="str">
        <f t="shared" si="233"/>
        <v>= ,00 * 17,3% / 3  =</v>
      </c>
      <c r="Q204" s="440" t="str">
        <f t="shared" si="233"/>
        <v>= ,00 * 17,3% / 3  =</v>
      </c>
      <c r="R204" s="440" t="str">
        <f t="shared" si="233"/>
        <v>= ,00 * 17,3% / 3  =</v>
      </c>
      <c r="S204" s="440" t="str">
        <f t="shared" si="233"/>
        <v>= ,00 * 17,3% / 3  =</v>
      </c>
      <c r="T204" s="935" t="str">
        <f t="shared" si="233"/>
        <v>= ,00 * 17,3% / 3  =</v>
      </c>
      <c r="U204" s="440" t="str">
        <f t="shared" si="233"/>
        <v>= ,00 * 17,3% / 3  =</v>
      </c>
      <c r="V204" s="440" t="str">
        <f t="shared" si="233"/>
        <v>= ,00 * 17,3% / 3  =</v>
      </c>
      <c r="W204" s="440" t="str">
        <f t="shared" si="233"/>
        <v>= ,00 * 17,3% / 3  =</v>
      </c>
      <c r="X204" s="440" t="str">
        <f t="shared" si="233"/>
        <v>= ,00 * 17,3% / 3  =</v>
      </c>
      <c r="Y204" s="440" t="str">
        <f t="shared" si="233"/>
        <v>= ,00 * 17,3% / 3  =</v>
      </c>
      <c r="Z204" s="440" t="str">
        <f t="shared" si="233"/>
        <v>= ,00 * 17,3% / 3  =</v>
      </c>
      <c r="AA204" s="440" t="str">
        <f t="shared" si="233"/>
        <v>= ,00 * 17,3% / 3  =</v>
      </c>
      <c r="AB204" s="440" t="str">
        <f t="shared" si="233"/>
        <v>= ,00 * 17,3% / 3  =</v>
      </c>
      <c r="AC204" s="440" t="str">
        <f t="shared" si="233"/>
        <v>= ,00 * 17,3% / 3  =</v>
      </c>
      <c r="AD204" s="440" t="str">
        <f t="shared" si="233"/>
        <v>= ,00 * 17,3% / 3  =</v>
      </c>
      <c r="AE204" s="440" t="str">
        <f t="shared" si="233"/>
        <v>= ,00 * 17,3% / 3  =</v>
      </c>
      <c r="AF204" s="436"/>
      <c r="AG204" s="436"/>
    </row>
    <row r="205" spans="1:33" s="3" customFormat="1">
      <c r="A205" s="436"/>
      <c r="B205" s="619">
        <v>42</v>
      </c>
      <c r="C205" s="439"/>
      <c r="D205" s="439">
        <f t="shared" si="231"/>
        <v>87</v>
      </c>
      <c r="E205" s="439"/>
      <c r="F205" s="443" t="s">
        <v>190</v>
      </c>
      <c r="G205" s="440" t="str">
        <f t="shared" si="233"/>
        <v>= ,00 * 17,3% / 3  =</v>
      </c>
      <c r="H205" s="440" t="str">
        <f t="shared" si="233"/>
        <v>= ,00 * 17,3% / 3  =</v>
      </c>
      <c r="I205" s="440" t="str">
        <f t="shared" si="233"/>
        <v>= ,00 * 17,3% / 3  =</v>
      </c>
      <c r="J205" s="440" t="str">
        <f t="shared" si="233"/>
        <v>= ,00 * 17,3% / 3  =</v>
      </c>
      <c r="K205" s="440" t="str">
        <f t="shared" si="233"/>
        <v>= ,00 * 17,3% / 3  =</v>
      </c>
      <c r="L205" s="440" t="str">
        <f t="shared" si="233"/>
        <v>= ,00 * 17,3% / 3  =</v>
      </c>
      <c r="M205" s="440" t="str">
        <f t="shared" si="233"/>
        <v>= ,00 * 17,3% / 3  =</v>
      </c>
      <c r="N205" s="440" t="str">
        <f t="shared" si="233"/>
        <v>= ,00 * 17,3% / 3  =</v>
      </c>
      <c r="O205" s="440" t="str">
        <f t="shared" si="233"/>
        <v>= ,00 * 17,3% / 3  =</v>
      </c>
      <c r="P205" s="440" t="str">
        <f t="shared" si="233"/>
        <v>= ,00 * 17,3% / 3  =</v>
      </c>
      <c r="Q205" s="440" t="str">
        <f t="shared" si="233"/>
        <v>= ,00 * 17,3% / 3  =</v>
      </c>
      <c r="R205" s="440" t="str">
        <f t="shared" si="233"/>
        <v>= ,00 * 17,3% / 3  =</v>
      </c>
      <c r="S205" s="440" t="str">
        <f t="shared" si="233"/>
        <v>= ,00 * 17,3% / 3  =</v>
      </c>
      <c r="T205" s="935" t="str">
        <f t="shared" si="233"/>
        <v>= ,00 * 17,3% / 3  =</v>
      </c>
      <c r="U205" s="440" t="str">
        <f t="shared" si="233"/>
        <v>= ,00 * 17,3% / 3  =</v>
      </c>
      <c r="V205" s="440" t="str">
        <f t="shared" si="233"/>
        <v>= ,00 * 17,3% / 3  =</v>
      </c>
      <c r="W205" s="440" t="str">
        <f t="shared" si="233"/>
        <v>= ,00 * 17,3% / 3  =</v>
      </c>
      <c r="X205" s="440" t="str">
        <f t="shared" si="233"/>
        <v>= ,00 * 17,3% / 3  =</v>
      </c>
      <c r="Y205" s="440" t="str">
        <f t="shared" si="233"/>
        <v>= ,00 * 17,3% / 3  =</v>
      </c>
      <c r="Z205" s="440" t="str">
        <f t="shared" si="233"/>
        <v>= ,00 * 17,3% / 3  =</v>
      </c>
      <c r="AA205" s="440" t="str">
        <f t="shared" si="233"/>
        <v>= ,00 * 17,3% / 3  =</v>
      </c>
      <c r="AB205" s="440" t="str">
        <f t="shared" si="233"/>
        <v>= ,00 * 17,3% / 3  =</v>
      </c>
      <c r="AC205" s="440" t="str">
        <f t="shared" si="233"/>
        <v>= ,00 * 17,3% / 3  =</v>
      </c>
      <c r="AD205" s="440" t="str">
        <f t="shared" si="233"/>
        <v>= ,00 * 17,3% / 3  =</v>
      </c>
      <c r="AE205" s="440" t="str">
        <f t="shared" si="233"/>
        <v>= ,00 * 17,3% / 3  =</v>
      </c>
      <c r="AF205" s="436"/>
      <c r="AG205" s="436"/>
    </row>
    <row r="206" spans="1:33" s="3" customFormat="1">
      <c r="A206" s="436"/>
      <c r="B206" s="623">
        <v>43</v>
      </c>
      <c r="C206" s="439"/>
      <c r="D206" s="439">
        <f t="shared" si="231"/>
        <v>88</v>
      </c>
      <c r="E206" s="439"/>
      <c r="F206" s="443" t="s">
        <v>191</v>
      </c>
      <c r="G206" s="440" t="str">
        <f t="shared" si="233"/>
        <v>= ,00 * 17,3% / 3  =</v>
      </c>
      <c r="H206" s="440" t="str">
        <f t="shared" si="233"/>
        <v>= ,00 * 17,3% / 3  =</v>
      </c>
      <c r="I206" s="440" t="str">
        <f t="shared" si="233"/>
        <v>= ,00 * 17,3% / 3  =</v>
      </c>
      <c r="J206" s="440" t="str">
        <f t="shared" si="233"/>
        <v>= ,00 * 17,3% / 3  =</v>
      </c>
      <c r="K206" s="440" t="str">
        <f t="shared" si="233"/>
        <v>= ,00 * 17,3% / 3  =</v>
      </c>
      <c r="L206" s="440" t="str">
        <f t="shared" si="233"/>
        <v>= ,00 * 17,3% / 3  =</v>
      </c>
      <c r="M206" s="440" t="str">
        <f t="shared" si="233"/>
        <v>= ,00 * 17,3% / 3  =</v>
      </c>
      <c r="N206" s="440" t="str">
        <f t="shared" si="233"/>
        <v>= ,00 * 17,3% / 3  =</v>
      </c>
      <c r="O206" s="440" t="str">
        <f t="shared" si="233"/>
        <v>= ,00 * 17,3% / 3  =</v>
      </c>
      <c r="P206" s="440" t="str">
        <f t="shared" si="233"/>
        <v>= ,00 * 17,3% / 3  =</v>
      </c>
      <c r="Q206" s="440" t="str">
        <f t="shared" si="233"/>
        <v>= ,00 * 17,3% / 3  =</v>
      </c>
      <c r="R206" s="440" t="str">
        <f t="shared" si="233"/>
        <v>= ,00 * 17,3% / 3  =</v>
      </c>
      <c r="S206" s="440" t="str">
        <f t="shared" si="233"/>
        <v>= ,00 * 17,3% / 3  =</v>
      </c>
      <c r="T206" s="935" t="str">
        <f t="shared" si="233"/>
        <v>= ,00 * 17,3% / 3  =</v>
      </c>
      <c r="U206" s="440" t="str">
        <f t="shared" si="233"/>
        <v>= ,00 * 17,3% / 3  =</v>
      </c>
      <c r="V206" s="440" t="str">
        <f t="shared" si="233"/>
        <v>= ,00 * 17,3% / 3  =</v>
      </c>
      <c r="W206" s="440" t="str">
        <f t="shared" si="233"/>
        <v>= ,00 * 17,3% / 3  =</v>
      </c>
      <c r="X206" s="440" t="str">
        <f t="shared" si="233"/>
        <v>= ,00 * 17,3% / 3  =</v>
      </c>
      <c r="Y206" s="440" t="str">
        <f t="shared" si="233"/>
        <v>= ,00 * 17,3% / 3  =</v>
      </c>
      <c r="Z206" s="440" t="str">
        <f t="shared" si="233"/>
        <v>= ,00 * 17,3% / 3  =</v>
      </c>
      <c r="AA206" s="440" t="str">
        <f t="shared" si="233"/>
        <v>= ,00 * 17,3% / 3  =</v>
      </c>
      <c r="AB206" s="440" t="str">
        <f t="shared" si="233"/>
        <v>= ,00 * 17,3% / 3  =</v>
      </c>
      <c r="AC206" s="440" t="str">
        <f t="shared" si="233"/>
        <v>= ,00 * 17,3% / 3  =</v>
      </c>
      <c r="AD206" s="440" t="str">
        <f t="shared" si="233"/>
        <v>= ,00 * 17,3% / 3  =</v>
      </c>
      <c r="AE206" s="440" t="str">
        <f t="shared" si="233"/>
        <v>= ,00 * 17,3% / 3  =</v>
      </c>
      <c r="AF206" s="436"/>
      <c r="AG206" s="436"/>
    </row>
    <row r="207" spans="1:33" s="3" customFormat="1">
      <c r="A207" s="436"/>
      <c r="B207" s="619">
        <v>44</v>
      </c>
      <c r="C207" s="439"/>
      <c r="D207" s="439">
        <f t="shared" si="231"/>
        <v>89</v>
      </c>
      <c r="E207" s="439"/>
      <c r="F207" s="443" t="s">
        <v>56</v>
      </c>
      <c r="G207" s="440" t="str">
        <f t="shared" si="233"/>
        <v>= ,00 * 17,3% / 3  =</v>
      </c>
      <c r="H207" s="440" t="str">
        <f t="shared" si="233"/>
        <v>= ,00 * 17,3% / 3  =</v>
      </c>
      <c r="I207" s="440" t="str">
        <f t="shared" si="233"/>
        <v>= ,00 * 17,3% / 3  =</v>
      </c>
      <c r="J207" s="440" t="str">
        <f t="shared" si="233"/>
        <v>= ,00 * 17,3% / 3  =</v>
      </c>
      <c r="K207" s="440" t="str">
        <f t="shared" si="233"/>
        <v>= ,00 * 17,3% / 3  =</v>
      </c>
      <c r="L207" s="440" t="str">
        <f t="shared" si="233"/>
        <v>= ,00 * 17,3% / 3  =</v>
      </c>
      <c r="M207" s="440" t="str">
        <f t="shared" si="233"/>
        <v>= ,00 * 17,3% / 3  =</v>
      </c>
      <c r="N207" s="440" t="str">
        <f t="shared" si="233"/>
        <v>= ,00 * 17,3% / 3  =</v>
      </c>
      <c r="O207" s="440" t="str">
        <f t="shared" si="233"/>
        <v>= ,00 * 17,3% / 3  =</v>
      </c>
      <c r="P207" s="440" t="str">
        <f t="shared" si="233"/>
        <v>= ,00 * 17,3% / 3  =</v>
      </c>
      <c r="Q207" s="440" t="str">
        <f t="shared" si="233"/>
        <v>= ,00 * 17,3% / 3  =</v>
      </c>
      <c r="R207" s="440" t="str">
        <f t="shared" si="233"/>
        <v>= ,00 * 17,3% / 3  =</v>
      </c>
      <c r="S207" s="440" t="str">
        <f t="shared" si="233"/>
        <v>= ,00 * 17,3% / 3  =</v>
      </c>
      <c r="T207" s="935" t="str">
        <f t="shared" si="233"/>
        <v>= ,00 * 17,3% / 3  =</v>
      </c>
      <c r="U207" s="440" t="str">
        <f t="shared" si="233"/>
        <v>= ,00 * 17,3% / 3  =</v>
      </c>
      <c r="V207" s="440" t="str">
        <f t="shared" si="233"/>
        <v>= ,00 * 17,3% / 3  =</v>
      </c>
      <c r="W207" s="440" t="str">
        <f t="shared" si="233"/>
        <v>= ,00 * 17,3% / 3  =</v>
      </c>
      <c r="X207" s="440" t="str">
        <f t="shared" si="233"/>
        <v>= ,00 * 17,3% / 3  =</v>
      </c>
      <c r="Y207" s="440" t="str">
        <f t="shared" si="233"/>
        <v>= ,00 * 17,3% / 3  =</v>
      </c>
      <c r="Z207" s="440" t="str">
        <f t="shared" si="233"/>
        <v>= ,00 * 17,3% / 3  =</v>
      </c>
      <c r="AA207" s="440" t="str">
        <f t="shared" si="233"/>
        <v>= ,00 * 17,3% / 3  =</v>
      </c>
      <c r="AB207" s="440" t="str">
        <f t="shared" si="233"/>
        <v>= ,00 * 17,3% / 3  =</v>
      </c>
      <c r="AC207" s="440" t="str">
        <f t="shared" si="233"/>
        <v>= ,00 * 17,3% / 3  =</v>
      </c>
      <c r="AD207" s="440" t="str">
        <f t="shared" si="233"/>
        <v>= ,00 * 17,3% / 3  =</v>
      </c>
      <c r="AE207" s="440" t="str">
        <f t="shared" si="233"/>
        <v>= ,00 * 17,3% / 3  =</v>
      </c>
      <c r="AF207" s="436"/>
      <c r="AG207" s="436"/>
    </row>
    <row r="208" spans="1:33" s="3" customFormat="1">
      <c r="A208" s="436"/>
      <c r="B208" s="623">
        <v>45</v>
      </c>
      <c r="C208" s="439"/>
      <c r="D208" s="439">
        <f t="shared" si="231"/>
        <v>90</v>
      </c>
      <c r="E208" s="439"/>
      <c r="F208" s="443" t="s">
        <v>57</v>
      </c>
      <c r="G208" s="440" t="str">
        <f t="shared" si="233"/>
        <v>= ,00 * 17,3% / 3  =</v>
      </c>
      <c r="H208" s="440" t="str">
        <f t="shared" si="233"/>
        <v>= ,00 * 17,3% / 3  =</v>
      </c>
      <c r="I208" s="440" t="str">
        <f t="shared" si="233"/>
        <v>= ,00 * 17,3% / 3  =</v>
      </c>
      <c r="J208" s="440" t="str">
        <f t="shared" si="233"/>
        <v>= ,00 * 17,3% / 3  =</v>
      </c>
      <c r="K208" s="440" t="str">
        <f t="shared" si="233"/>
        <v>= ,00 * 17,3% / 3  =</v>
      </c>
      <c r="L208" s="440" t="str">
        <f t="shared" si="233"/>
        <v>= ,00 * 17,3% / 3  =</v>
      </c>
      <c r="M208" s="440" t="str">
        <f t="shared" si="233"/>
        <v>= ,00 * 17,3% / 3  =</v>
      </c>
      <c r="N208" s="440" t="str">
        <f t="shared" si="233"/>
        <v>= ,00 * 17,3% / 3  =</v>
      </c>
      <c r="O208" s="440" t="str">
        <f t="shared" si="233"/>
        <v>= ,00 * 17,3% / 3  =</v>
      </c>
      <c r="P208" s="440" t="str">
        <f t="shared" si="233"/>
        <v>= ,00 * 17,3% / 3  =</v>
      </c>
      <c r="Q208" s="440" t="str">
        <f t="shared" si="233"/>
        <v>= ,00 * 17,3% / 3  =</v>
      </c>
      <c r="R208" s="440" t="str">
        <f t="shared" si="233"/>
        <v>= ,00 * 17,3% / 3  =</v>
      </c>
      <c r="S208" s="440" t="str">
        <f t="shared" si="233"/>
        <v>= ,00 * 17,3% / 3  =</v>
      </c>
      <c r="T208" s="935" t="str">
        <f t="shared" si="233"/>
        <v>= ,00 * 17,3% / 3  =</v>
      </c>
      <c r="U208" s="440" t="str">
        <f t="shared" si="233"/>
        <v>= ,00 * 17,3% / 3  =</v>
      </c>
      <c r="V208" s="440" t="str">
        <f t="shared" si="233"/>
        <v>= ,00 * 17,3% / 3  =</v>
      </c>
      <c r="W208" s="440" t="str">
        <f t="shared" si="233"/>
        <v>= ,00 * 17,3% / 3  =</v>
      </c>
      <c r="X208" s="440" t="str">
        <f t="shared" si="233"/>
        <v>= ,00 * 17,3% / 3  =</v>
      </c>
      <c r="Y208" s="440" t="str">
        <f t="shared" si="233"/>
        <v>= ,00 * 17,3% / 3  =</v>
      </c>
      <c r="Z208" s="440" t="str">
        <f t="shared" si="233"/>
        <v>= ,00 * 17,3% / 3  =</v>
      </c>
      <c r="AA208" s="440" t="str">
        <f t="shared" si="233"/>
        <v>= ,00 * 17,3% / 3  =</v>
      </c>
      <c r="AB208" s="440" t="str">
        <f t="shared" si="233"/>
        <v>= ,00 * 17,3% / 3  =</v>
      </c>
      <c r="AC208" s="440" t="str">
        <f t="shared" si="233"/>
        <v>= ,00 * 17,3% / 3  =</v>
      </c>
      <c r="AD208" s="440" t="str">
        <f t="shared" si="233"/>
        <v>= ,00 * 17,3% / 3  =</v>
      </c>
      <c r="AE208" s="440" t="str">
        <f t="shared" si="233"/>
        <v>= ,00 * 17,3% / 3  =</v>
      </c>
      <c r="AF208" s="436"/>
      <c r="AG208" s="436"/>
    </row>
    <row r="209" spans="1:33" s="3" customFormat="1">
      <c r="A209" s="436"/>
      <c r="B209" s="619">
        <v>46</v>
      </c>
      <c r="C209" s="439"/>
      <c r="D209" s="439">
        <f t="shared" si="231"/>
        <v>91</v>
      </c>
      <c r="E209" s="439"/>
      <c r="F209" s="443" t="s">
        <v>58</v>
      </c>
      <c r="G209" s="440" t="str">
        <f t="shared" si="233"/>
        <v>= ,00 * 17,3% / 3  =</v>
      </c>
      <c r="H209" s="440" t="str">
        <f t="shared" si="233"/>
        <v>= ,00 * 17,3% / 3  =</v>
      </c>
      <c r="I209" s="440" t="str">
        <f t="shared" si="233"/>
        <v>= ,00 * 17,3% / 3  =</v>
      </c>
      <c r="J209" s="440" t="str">
        <f t="shared" si="233"/>
        <v>= ,00 * 17,3% / 3  =</v>
      </c>
      <c r="K209" s="440" t="str">
        <f t="shared" si="233"/>
        <v>= ,00 * 17,3% / 3  =</v>
      </c>
      <c r="L209" s="440" t="str">
        <f t="shared" si="233"/>
        <v>= ,00 * 17,3% / 3  =</v>
      </c>
      <c r="M209" s="440" t="str">
        <f t="shared" si="233"/>
        <v>= ,00 * 17,3% / 3  =</v>
      </c>
      <c r="N209" s="440" t="str">
        <f t="shared" si="233"/>
        <v>= ,00 * 17,3% / 3  =</v>
      </c>
      <c r="O209" s="440" t="str">
        <f t="shared" si="233"/>
        <v>= ,00 * 17,3% / 3  =</v>
      </c>
      <c r="P209" s="440" t="str">
        <f t="shared" si="233"/>
        <v>= ,00 * 17,3% / 3  =</v>
      </c>
      <c r="Q209" s="440" t="str">
        <f t="shared" si="233"/>
        <v>= ,00 * 17,3% / 3  =</v>
      </c>
      <c r="R209" s="440" t="str">
        <f t="shared" si="233"/>
        <v>= ,00 * 17,3% / 3  =</v>
      </c>
      <c r="S209" s="440" t="str">
        <f t="shared" si="233"/>
        <v>= ,00 * 17,3% / 3  =</v>
      </c>
      <c r="T209" s="935" t="str">
        <f t="shared" si="233"/>
        <v>= ,00 * 17,3% / 3  =</v>
      </c>
      <c r="U209" s="440" t="str">
        <f t="shared" si="233"/>
        <v>= ,00 * 17,3% / 3  =</v>
      </c>
      <c r="V209" s="440" t="str">
        <f t="shared" si="233"/>
        <v>= ,00 * 17,3% / 3  =</v>
      </c>
      <c r="W209" s="440" t="str">
        <f t="shared" si="233"/>
        <v>= ,00 * 17,3% / 3  =</v>
      </c>
      <c r="X209" s="440" t="str">
        <f t="shared" si="233"/>
        <v>= ,00 * 17,3% / 3  =</v>
      </c>
      <c r="Y209" s="440" t="str">
        <f t="shared" si="233"/>
        <v>= ,00 * 17,3% / 3  =</v>
      </c>
      <c r="Z209" s="440" t="str">
        <f t="shared" si="233"/>
        <v>= ,00 * 17,3% / 3  =</v>
      </c>
      <c r="AA209" s="440" t="str">
        <f t="shared" si="233"/>
        <v>= ,00 * 17,3% / 3  =</v>
      </c>
      <c r="AB209" s="440" t="str">
        <f t="shared" si="233"/>
        <v>= ,00 * 17,3% / 3  =</v>
      </c>
      <c r="AC209" s="440" t="str">
        <f t="shared" si="233"/>
        <v>= ,00 * 17,3% / 3  =</v>
      </c>
      <c r="AD209" s="440" t="str">
        <f t="shared" si="233"/>
        <v>= ,00 * 17,3% / 3  =</v>
      </c>
      <c r="AE209" s="440" t="str">
        <f t="shared" si="233"/>
        <v>= ,00 * 17,3% / 3  =</v>
      </c>
      <c r="AF209" s="436"/>
      <c r="AG209" s="436"/>
    </row>
    <row r="210" spans="1:33" s="3" customFormat="1">
      <c r="A210" s="436"/>
      <c r="B210" s="623">
        <v>47</v>
      </c>
      <c r="C210" s="439"/>
      <c r="D210" s="439">
        <f t="shared" si="231"/>
        <v>92</v>
      </c>
      <c r="E210" s="439"/>
      <c r="F210" s="443" t="s">
        <v>59</v>
      </c>
      <c r="G210" s="440" t="str">
        <f t="shared" si="233"/>
        <v>= ,00 * 17,3% / 3  =</v>
      </c>
      <c r="H210" s="440" t="str">
        <f t="shared" si="233"/>
        <v>= ,00 * 17,3% / 3  =</v>
      </c>
      <c r="I210" s="440" t="str">
        <f t="shared" si="233"/>
        <v>= ,00 * 17,3% / 3  =</v>
      </c>
      <c r="J210" s="440" t="str">
        <f t="shared" si="233"/>
        <v>= ,00 * 17,3% / 3  =</v>
      </c>
      <c r="K210" s="440" t="str">
        <f t="shared" si="233"/>
        <v>= ,00 * 17,3% / 3  =</v>
      </c>
      <c r="L210" s="440" t="str">
        <f t="shared" si="233"/>
        <v>= ,00 * 17,3% / 3  =</v>
      </c>
      <c r="M210" s="440" t="str">
        <f t="shared" si="233"/>
        <v>= ,00 * 17,3% / 3  =</v>
      </c>
      <c r="N210" s="440" t="str">
        <f t="shared" si="233"/>
        <v>= ,00 * 17,3% / 3  =</v>
      </c>
      <c r="O210" s="440" t="str">
        <f t="shared" si="233"/>
        <v>= ,00 * 17,3% / 3  =</v>
      </c>
      <c r="P210" s="440" t="str">
        <f t="shared" si="233"/>
        <v>= ,00 * 17,3% / 3  =</v>
      </c>
      <c r="Q210" s="440" t="str">
        <f t="shared" si="233"/>
        <v>= ,00 * 17,3% / 3  =</v>
      </c>
      <c r="R210" s="440" t="str">
        <f t="shared" si="233"/>
        <v>= ,00 * 17,3% / 3  =</v>
      </c>
      <c r="S210" s="440" t="str">
        <f t="shared" si="233"/>
        <v>= ,00 * 17,3% / 3  =</v>
      </c>
      <c r="T210" s="935" t="str">
        <f t="shared" si="233"/>
        <v>= ,00 * 17,3% / 3  =</v>
      </c>
      <c r="U210" s="440" t="str">
        <f t="shared" si="233"/>
        <v>= ,00 * 17,3% / 3  =</v>
      </c>
      <c r="V210" s="440" t="str">
        <f t="shared" si="233"/>
        <v>= ,00 * 17,3% / 3  =</v>
      </c>
      <c r="W210" s="440" t="str">
        <f t="shared" si="233"/>
        <v>= ,00 * 17,3% / 3  =</v>
      </c>
      <c r="X210" s="440" t="str">
        <f t="shared" si="233"/>
        <v>= ,00 * 17,3% / 3  =</v>
      </c>
      <c r="Y210" s="440" t="str">
        <f t="shared" si="233"/>
        <v>= ,00 * 17,3% / 3  =</v>
      </c>
      <c r="Z210" s="440" t="str">
        <f t="shared" si="233"/>
        <v>= ,00 * 17,3% / 3  =</v>
      </c>
      <c r="AA210" s="440" t="str">
        <f t="shared" si="233"/>
        <v>= ,00 * 17,3% / 3  =</v>
      </c>
      <c r="AB210" s="440" t="str">
        <f t="shared" si="233"/>
        <v>= ,00 * 17,3% / 3  =</v>
      </c>
      <c r="AC210" s="440" t="str">
        <f t="shared" si="233"/>
        <v>= ,00 * 17,3% / 3  =</v>
      </c>
      <c r="AD210" s="440" t="str">
        <f t="shared" si="233"/>
        <v>= ,00 * 17,3% / 3  =</v>
      </c>
      <c r="AE210" s="440" t="str">
        <f t="shared" si="233"/>
        <v>= ,00 * 17,3% / 3  =</v>
      </c>
      <c r="AF210" s="436"/>
      <c r="AG210" s="436"/>
    </row>
    <row r="211" spans="1:33" s="3" customFormat="1">
      <c r="A211" s="436"/>
      <c r="B211" s="619">
        <v>48</v>
      </c>
      <c r="C211" s="439"/>
      <c r="D211" s="439">
        <f t="shared" si="231"/>
        <v>93</v>
      </c>
      <c r="E211" s="439"/>
      <c r="F211" s="443" t="s">
        <v>340</v>
      </c>
      <c r="G211" s="440" t="str">
        <f t="shared" ref="G211:AE211" si="234">"= "&amp;TEXT(G63,"#.###,00")&amp;" * 17,3% /3  ="</f>
        <v>= ,00 * 17,3% /3  =</v>
      </c>
      <c r="H211" s="440" t="str">
        <f t="shared" si="234"/>
        <v>= ,00 * 17,3% /3  =</v>
      </c>
      <c r="I211" s="440" t="str">
        <f t="shared" si="234"/>
        <v>= ,00 * 17,3% /3  =</v>
      </c>
      <c r="J211" s="440" t="str">
        <f t="shared" si="234"/>
        <v>= ,00 * 17,3% /3  =</v>
      </c>
      <c r="K211" s="440" t="str">
        <f t="shared" si="234"/>
        <v>= ,00 * 17,3% /3  =</v>
      </c>
      <c r="L211" s="440" t="str">
        <f t="shared" si="234"/>
        <v>= ,00 * 17,3% /3  =</v>
      </c>
      <c r="M211" s="440" t="str">
        <f t="shared" si="234"/>
        <v>= ,00 * 17,3% /3  =</v>
      </c>
      <c r="N211" s="440" t="str">
        <f t="shared" si="234"/>
        <v>= ,00 * 17,3% /3  =</v>
      </c>
      <c r="O211" s="440" t="str">
        <f t="shared" si="234"/>
        <v>= ,00 * 17,3% /3  =</v>
      </c>
      <c r="P211" s="440" t="str">
        <f t="shared" si="234"/>
        <v>= ,00 * 17,3% /3  =</v>
      </c>
      <c r="Q211" s="440" t="str">
        <f t="shared" si="234"/>
        <v>= ,00 * 17,3% /3  =</v>
      </c>
      <c r="R211" s="440" t="str">
        <f t="shared" si="234"/>
        <v>= ,00 * 17,3% /3  =</v>
      </c>
      <c r="S211" s="440" t="str">
        <f t="shared" si="234"/>
        <v>= ,00 * 17,3% /3  =</v>
      </c>
      <c r="T211" s="935" t="str">
        <f t="shared" si="234"/>
        <v>= ,00 * 17,3% /3  =</v>
      </c>
      <c r="U211" s="440" t="str">
        <f t="shared" si="234"/>
        <v>= ,00 * 17,3% /3  =</v>
      </c>
      <c r="V211" s="440" t="str">
        <f t="shared" si="234"/>
        <v>= ,00 * 17,3% /3  =</v>
      </c>
      <c r="W211" s="440" t="str">
        <f t="shared" si="234"/>
        <v>= ,00 * 17,3% /3  =</v>
      </c>
      <c r="X211" s="440" t="str">
        <f t="shared" si="234"/>
        <v>= ,00 * 17,3% /3  =</v>
      </c>
      <c r="Y211" s="440" t="str">
        <f t="shared" si="234"/>
        <v>= ,00 * 17,3% /3  =</v>
      </c>
      <c r="Z211" s="440" t="str">
        <f t="shared" si="234"/>
        <v>= ,00 * 17,3% /3  =</v>
      </c>
      <c r="AA211" s="440" t="str">
        <f t="shared" si="234"/>
        <v>= ,00 * 17,3% /3  =</v>
      </c>
      <c r="AB211" s="440" t="str">
        <f t="shared" si="234"/>
        <v>= ,00 * 17,3% /3  =</v>
      </c>
      <c r="AC211" s="440" t="str">
        <f t="shared" si="234"/>
        <v>= ,00 * 17,3% /3  =</v>
      </c>
      <c r="AD211" s="440" t="str">
        <f t="shared" si="234"/>
        <v>= ,00 * 17,3% /3  =</v>
      </c>
      <c r="AE211" s="440" t="str">
        <f t="shared" si="234"/>
        <v>= ,00 * 17,3% /3  =</v>
      </c>
      <c r="AF211" s="436"/>
      <c r="AG211" s="436"/>
    </row>
    <row r="212" spans="1:33" s="3" customFormat="1">
      <c r="A212" s="436"/>
      <c r="B212" s="623">
        <v>49</v>
      </c>
      <c r="C212" s="439"/>
      <c r="D212" s="439">
        <f t="shared" si="231"/>
        <v>94</v>
      </c>
      <c r="E212" s="439"/>
      <c r="F212" s="443" t="s">
        <v>14</v>
      </c>
      <c r="G212" s="440" t="str">
        <f t="shared" ref="G212:AE212" si="235">"= "&amp;TEXT(G64,"#.###,00")&amp;" * 17,3% / 3  ="</f>
        <v>= ,00 * 17,3% / 3  =</v>
      </c>
      <c r="H212" s="440" t="str">
        <f t="shared" si="235"/>
        <v>= ,00 * 17,3% / 3  =</v>
      </c>
      <c r="I212" s="440" t="str">
        <f t="shared" si="235"/>
        <v>= ,00 * 17,3% / 3  =</v>
      </c>
      <c r="J212" s="440" t="str">
        <f t="shared" si="235"/>
        <v>= ,00 * 17,3% / 3  =</v>
      </c>
      <c r="K212" s="440" t="str">
        <f t="shared" si="235"/>
        <v>= ,00 * 17,3% / 3  =</v>
      </c>
      <c r="L212" s="440" t="str">
        <f t="shared" si="235"/>
        <v>= ,00 * 17,3% / 3  =</v>
      </c>
      <c r="M212" s="440" t="str">
        <f t="shared" si="235"/>
        <v>= ,00 * 17,3% / 3  =</v>
      </c>
      <c r="N212" s="440" t="str">
        <f t="shared" si="235"/>
        <v>= ,00 * 17,3% / 3  =</v>
      </c>
      <c r="O212" s="440" t="str">
        <f t="shared" si="235"/>
        <v>= ,00 * 17,3% / 3  =</v>
      </c>
      <c r="P212" s="440" t="str">
        <f t="shared" si="235"/>
        <v>= ,00 * 17,3% / 3  =</v>
      </c>
      <c r="Q212" s="440" t="str">
        <f t="shared" si="235"/>
        <v>= ,00 * 17,3% / 3  =</v>
      </c>
      <c r="R212" s="440" t="str">
        <f t="shared" si="235"/>
        <v>= ,00 * 17,3% / 3  =</v>
      </c>
      <c r="S212" s="440" t="str">
        <f t="shared" si="235"/>
        <v>= ,00 * 17,3% / 3  =</v>
      </c>
      <c r="T212" s="935" t="str">
        <f t="shared" si="235"/>
        <v>= ,00 * 17,3% / 3  =</v>
      </c>
      <c r="U212" s="440" t="str">
        <f t="shared" si="235"/>
        <v>= ,00 * 17,3% / 3  =</v>
      </c>
      <c r="V212" s="440" t="str">
        <f t="shared" si="235"/>
        <v>= ,00 * 17,3% / 3  =</v>
      </c>
      <c r="W212" s="440" t="str">
        <f t="shared" si="235"/>
        <v>= ,00 * 17,3% / 3  =</v>
      </c>
      <c r="X212" s="440" t="str">
        <f t="shared" si="235"/>
        <v>= ,00 * 17,3% / 3  =</v>
      </c>
      <c r="Y212" s="440" t="str">
        <f t="shared" si="235"/>
        <v>= ,00 * 17,3% / 3  =</v>
      </c>
      <c r="Z212" s="440" t="str">
        <f t="shared" si="235"/>
        <v>= ,00 * 17,3% / 3  =</v>
      </c>
      <c r="AA212" s="440" t="str">
        <f t="shared" si="235"/>
        <v>= ,00 * 17,3% / 3  =</v>
      </c>
      <c r="AB212" s="440" t="str">
        <f t="shared" si="235"/>
        <v>= ,00 * 17,3% / 3  =</v>
      </c>
      <c r="AC212" s="440" t="str">
        <f t="shared" si="235"/>
        <v>= ,00 * 17,3% / 3  =</v>
      </c>
      <c r="AD212" s="440" t="str">
        <f t="shared" si="235"/>
        <v>= ,00 * 17,3% / 3  =</v>
      </c>
      <c r="AE212" s="440" t="str">
        <f t="shared" si="235"/>
        <v>= ,00 * 17,3% / 3  =</v>
      </c>
      <c r="AF212" s="436"/>
      <c r="AG212" s="436"/>
    </row>
    <row r="213" spans="1:33" s="3" customFormat="1">
      <c r="A213" s="436"/>
      <c r="B213" s="619">
        <v>50</v>
      </c>
      <c r="C213" s="439"/>
      <c r="D213" s="439">
        <f t="shared" si="231"/>
        <v>95</v>
      </c>
      <c r="E213" s="439"/>
      <c r="F213" s="443" t="s">
        <v>349</v>
      </c>
      <c r="G213" s="440" t="str">
        <f t="shared" ref="G213:AE215" si="236">"= "&amp;TEXT(G66,"#.###,00")&amp;" * 17,3% / 3  ="</f>
        <v>= ,00 * 17,3% / 3  =</v>
      </c>
      <c r="H213" s="440" t="str">
        <f t="shared" si="236"/>
        <v>= ,00 * 17,3% / 3  =</v>
      </c>
      <c r="I213" s="440" t="str">
        <f t="shared" si="236"/>
        <v>= ,00 * 17,3% / 3  =</v>
      </c>
      <c r="J213" s="440" t="str">
        <f t="shared" si="236"/>
        <v>= ,00 * 17,3% / 3  =</v>
      </c>
      <c r="K213" s="440" t="str">
        <f t="shared" si="236"/>
        <v>= ,00 * 17,3% / 3  =</v>
      </c>
      <c r="L213" s="440" t="str">
        <f t="shared" si="236"/>
        <v>= ,00 * 17,3% / 3  =</v>
      </c>
      <c r="M213" s="440" t="str">
        <f t="shared" si="236"/>
        <v>= ,00 * 17,3% / 3  =</v>
      </c>
      <c r="N213" s="440" t="str">
        <f t="shared" si="236"/>
        <v>= ,00 * 17,3% / 3  =</v>
      </c>
      <c r="O213" s="440" t="str">
        <f t="shared" si="236"/>
        <v>= ,00 * 17,3% / 3  =</v>
      </c>
      <c r="P213" s="440" t="str">
        <f t="shared" si="236"/>
        <v>= ,00 * 17,3% / 3  =</v>
      </c>
      <c r="Q213" s="440" t="str">
        <f t="shared" si="236"/>
        <v>= ,00 * 17,3% / 3  =</v>
      </c>
      <c r="R213" s="440" t="str">
        <f t="shared" si="236"/>
        <v>= ,00 * 17,3% / 3  =</v>
      </c>
      <c r="S213" s="440" t="str">
        <f t="shared" si="236"/>
        <v>= ,00 * 17,3% / 3  =</v>
      </c>
      <c r="T213" s="935" t="str">
        <f t="shared" si="236"/>
        <v>= ,00 * 17,3% / 3  =</v>
      </c>
      <c r="U213" s="440" t="str">
        <f t="shared" si="236"/>
        <v>= ,00 * 17,3% / 3  =</v>
      </c>
      <c r="V213" s="440" t="str">
        <f t="shared" si="236"/>
        <v>= ,00 * 17,3% / 3  =</v>
      </c>
      <c r="W213" s="440" t="str">
        <f t="shared" si="236"/>
        <v>= ,00 * 17,3% / 3  =</v>
      </c>
      <c r="X213" s="440" t="str">
        <f t="shared" si="236"/>
        <v>= ,00 * 17,3% / 3  =</v>
      </c>
      <c r="Y213" s="440" t="str">
        <f t="shared" si="236"/>
        <v>= ,00 * 17,3% / 3  =</v>
      </c>
      <c r="Z213" s="440" t="str">
        <f t="shared" si="236"/>
        <v>= ,00 * 17,3% / 3  =</v>
      </c>
      <c r="AA213" s="440" t="str">
        <f t="shared" si="236"/>
        <v>= ,00 * 17,3% / 3  =</v>
      </c>
      <c r="AB213" s="440" t="str">
        <f t="shared" si="236"/>
        <v>= ,00 * 17,3% / 3  =</v>
      </c>
      <c r="AC213" s="440" t="str">
        <f t="shared" si="236"/>
        <v>= ,00 * 17,3% / 3  =</v>
      </c>
      <c r="AD213" s="440" t="str">
        <f t="shared" si="236"/>
        <v>= ,00 * 17,3% / 3  =</v>
      </c>
      <c r="AE213" s="440" t="str">
        <f t="shared" si="236"/>
        <v>= ,00 * 17,3% / 3  =</v>
      </c>
      <c r="AF213" s="436"/>
      <c r="AG213" s="436"/>
    </row>
    <row r="214" spans="1:33" s="3" customFormat="1">
      <c r="A214" s="436"/>
      <c r="B214" s="623">
        <v>51</v>
      </c>
      <c r="C214" s="439"/>
      <c r="D214" s="439">
        <f t="shared" si="231"/>
        <v>96</v>
      </c>
      <c r="E214" s="439"/>
      <c r="F214" s="443" t="s">
        <v>576</v>
      </c>
      <c r="G214" s="440" t="str">
        <f t="shared" si="236"/>
        <v>= ,00 * 17,3% / 3  =</v>
      </c>
      <c r="H214" s="440" t="str">
        <f t="shared" si="236"/>
        <v>= ,00 * 17,3% / 3  =</v>
      </c>
      <c r="I214" s="440" t="str">
        <f t="shared" si="236"/>
        <v>= ,00 * 17,3% / 3  =</v>
      </c>
      <c r="J214" s="440" t="str">
        <f t="shared" si="236"/>
        <v>= ,00 * 17,3% / 3  =</v>
      </c>
      <c r="K214" s="440" t="str">
        <f t="shared" si="236"/>
        <v>= ,00 * 17,3% / 3  =</v>
      </c>
      <c r="L214" s="440" t="str">
        <f t="shared" si="236"/>
        <v>= ,00 * 17,3% / 3  =</v>
      </c>
      <c r="M214" s="440" t="str">
        <f t="shared" si="236"/>
        <v>= ,00 * 17,3% / 3  =</v>
      </c>
      <c r="N214" s="440" t="str">
        <f t="shared" si="236"/>
        <v>= ,00 * 17,3% / 3  =</v>
      </c>
      <c r="O214" s="440" t="str">
        <f t="shared" si="236"/>
        <v>= ,00 * 17,3% / 3  =</v>
      </c>
      <c r="P214" s="440" t="str">
        <f t="shared" si="236"/>
        <v>= ,00 * 17,3% / 3  =</v>
      </c>
      <c r="Q214" s="440" t="str">
        <f t="shared" si="236"/>
        <v>= ,00 * 17,3% / 3  =</v>
      </c>
      <c r="R214" s="440" t="str">
        <f t="shared" si="236"/>
        <v>= ,00 * 17,3% / 3  =</v>
      </c>
      <c r="S214" s="440" t="str">
        <f t="shared" si="236"/>
        <v>= ,00 * 17,3% / 3  =</v>
      </c>
      <c r="T214" s="935" t="str">
        <f t="shared" si="236"/>
        <v>= ,00 * 17,3% / 3  =</v>
      </c>
      <c r="U214" s="440" t="str">
        <f t="shared" si="236"/>
        <v>= ,00 * 17,3% / 3  =</v>
      </c>
      <c r="V214" s="440" t="str">
        <f t="shared" si="236"/>
        <v>= ,00 * 17,3% / 3  =</v>
      </c>
      <c r="W214" s="440" t="str">
        <f t="shared" si="236"/>
        <v>= ,00 * 17,3% / 3  =</v>
      </c>
      <c r="X214" s="440" t="str">
        <f t="shared" si="236"/>
        <v>= ,00 * 17,3% / 3  =</v>
      </c>
      <c r="Y214" s="440" t="str">
        <f t="shared" si="236"/>
        <v>= ,00 * 17,3% / 3  =</v>
      </c>
      <c r="Z214" s="440" t="str">
        <f t="shared" si="236"/>
        <v>= ,00 * 17,3% / 3  =</v>
      </c>
      <c r="AA214" s="440" t="str">
        <f t="shared" si="236"/>
        <v>= ,00 * 17,3% / 3  =</v>
      </c>
      <c r="AB214" s="440" t="str">
        <f t="shared" si="236"/>
        <v>= ,00 * 17,3% / 3  =</v>
      </c>
      <c r="AC214" s="440" t="str">
        <f t="shared" si="236"/>
        <v>= ,00 * 17,3% / 3  =</v>
      </c>
      <c r="AD214" s="440" t="str">
        <f t="shared" si="236"/>
        <v>= ,00 * 17,3% / 3  =</v>
      </c>
      <c r="AE214" s="440" t="str">
        <f t="shared" si="236"/>
        <v>= ,00 * 17,3% / 3  =</v>
      </c>
      <c r="AF214" s="436"/>
      <c r="AG214" s="436"/>
    </row>
    <row r="215" spans="1:33" s="3" customFormat="1">
      <c r="A215" s="436"/>
      <c r="B215" s="619">
        <v>52</v>
      </c>
      <c r="C215" s="439"/>
      <c r="D215" s="439">
        <f t="shared" si="231"/>
        <v>97</v>
      </c>
      <c r="E215" s="439"/>
      <c r="F215" s="443" t="s">
        <v>547</v>
      </c>
      <c r="G215" s="440" t="str">
        <f t="shared" si="236"/>
        <v>= ,00 * 17,3% / 3  =</v>
      </c>
      <c r="H215" s="440" t="str">
        <f t="shared" si="236"/>
        <v>= ,00 * 17,3% / 3  =</v>
      </c>
      <c r="I215" s="440" t="str">
        <f t="shared" si="236"/>
        <v>= ,00 * 17,3% / 3  =</v>
      </c>
      <c r="J215" s="440" t="str">
        <f t="shared" si="236"/>
        <v>= ,00 * 17,3% / 3  =</v>
      </c>
      <c r="K215" s="440" t="str">
        <f t="shared" si="236"/>
        <v>= ,00 * 17,3% / 3  =</v>
      </c>
      <c r="L215" s="440" t="str">
        <f t="shared" si="236"/>
        <v>= ,00 * 17,3% / 3  =</v>
      </c>
      <c r="M215" s="440" t="str">
        <f t="shared" si="236"/>
        <v>= ,00 * 17,3% / 3  =</v>
      </c>
      <c r="N215" s="440" t="str">
        <f t="shared" si="236"/>
        <v>= ,00 * 17,3% / 3  =</v>
      </c>
      <c r="O215" s="440" t="str">
        <f t="shared" si="236"/>
        <v>= ,00 * 17,3% / 3  =</v>
      </c>
      <c r="P215" s="440" t="str">
        <f t="shared" si="236"/>
        <v>= ,00 * 17,3% / 3  =</v>
      </c>
      <c r="Q215" s="440" t="str">
        <f t="shared" si="236"/>
        <v>= ,00 * 17,3% / 3  =</v>
      </c>
      <c r="R215" s="440" t="str">
        <f t="shared" si="236"/>
        <v>= ,00 * 17,3% / 3  =</v>
      </c>
      <c r="S215" s="440" t="str">
        <f t="shared" si="236"/>
        <v>= ,00 * 17,3% / 3  =</v>
      </c>
      <c r="T215" s="935" t="str">
        <f t="shared" si="236"/>
        <v>= ,00 * 17,3% / 3  =</v>
      </c>
      <c r="U215" s="440" t="str">
        <f t="shared" si="236"/>
        <v>= ,00 * 17,3% / 3  =</v>
      </c>
      <c r="V215" s="440" t="str">
        <f t="shared" si="236"/>
        <v>= ,00 * 17,3% / 3  =</v>
      </c>
      <c r="W215" s="440" t="str">
        <f t="shared" si="236"/>
        <v>= ,00 * 17,3% / 3  =</v>
      </c>
      <c r="X215" s="440" t="str">
        <f t="shared" si="236"/>
        <v>= ,00 * 17,3% / 3  =</v>
      </c>
      <c r="Y215" s="440" t="str">
        <f t="shared" si="236"/>
        <v>= ,00 * 17,3% / 3  =</v>
      </c>
      <c r="Z215" s="440" t="str">
        <f t="shared" si="236"/>
        <v>= ,00 * 17,3% / 3  =</v>
      </c>
      <c r="AA215" s="440" t="str">
        <f t="shared" si="236"/>
        <v>= ,00 * 17,3% / 3  =</v>
      </c>
      <c r="AB215" s="440" t="str">
        <f t="shared" si="236"/>
        <v>= ,00 * 17,3% / 3  =</v>
      </c>
      <c r="AC215" s="440" t="str">
        <f t="shared" si="236"/>
        <v>= ,00 * 17,3% / 3  =</v>
      </c>
      <c r="AD215" s="440" t="str">
        <f t="shared" si="236"/>
        <v>= ,00 * 17,3% / 3  =</v>
      </c>
      <c r="AE215" s="440" t="str">
        <f t="shared" si="236"/>
        <v>= ,00 * 17,3% / 3  =</v>
      </c>
      <c r="AF215" s="436"/>
      <c r="AG215" s="436"/>
    </row>
    <row r="216" spans="1:33" s="481" customFormat="1">
      <c r="B216" s="623">
        <v>53</v>
      </c>
      <c r="C216" s="439"/>
      <c r="D216" s="439">
        <f t="shared" si="231"/>
        <v>98</v>
      </c>
      <c r="E216" s="439"/>
      <c r="F216" s="443" t="s">
        <v>577</v>
      </c>
      <c r="G216" s="440" t="e" cm="1">
        <f t="array" ref="G216">"= "&amp;IF(G84&lt;&gt;0,TEXT(G84,"#.###,00")&amp;" + ","")&amp;IF(G42+G45+G46&lt;&gt;0,"(",””)&amp;IF(AND(G10&lt;1,G42&gt;0),TEXT(G42,"#.###,00")&amp;" + ","")&amp;IF($C45&lt;&gt;"",TEXT(G45,"#.##0,00")&amp;" + ","")&amp;IF($C46&lt;&gt;"",TEXT(G46,"#.##0,00"),"")&amp; IF(G42+G45+G46&lt;&gt;0,") * 17,3% / 3","") &amp;"  ="</f>
        <v>#NAME?</v>
      </c>
      <c r="H216" s="440" t="e" cm="1">
        <f t="array" ref="H216">"= "&amp;IF(H84&lt;&gt;0,TEXT(H84,"#.###,00")&amp;" + ","")&amp;IF(H42+H45+H46&lt;&gt;0,"(",””)&amp;IF(AND(H10&lt;1,H42&gt;0),TEXT(H42,"#.###,00")&amp;" + ","")&amp;IF($C45&lt;&gt;"",TEXT(H45,"#.##0,00")&amp;" + ","")&amp;IF($C46&lt;&gt;"",TEXT(H46,"#.##0,00"),"")&amp; IF(H42+H45+H46&lt;&gt;0,") * 17,3% / 3","") &amp;"  ="</f>
        <v>#NAME?</v>
      </c>
      <c r="I216" s="440" t="e" cm="1">
        <f t="array" ref="I216">"= "&amp;IF(I84&lt;&gt;0,TEXT(I84,"#.###,00")&amp;" + ","")&amp;IF(I42+I45+I46&lt;&gt;0,"(",””)&amp;IF(AND(I10&lt;1,I42&gt;0),TEXT(I42,"#.###,00")&amp;" + ","")&amp;IF($C45&lt;&gt;"",TEXT(I45,"#.##0,00")&amp;" + ","")&amp;IF($C46&lt;&gt;"",TEXT(I46,"#.##0,00"),"")&amp; IF(I42+I45+I46&lt;&gt;0,") * 17,3% / 3","") &amp;"  ="</f>
        <v>#NAME?</v>
      </c>
      <c r="J216" s="440" t="e" cm="1">
        <f t="array" ref="J216">"= "&amp;IF(J84&lt;&gt;0,TEXT(J84,"#.###,00")&amp;" + ","")&amp;IF(J42+J45+J46&lt;&gt;0,"(",””)&amp;IF(AND(J10&lt;1,J42&gt;0),TEXT(J42,"#.###,00")&amp;" + ","")&amp;IF($C45&lt;&gt;"",TEXT(J45,"#.##0,00")&amp;" + ","")&amp;IF($C46&lt;&gt;"",TEXT(J46,"#.##0,00"),"")&amp; IF(J42+J45+J46&lt;&gt;0,") * 17,3% / 3","") &amp;"  ="</f>
        <v>#NAME?</v>
      </c>
      <c r="K216" s="440" t="e" cm="1">
        <f t="array" ref="K216">"= "&amp;IF(K84&lt;&gt;0,TEXT(K84,"#.###,00")&amp;" + ","")&amp;IF(K42+K45+K46&lt;&gt;0,"(",””)&amp;IF(AND(K10&lt;1,K42&gt;0),TEXT(K42,"#.###,00")&amp;" + ","")&amp;IF($C45&lt;&gt;"",TEXT(K45,"#.##0,00")&amp;" + ","")&amp;IF($C46&lt;&gt;"",TEXT(K46,"#.##0,00"),"")&amp; IF(K42+K45+K46&lt;&gt;0,") * 17,3% / 3","") &amp;"  ="</f>
        <v>#NAME?</v>
      </c>
      <c r="L216" s="440" t="e" cm="1">
        <f t="array" ref="L216">"= "&amp;IF(L84&lt;&gt;0,TEXT(L84,"#.###,00")&amp;" + ","")&amp;IF(L42+L45+L46&lt;&gt;0,"(",””)&amp;IF(AND(L10&lt;1,L42&gt;0),TEXT(L42,"#.###,00")&amp;" + ","")&amp;IF($C45&lt;&gt;"",TEXT(L45,"#.##0,00")&amp;" + ","")&amp;IF($C46&lt;&gt;"",TEXT(L46,"#.##0,00"),"")&amp; IF(L42+L45+L46&lt;&gt;0,") * 17,3% / 3","") &amp;"  ="</f>
        <v>#NAME?</v>
      </c>
      <c r="M216" s="440" t="e" cm="1">
        <f t="array" ref="M216">"= "&amp;IF(M84&lt;&gt;0,TEXT(M84,"#.###,00")&amp;" + ","")&amp;IF(M42+M45+M46&lt;&gt;0,"(",””)&amp;IF(AND(M10&lt;1,M42&gt;0),TEXT(M42,"#.###,00")&amp;" + ","")&amp;IF($C45&lt;&gt;"",TEXT(M45,"#.##0,00")&amp;" + ","")&amp;IF($C46&lt;&gt;"",TEXT(M46,"#.##0,00"),"")&amp; IF(M42+M45+M46&lt;&gt;0,") * 17,3% / 3","") &amp;"  ="</f>
        <v>#NAME?</v>
      </c>
      <c r="N216" s="440" t="e" cm="1">
        <f t="array" ref="N216">"= "&amp;IF(N84&lt;&gt;0,TEXT(N84,"#.###,00")&amp;" + ","")&amp;IF(N42+N45+N46&lt;&gt;0,"(",””)&amp;IF(AND(N10&lt;1,N42&gt;0),TEXT(N42,"#.###,00")&amp;" + ","")&amp;IF($C45&lt;&gt;"",TEXT(N45,"#.##0,00")&amp;" + ","")&amp;IF($C46&lt;&gt;"",TEXT(N46,"#.##0,00"),"")&amp; IF(N42+N45+N46&lt;&gt;0,") * 17,3% / 3","") &amp;"  ="</f>
        <v>#NAME?</v>
      </c>
      <c r="O216" s="440" t="e" cm="1">
        <f t="array" ref="O216">"= "&amp;IF(O84&lt;&gt;0,TEXT(O84,"#.###,00")&amp;" + ","")&amp;IF(O42+O45+O46&lt;&gt;0,"(",””)&amp;IF(AND(O10&lt;1,O42&gt;0),TEXT(O42,"#.###,00")&amp;" + ","")&amp;IF($C45&lt;&gt;"",TEXT(O45,"#.##0,00")&amp;" + ","")&amp;IF($C46&lt;&gt;"",TEXT(O46,"#.##0,00"),"")&amp; IF(O42+O45+O46&lt;&gt;0,") * 17,3% / 3","") &amp;"  ="</f>
        <v>#NAME?</v>
      </c>
      <c r="P216" s="440" t="e" cm="1">
        <f t="array" ref="P216">"= "&amp;IF(P84&lt;&gt;0,TEXT(P84,"#.###,00")&amp;" + ","")&amp;IF(P42+P45+P46&lt;&gt;0,"(",””)&amp;IF(AND(P10&lt;1,P42&gt;0),TEXT(P42,"#.###,00")&amp;" + ","")&amp;IF($C45&lt;&gt;"",TEXT(P45,"#.##0,00")&amp;" + ","")&amp;IF($C46&lt;&gt;"",TEXT(P46,"#.##0,00"),"")&amp; IF(P42+P45+P46&lt;&gt;0,") * 17,3% / 3","") &amp;"  ="</f>
        <v>#NAME?</v>
      </c>
      <c r="Q216" s="440" t="e" cm="1">
        <f t="array" ref="Q216">"= "&amp;IF(Q84&lt;&gt;0,TEXT(Q84,"#.###,00")&amp;" + ","")&amp;IF(Q42+Q45+Q46&lt;&gt;0,"(",””)&amp;IF(AND(Q10&lt;1,Q42&gt;0),TEXT(Q42,"#.###,00")&amp;" + ","")&amp;IF($C45&lt;&gt;"",TEXT(Q45,"#.##0,00")&amp;" + ","")&amp;IF($C46&lt;&gt;"",TEXT(Q46,"#.##0,00"),"")&amp; IF(Q42+Q45+Q46&lt;&gt;0,") * 17,3% / 3","") &amp;"  ="</f>
        <v>#NAME?</v>
      </c>
      <c r="R216" s="440" t="e" cm="1">
        <f t="array" ref="R216">"= "&amp;IF(R84&lt;&gt;0,TEXT(R84,"#.###,00")&amp;" + ","")&amp;IF(R42+R45+R46&lt;&gt;0,"(",””)&amp;IF(AND(R10&lt;1,R42&gt;0),TEXT(R42,"#.###,00")&amp;" + ","")&amp;IF($C45&lt;&gt;"",TEXT(R45,"#.##0,00")&amp;" + ","")&amp;IF($C46&lt;&gt;"",TEXT(R46,"#.##0,00"),"")&amp; IF(R42+R45+R46&lt;&gt;0,") * 17,3% / 3","") &amp;"  ="</f>
        <v>#NAME?</v>
      </c>
      <c r="S216" s="440" t="e" cm="1">
        <f t="array" ref="S216">"= "&amp;IF(S84&lt;&gt;0,TEXT(S84,"#.###,00")&amp;" + ","")&amp;IF(S42+S45+S46&lt;&gt;0,"(",””)&amp;IF(AND(S10&lt;1,S42&gt;0),TEXT(S42,"#.###,00")&amp;" + ","")&amp;IF($C45&lt;&gt;"",TEXT(S45,"#.##0,00")&amp;" + ","")&amp;IF($C46&lt;&gt;"",TEXT(S46,"#.##0,00"),"")&amp; IF(S42+S45+S46&lt;&gt;0,") * 17,3% / 3","") &amp;"  ="</f>
        <v>#NAME?</v>
      </c>
      <c r="T216" s="935" t="e">
        <f>"= "&amp;IF(T42+T45+T46&lt;&gt;0,"(",””)&amp;IF(AND(T10&lt;1,T42&gt;0),TEXT(T42,"#.###,00")&amp;" + ","")&amp;IF($C45&lt;&gt;"",TEXT(T45,"#.##0,00")&amp;" + ","")&amp;IF($C46&lt;&gt;"",TEXT(T46,"#.##0,00"),"")&amp; IF(T42+T45+T46&lt;&gt;0,") * 17,3% / 3","") &amp;"  ="</f>
        <v>#NAME?</v>
      </c>
      <c r="U216" s="440" t="e">
        <f>"= "&amp;IF(U42+U45+U46&lt;&gt;0,"(",””)&amp;IF(AND(U10&lt;1,U42&gt;0),TEXT(U42,"#.###,00")&amp;" + ","")&amp;IF($C45&lt;&gt;"",TEXT(U45,"#.##0,00")&amp;" + ","")&amp;IF($C46&lt;&gt;"",TEXT(U46,"#.##0,00"),"")&amp; IF(U42+U45+U46&lt;&gt;0,") * 17,3% / 3","") &amp;"  ="</f>
        <v>#NAME?</v>
      </c>
      <c r="V216" s="440" t="e">
        <f>"= "&amp;IF(V42+V45+V46&lt;&gt;0,"(",””)&amp;IF(AND(V10&lt;1,V42&gt;0),TEXT(V42,"#.###,00")&amp;" + ","")&amp;IF($C45&lt;&gt;"",TEXT(V45,"#.##0,00")&amp;" + ","")&amp;IF($C46&lt;&gt;"",TEXT(V46,"#.##0,00"),"")&amp; IF(V42+V45+V46&lt;&gt;0,") * 17,3% / 3","") &amp;"  ="</f>
        <v>#NAME?</v>
      </c>
      <c r="W216" s="440" t="e">
        <f>"= "&amp;IF(W42+W45+W46&lt;&gt;0,"(",””)&amp;IF(AND(W10&lt;1,W42&gt;0),TEXT(W42,"#.###,00")&amp;" + ","")&amp;IF($C45&lt;&gt;"",TEXT(W45,"#.##0,00")&amp;" + ","")&amp;IF($C46&lt;&gt;"",TEXT(W46,"#.##0,00"),"")&amp; IF(W42+W45+W46&lt;&gt;0,") * 17,3% / 3","") &amp;"  ="</f>
        <v>#NAME?</v>
      </c>
      <c r="X216" s="440" t="e">
        <f>"= "&amp;IF(X42+X45+X46&lt;&gt;0,"(",””)&amp;IF(AND(X10&lt;1,X42&gt;0),TEXT(X42,"#.###,00")&amp;" + ","")&amp;IF($C45&lt;&gt;"",TEXT(X45,"#.##0,00")&amp;" + ","")&amp;IF($C46&lt;&gt;"",TEXT(X46,"#.##0,00"),"")&amp; IF(X42+X45+X46&lt;&gt;0,") * 17,3% / 3","") &amp;"  ="</f>
        <v>#NAME?</v>
      </c>
      <c r="Y216" s="440" t="e">
        <f>"= "&amp;IF(Y42+Y45+Y46&lt;&gt;0,"(",””)&amp;IF(AND(Y10&lt;1,Y42&gt;0),TEXT(Y42,"#.###,00")&amp;" + ","")&amp;IF($C45&lt;&gt;"",TEXT(Y45,"#.##0,00")&amp;" + ","")&amp;IF($C46&lt;&gt;"",TEXT(Y46,"#.##0,00"),"")&amp; IF(Y42+Y45+Y46&lt;&gt;0,") * 17,3% / 3","") &amp;"  ="</f>
        <v>#NAME?</v>
      </c>
      <c r="Z216" s="440" t="e">
        <f>"= "&amp;IF(Z42+Z45+Z46&lt;&gt;0,"(",””)&amp;IF(AND(Z10&lt;1,Z42&gt;0),TEXT(Z42,"#.###,00")&amp;" + ","")&amp;IF($C45&lt;&gt;"",TEXT(Z45,"#.##0,00")&amp;" + ","")&amp;IF($C46&lt;&gt;"",TEXT(Z46,"#.##0,00"),"")&amp; IF(Z42+Z45+Z46&lt;&gt;0,") * 17,3% / 3","") &amp;"  ="</f>
        <v>#NAME?</v>
      </c>
      <c r="AA216" s="440" t="e">
        <f>"= "&amp;IF(AA42+AA45+AA46&lt;&gt;0,"(",””)&amp;IF(AND(AA10&lt;1,AA42&gt;0),TEXT(AA42,"#.###,00")&amp;" + ","")&amp;IF($C45&lt;&gt;"",TEXT(AA45,"#.##0,00")&amp;" + ","")&amp;IF($C46&lt;&gt;"",TEXT(AA46,"#.##0,00"),"")&amp; IF(AA42+AA45+AA46&lt;&gt;0,") * 17,3% / 3","") &amp;"  ="</f>
        <v>#NAME?</v>
      </c>
      <c r="AB216" s="440" t="e">
        <f>"= "&amp;IF(AB42+AB45+AB46&lt;&gt;0,"(",””)&amp;IF(AND(AB10&lt;1,AB42&gt;0),TEXT(AB42,"#.###,00")&amp;" + ","")&amp;IF($C45&lt;&gt;"",TEXT(AB45,"#.##0,00")&amp;" + ","")&amp;IF($C46&lt;&gt;"",TEXT(AB46,"#.##0,00"),"")&amp; IF(AB42+AB45+AB46&lt;&gt;0,") * 17,3% / 3","") &amp;"  ="</f>
        <v>#NAME?</v>
      </c>
      <c r="AC216" s="440" t="e">
        <f>"= "&amp;IF(AC42+AC45+AC46&lt;&gt;0,"(",””)&amp;IF(AND(AC10&lt;1,AC42&gt;0),TEXT(AC42,"#.###,00")&amp;" + ","")&amp;IF($C45&lt;&gt;"",TEXT(AC45,"#.##0,00")&amp;" + ","")&amp;IF($C46&lt;&gt;"",TEXT(AC46,"#.##0,00"),"")&amp; IF(AC42+AC45+AC46&lt;&gt;0,") * 17,3% / 3","") &amp;"  ="</f>
        <v>#NAME?</v>
      </c>
      <c r="AD216" s="440" t="e">
        <f>"= "&amp;IF(AD42+AD45+AD46&lt;&gt;0,"(",””)&amp;IF(AND(AD10&lt;1,AD42&gt;0),TEXT(AD42,"#.###,00")&amp;" + ","")&amp;IF($C45&lt;&gt;"",TEXT(AD45,"#.##0,00")&amp;" + ","")&amp;IF($C46&lt;&gt;"",TEXT(AD46,"#.##0,00"),"")&amp; IF(AD42+AD45+AD46&lt;&gt;0,") * 17,3% / 3","") &amp;"  ="</f>
        <v>#NAME?</v>
      </c>
      <c r="AE216" s="440" t="e">
        <f>"= "&amp;IF(AE42+AE45+AE46&lt;&gt;0,"(",””)&amp;IF(AND(AE10&lt;1,AE42&gt;0),TEXT(AE42,"#.###,00")&amp;" + ","")&amp;IF($C45&lt;&gt;"",TEXT(AE45,"#.##0,00")&amp;" + ","")&amp;IF($C46&lt;&gt;"",TEXT(AE46,"#.##0,00"),"")&amp; IF(AE42+AE45+AE46&lt;&gt;0,") * 17,3% / 3","") &amp;"  ="</f>
        <v>#NAME?</v>
      </c>
    </row>
    <row r="217" spans="1:33" s="3" customFormat="1">
      <c r="A217" s="436"/>
      <c r="B217" s="619">
        <v>54</v>
      </c>
      <c r="C217" s="439"/>
      <c r="D217" s="439">
        <f t="shared" si="231"/>
        <v>99</v>
      </c>
      <c r="E217" s="439"/>
      <c r="F217" s="443" t="s">
        <v>108</v>
      </c>
      <c r="G217" s="444" t="str">
        <f t="shared" ref="G217:S217" si="237">"= de pensionsgivende løndele der overstiger slut skalatrin"&amp;" - ("&amp;TEXT(ROUND(ROUND(VLOOKUP(IF(LEFT(G4)="B",33,42),Skalalontabel12,7,0)*G6,0)/12,2),"#.###,00")&amp;" * "&amp;TEXT(G10,"0,0000")&amp;"] * "&amp;TEXT(G3,"#0/#0")&amp;" * 18% / 3 ="</f>
        <v>= de pensionsgivende løndele der overstiger slut skalatrin - (37.163,33 * 0,0000] * 1/1 * 18% / 3 =</v>
      </c>
      <c r="H217" s="444" t="str">
        <f t="shared" si="237"/>
        <v>= de pensionsgivende løndele der overstiger slut skalatrin - (37.163,33 * 0,0000] * 1/1 * 18% / 3 =</v>
      </c>
      <c r="I217" s="444" t="str">
        <f t="shared" si="237"/>
        <v>= de pensionsgivende løndele der overstiger slut skalatrin - (37.163,33 * 0,0000] * 1/1 * 18% / 3 =</v>
      </c>
      <c r="J217" s="444" t="str">
        <f t="shared" si="237"/>
        <v>= de pensionsgivende løndele der overstiger slut skalatrin - (,00 * 0,0000] * 1/1 * 18% / 3 =</v>
      </c>
      <c r="K217" s="444" t="str">
        <f t="shared" si="237"/>
        <v>= de pensionsgivende løndele der overstiger slut skalatrin - (,00 * 0,0000] * 1/1 * 18% / 3 =</v>
      </c>
      <c r="L217" s="444" t="str">
        <f t="shared" si="237"/>
        <v>= de pensionsgivende løndele der overstiger slut skalatrin - (,00 * 0,0000] * 1/1 * 18% / 3 =</v>
      </c>
      <c r="M217" s="444" t="str">
        <f t="shared" si="237"/>
        <v>= de pensionsgivende løndele der overstiger slut skalatrin - (,00 * 0,0000] * 1/1 * 18% / 3 =</v>
      </c>
      <c r="N217" s="444" t="str">
        <f t="shared" si="237"/>
        <v>= de pensionsgivende løndele der overstiger slut skalatrin - (,00 * 0,0000] * 1/1 * 18% / 3 =</v>
      </c>
      <c r="O217" s="444" t="str">
        <f t="shared" si="237"/>
        <v>= de pensionsgivende løndele der overstiger slut skalatrin - (,00 * 0,0000] * 1/1 * 18% / 3 =</v>
      </c>
      <c r="P217" s="444" t="str">
        <f t="shared" si="237"/>
        <v>= de pensionsgivende løndele der overstiger slut skalatrin - (,00 * 0,0000] * 1/1 * 18% / 3 =</v>
      </c>
      <c r="Q217" s="444" t="str">
        <f t="shared" si="237"/>
        <v>= de pensionsgivende løndele der overstiger slut skalatrin - (,00 * 0,0000] * 1/1 * 18% / 3 =</v>
      </c>
      <c r="R217" s="444" t="str">
        <f t="shared" si="237"/>
        <v>= de pensionsgivende løndele der overstiger slut skalatrin - (,00 * 0,0000] * 1/1 * 18% / 3 =</v>
      </c>
      <c r="S217" s="444" t="str">
        <f t="shared" si="237"/>
        <v>= de pensionsgivende løndele der overstiger slut skalatrin - (,00 * 0,0000] * 0/1 * 18% / 3 =</v>
      </c>
      <c r="T217" s="935" t="str">
        <f t="shared" ref="T217:AE217" si="238">"= [(lin.1 + sum(lin.3 - lin.12) + lin. 14"&amp;IF($C$23="x"," + lin. 15","")&amp;" + lin. 19)"&amp;" - "&amp;TEXT(ROUND(ROUND(VLOOKUP(IF(LEFT(T4)="B",33,42),Skalalontabel12,7,0)*T6,0)/12,2),"#.###,00")&amp;" * "&amp;TEXT(T10,"0,0000")&amp;"] * "&amp;TEXT(T3,"#0/#0")&amp;" * 18% / 3 ="</f>
        <v>= [(lin.1 + sum(lin.3 - lin.12) + lin. 14 + lin. 15 + lin. 19) - 37.163,33 * 0,0000] * 1/1 * 18% / 3 =</v>
      </c>
      <c r="U217" s="444" t="str">
        <f t="shared" si="238"/>
        <v>= [(lin.1 + sum(lin.3 - lin.12) + lin. 14 + lin. 15 + lin. 19) - 37.163,33 * 0,0000] * 1/1 * 18% / 3 =</v>
      </c>
      <c r="V217" s="444" t="str">
        <f t="shared" si="238"/>
        <v>= [(lin.1 + sum(lin.3 - lin.12) + lin. 14 + lin. 15 + lin. 19) - 37.163,33 * 0,0000] * 1/1 * 18% / 3 =</v>
      </c>
      <c r="W217" s="444" t="str">
        <f t="shared" si="238"/>
        <v>= [(lin.1 + sum(lin.3 - lin.12) + lin. 14 + lin. 15 + lin. 19) - ,00 * 0,0000] * 1/1 * 18% / 3 =</v>
      </c>
      <c r="X217" s="444" t="str">
        <f t="shared" si="238"/>
        <v>= [(lin.1 + sum(lin.3 - lin.12) + lin. 14 + lin. 15 + lin. 19) - ,00 * 0,0000] * 1/1 * 18% / 3 =</v>
      </c>
      <c r="Y217" s="444" t="str">
        <f t="shared" si="238"/>
        <v>= [(lin.1 + sum(lin.3 - lin.12) + lin. 14 + lin. 15 + lin. 19) - ,00 * 0,0000] * 1/1 * 18% / 3 =</v>
      </c>
      <c r="Z217" s="444" t="str">
        <f t="shared" si="238"/>
        <v>= [(lin.1 + sum(lin.3 - lin.12) + lin. 14 + lin. 15 + lin. 19) - ,00 * 0,0000] * 1/1 * 18% / 3 =</v>
      </c>
      <c r="AA217" s="444" t="str">
        <f t="shared" si="238"/>
        <v>= [(lin.1 + sum(lin.3 - lin.12) + lin. 14 + lin. 15 + lin. 19) - ,00 * 0,0000] * 1/1 * 18% / 3 =</v>
      </c>
      <c r="AB217" s="444" t="str">
        <f t="shared" si="238"/>
        <v>= [(lin.1 + sum(lin.3 - lin.12) + lin. 14 + lin. 15 + lin. 19) - ,00 * 0,0000] * 1/1 * 18% / 3 =</v>
      </c>
      <c r="AC217" s="444" t="str">
        <f t="shared" si="238"/>
        <v>= [(lin.1 + sum(lin.3 - lin.12) + lin. 14 + lin. 15 + lin. 19) - ,00 * 0,0000] * 1/1 * 18% / 3 =</v>
      </c>
      <c r="AD217" s="444" t="str">
        <f t="shared" si="238"/>
        <v>= [(lin.1 + sum(lin.3 - lin.12) + lin. 14 + lin. 15 + lin. 19) - ,00 * 0,0000] * 1/1 * 18% / 3 =</v>
      </c>
      <c r="AE217" s="444" t="str">
        <f t="shared" si="238"/>
        <v>= [(lin.1 + sum(lin.3 - lin.12) + lin. 14 + lin. 15 + lin. 19) - ,00 * 0,0000] * 1/1 * 18% / 3 =</v>
      </c>
      <c r="AF217" s="436"/>
      <c r="AG217" s="436"/>
    </row>
    <row r="218" spans="1:33" s="3" customFormat="1">
      <c r="A218" s="436"/>
      <c r="B218" s="623">
        <v>55</v>
      </c>
      <c r="C218" s="439"/>
      <c r="D218" s="439" t="e">
        <f>#REF!</f>
        <v>#REF!</v>
      </c>
      <c r="E218" s="439"/>
      <c r="F218" s="443" t="s">
        <v>486</v>
      </c>
      <c r="G218" s="444" t="str">
        <f t="shared" ref="G218:AE218" si="239">"= (sum(lin.4 - lin.12) + lin.14"&amp;IF(AND($C45="x",G45&gt;0)," + "&amp;TEXT(G45,"#.###,00"),"")&amp;IF(AND($C46="x",G46&gt;0)," + "&amp;TEXT(G46,"#.###,00"),"")&amp;IF($C$23="x"," + lin. 15","")&amp;IF(G105&lt;&gt;0," - "&amp;TEXT(G105,"#.###,00")&amp;" / 6% ) ",")")&amp;" * 17,3% / 3 ="</f>
        <v>= (sum(lin.4 - lin.12) + lin.14 + lin. 15) * 17,3% / 3 =</v>
      </c>
      <c r="H218" s="444" t="str">
        <f t="shared" si="239"/>
        <v>= (sum(lin.4 - lin.12) + lin.14 + lin. 15) * 17,3% / 3 =</v>
      </c>
      <c r="I218" s="444" t="str">
        <f t="shared" si="239"/>
        <v>= (sum(lin.4 - lin.12) + lin.14 + lin. 15) * 17,3% / 3 =</v>
      </c>
      <c r="J218" s="444" t="str">
        <f t="shared" si="239"/>
        <v>= (sum(lin.4 - lin.12) + lin.14 + lin. 15) * 17,3% / 3 =</v>
      </c>
      <c r="K218" s="444" t="str">
        <f t="shared" si="239"/>
        <v>= (sum(lin.4 - lin.12) + lin.14 + lin. 15) * 17,3% / 3 =</v>
      </c>
      <c r="L218" s="444" t="str">
        <f t="shared" si="239"/>
        <v>= (sum(lin.4 - lin.12) + lin.14 + lin. 15) * 17,3% / 3 =</v>
      </c>
      <c r="M218" s="444" t="str">
        <f t="shared" si="239"/>
        <v>= (sum(lin.4 - lin.12) + lin.14 + lin. 15) * 17,3% / 3 =</v>
      </c>
      <c r="N218" s="444" t="str">
        <f t="shared" si="239"/>
        <v>= (sum(lin.4 - lin.12) + lin.14 + lin. 15) * 17,3% / 3 =</v>
      </c>
      <c r="O218" s="444" t="str">
        <f t="shared" si="239"/>
        <v>= (sum(lin.4 - lin.12) + lin.14 + lin. 15) * 17,3% / 3 =</v>
      </c>
      <c r="P218" s="444" t="str">
        <f t="shared" si="239"/>
        <v>= (sum(lin.4 - lin.12) + lin.14 + lin. 15) * 17,3% / 3 =</v>
      </c>
      <c r="Q218" s="444" t="str">
        <f t="shared" si="239"/>
        <v>= (sum(lin.4 - lin.12) + lin.14 + lin. 15) * 17,3% / 3 =</v>
      </c>
      <c r="R218" s="444" t="str">
        <f t="shared" si="239"/>
        <v>= (sum(lin.4 - lin.12) + lin.14 + lin. 15) * 17,3% / 3 =</v>
      </c>
      <c r="S218" s="444" t="str">
        <f t="shared" si="239"/>
        <v>= (sum(lin.4 - lin.12) + lin.14 + lin. 15) * 17,3% / 3 =</v>
      </c>
      <c r="T218" s="935" t="str">
        <f t="shared" si="239"/>
        <v>= (sum(lin.4 - lin.12) + lin.14 + lin. 15) * 17,3% / 3 =</v>
      </c>
      <c r="U218" s="444" t="str">
        <f t="shared" si="239"/>
        <v>= (sum(lin.4 - lin.12) + lin.14 + lin. 15) * 17,3% / 3 =</v>
      </c>
      <c r="V218" s="444" t="str">
        <f t="shared" si="239"/>
        <v>= (sum(lin.4 - lin.12) + lin.14 + lin. 15) * 17,3% / 3 =</v>
      </c>
      <c r="W218" s="444" t="str">
        <f t="shared" si="239"/>
        <v>= (sum(lin.4 - lin.12) + lin.14 + lin. 15) * 17,3% / 3 =</v>
      </c>
      <c r="X218" s="444" t="str">
        <f t="shared" si="239"/>
        <v>= (sum(lin.4 - lin.12) + lin.14 + lin. 15) * 17,3% / 3 =</v>
      </c>
      <c r="Y218" s="444" t="str">
        <f t="shared" si="239"/>
        <v>= (sum(lin.4 - lin.12) + lin.14 + lin. 15) * 17,3% / 3 =</v>
      </c>
      <c r="Z218" s="444" t="str">
        <f t="shared" si="239"/>
        <v>= (sum(lin.4 - lin.12) + lin.14 + lin. 15) * 17,3% / 3 =</v>
      </c>
      <c r="AA218" s="444" t="str">
        <f t="shared" si="239"/>
        <v>= (sum(lin.4 - lin.12) + lin.14 + lin. 15) * 17,3% / 3 =</v>
      </c>
      <c r="AB218" s="444" t="str">
        <f t="shared" si="239"/>
        <v>= (sum(lin.4 - lin.12) + lin.14 + lin. 15) * 17,3% / 3 =</v>
      </c>
      <c r="AC218" s="444" t="str">
        <f t="shared" si="239"/>
        <v>= (sum(lin.4 - lin.12) + lin.14 + lin. 15) * 17,3% / 3 =</v>
      </c>
      <c r="AD218" s="444" t="str">
        <f t="shared" si="239"/>
        <v>= (sum(lin.4 - lin.12) + lin.14 + lin. 15) * 17,3% / 3 =</v>
      </c>
      <c r="AE218" s="444" t="str">
        <f t="shared" si="239"/>
        <v>= (sum(lin.4 - lin.12) + lin.14 + lin. 15) * 17,3% / 3 =</v>
      </c>
      <c r="AF218" s="436"/>
      <c r="AG218" s="436"/>
    </row>
    <row r="219" spans="1:33" s="3" customFormat="1">
      <c r="A219" s="436"/>
      <c r="B219" s="619">
        <v>56</v>
      </c>
      <c r="C219" s="439"/>
      <c r="D219" s="439">
        <f>B106</f>
        <v>96</v>
      </c>
      <c r="E219" s="439"/>
      <c r="F219" s="443" t="s">
        <v>247</v>
      </c>
      <c r="G219" s="440" t="str">
        <f t="shared" ref="G219:AE219" si="240">"= "&amp;TEXT(G70,"#.###,00")&amp;" * 17,3% / 3  ="</f>
        <v>= ,00 * 17,3% / 3  =</v>
      </c>
      <c r="H219" s="440" t="str">
        <f t="shared" si="240"/>
        <v>= ,00 * 17,3% / 3  =</v>
      </c>
      <c r="I219" s="440" t="str">
        <f t="shared" si="240"/>
        <v>= ,00 * 17,3% / 3  =</v>
      </c>
      <c r="J219" s="440" t="str">
        <f t="shared" si="240"/>
        <v>= ,00 * 17,3% / 3  =</v>
      </c>
      <c r="K219" s="440" t="str">
        <f t="shared" si="240"/>
        <v>= ,00 * 17,3% / 3  =</v>
      </c>
      <c r="L219" s="440" t="str">
        <f t="shared" si="240"/>
        <v>= ,00 * 17,3% / 3  =</v>
      </c>
      <c r="M219" s="440" t="str">
        <f t="shared" si="240"/>
        <v>= ,00 * 17,3% / 3  =</v>
      </c>
      <c r="N219" s="440" t="str">
        <f t="shared" si="240"/>
        <v>= ,00 * 17,3% / 3  =</v>
      </c>
      <c r="O219" s="440" t="str">
        <f t="shared" si="240"/>
        <v>= ,00 * 17,3% / 3  =</v>
      </c>
      <c r="P219" s="440" t="str">
        <f t="shared" si="240"/>
        <v>= ,00 * 17,3% / 3  =</v>
      </c>
      <c r="Q219" s="440" t="str">
        <f t="shared" si="240"/>
        <v>= ,00 * 17,3% / 3  =</v>
      </c>
      <c r="R219" s="440" t="str">
        <f t="shared" si="240"/>
        <v>= ,00 * 17,3% / 3  =</v>
      </c>
      <c r="S219" s="440" t="str">
        <f t="shared" si="240"/>
        <v>= ,00 * 17,3% / 3  =</v>
      </c>
      <c r="T219" s="935" t="str">
        <f t="shared" si="240"/>
        <v>= ,00 * 17,3% / 3  =</v>
      </c>
      <c r="U219" s="440" t="str">
        <f t="shared" si="240"/>
        <v>= ,00 * 17,3% / 3  =</v>
      </c>
      <c r="V219" s="440" t="str">
        <f t="shared" si="240"/>
        <v>= ,00 * 17,3% / 3  =</v>
      </c>
      <c r="W219" s="440" t="str">
        <f t="shared" si="240"/>
        <v>= ,00 * 17,3% / 3  =</v>
      </c>
      <c r="X219" s="440" t="str">
        <f t="shared" si="240"/>
        <v>= ,00 * 17,3% / 3  =</v>
      </c>
      <c r="Y219" s="440" t="str">
        <f t="shared" si="240"/>
        <v>= ,00 * 17,3% / 3  =</v>
      </c>
      <c r="Z219" s="440" t="str">
        <f t="shared" si="240"/>
        <v>= ,00 * 17,3% / 3  =</v>
      </c>
      <c r="AA219" s="440" t="str">
        <f t="shared" si="240"/>
        <v>= ,00 * 17,3% / 3  =</v>
      </c>
      <c r="AB219" s="440" t="str">
        <f t="shared" si="240"/>
        <v>= ,00 * 17,3% / 3  =</v>
      </c>
      <c r="AC219" s="440" t="str">
        <f t="shared" si="240"/>
        <v>= ,00 * 17,3% / 3  =</v>
      </c>
      <c r="AD219" s="440" t="str">
        <f t="shared" si="240"/>
        <v>= ,00 * 17,3% / 3  =</v>
      </c>
      <c r="AE219" s="440" t="str">
        <f t="shared" si="240"/>
        <v>= ,00 * 17,3% / 3  =</v>
      </c>
      <c r="AF219" s="436"/>
      <c r="AG219" s="436"/>
    </row>
    <row r="220" spans="1:33" s="3" customFormat="1">
      <c r="A220" s="436"/>
      <c r="B220" s="623">
        <v>57</v>
      </c>
      <c r="C220" s="439"/>
      <c r="D220" s="439">
        <f>B107</f>
        <v>97</v>
      </c>
      <c r="E220" s="439"/>
      <c r="F220" s="445" t="s">
        <v>35</v>
      </c>
      <c r="G220" s="440" t="str">
        <f t="shared" ref="G220:AE220" si="241">"= "&amp;TEXT(G72,"#.###,00")&amp;" * 17,3% / 3  ="</f>
        <v>= ,00 * 17,3% / 3  =</v>
      </c>
      <c r="H220" s="440" t="str">
        <f t="shared" si="241"/>
        <v>= ,00 * 17,3% / 3  =</v>
      </c>
      <c r="I220" s="440" t="str">
        <f t="shared" si="241"/>
        <v>= ,00 * 17,3% / 3  =</v>
      </c>
      <c r="J220" s="440" t="str">
        <f t="shared" si="241"/>
        <v>= ,00 * 17,3% / 3  =</v>
      </c>
      <c r="K220" s="440" t="str">
        <f t="shared" si="241"/>
        <v>= ,00 * 17,3% / 3  =</v>
      </c>
      <c r="L220" s="440" t="str">
        <f t="shared" si="241"/>
        <v>= ,00 * 17,3% / 3  =</v>
      </c>
      <c r="M220" s="440" t="str">
        <f t="shared" si="241"/>
        <v>= ,00 * 17,3% / 3  =</v>
      </c>
      <c r="N220" s="440" t="str">
        <f t="shared" si="241"/>
        <v>= ,00 * 17,3% / 3  =</v>
      </c>
      <c r="O220" s="440" t="str">
        <f t="shared" si="241"/>
        <v>= ,00 * 17,3% / 3  =</v>
      </c>
      <c r="P220" s="440" t="str">
        <f t="shared" si="241"/>
        <v>= ,00 * 17,3% / 3  =</v>
      </c>
      <c r="Q220" s="440" t="str">
        <f t="shared" si="241"/>
        <v>= ,00 * 17,3% / 3  =</v>
      </c>
      <c r="R220" s="440" t="str">
        <f t="shared" si="241"/>
        <v>= ,00 * 17,3% / 3  =</v>
      </c>
      <c r="S220" s="440" t="str">
        <f t="shared" si="241"/>
        <v>= ,00 * 17,3% / 3  =</v>
      </c>
      <c r="T220" s="935" t="str">
        <f t="shared" si="241"/>
        <v>= ,00 * 17,3% / 3  =</v>
      </c>
      <c r="U220" s="440" t="str">
        <f t="shared" si="241"/>
        <v>= ,00 * 17,3% / 3  =</v>
      </c>
      <c r="V220" s="440" t="str">
        <f t="shared" si="241"/>
        <v>= ,00 * 17,3% / 3  =</v>
      </c>
      <c r="W220" s="440" t="str">
        <f t="shared" si="241"/>
        <v>= ,00 * 17,3% / 3  =</v>
      </c>
      <c r="X220" s="440" t="str">
        <f t="shared" si="241"/>
        <v>= ,00 * 17,3% / 3  =</v>
      </c>
      <c r="Y220" s="440" t="str">
        <f t="shared" si="241"/>
        <v>= ,00 * 17,3% / 3  =</v>
      </c>
      <c r="Z220" s="440" t="str">
        <f t="shared" si="241"/>
        <v>= ,00 * 17,3% / 3  =</v>
      </c>
      <c r="AA220" s="440" t="str">
        <f t="shared" si="241"/>
        <v>= ,00 * 17,3% / 3  =</v>
      </c>
      <c r="AB220" s="440" t="str">
        <f t="shared" si="241"/>
        <v>= ,00 * 17,3% / 3  =</v>
      </c>
      <c r="AC220" s="440" t="str">
        <f t="shared" si="241"/>
        <v>= ,00 * 17,3% / 3  =</v>
      </c>
      <c r="AD220" s="440" t="str">
        <f t="shared" si="241"/>
        <v>= ,00 * 17,3% / 3  =</v>
      </c>
      <c r="AE220" s="440" t="str">
        <f t="shared" si="241"/>
        <v>= ,00 * 17,3% / 3  =</v>
      </c>
      <c r="AF220" s="436"/>
      <c r="AG220" s="436"/>
    </row>
    <row r="221" spans="1:33" s="3" customFormat="1">
      <c r="A221" s="436"/>
      <c r="B221" s="623"/>
      <c r="C221" s="439"/>
      <c r="D221" s="439"/>
      <c r="E221" s="439"/>
      <c r="F221" s="436" t="s">
        <v>693</v>
      </c>
      <c r="G221" s="440" t="str">
        <f>"= "&amp;TEXT(G88,"#.###,00")&amp;" * 17,3% / 3  ="</f>
        <v>= ,00 * 17,3% / 3  =</v>
      </c>
      <c r="H221" s="440" t="str">
        <f t="shared" ref="H221:O221" si="242">"= "&amp;TEXT(H88,"#.###,00")&amp;" * 17,3% / 3  ="</f>
        <v>= ,00 * 17,3% / 3  =</v>
      </c>
      <c r="I221" s="440" t="str">
        <f t="shared" si="242"/>
        <v>= ,00 * 17,3% / 3  =</v>
      </c>
      <c r="J221" s="440" t="str">
        <f t="shared" si="242"/>
        <v>= ,00 * 17,3% / 3  =</v>
      </c>
      <c r="K221" s="440" t="str">
        <f t="shared" si="242"/>
        <v>= ,00 * 17,3% / 3  =</v>
      </c>
      <c r="L221" s="440" t="str">
        <f t="shared" si="242"/>
        <v>= ,00 * 17,3% / 3  =</v>
      </c>
      <c r="M221" s="440" t="str">
        <f t="shared" si="242"/>
        <v>= ,00 * 17,3% / 3  =</v>
      </c>
      <c r="N221" s="440" t="str">
        <f t="shared" si="242"/>
        <v>= ,00 * 17,3% / 3  =</v>
      </c>
      <c r="O221" s="440" t="str">
        <f t="shared" si="242"/>
        <v>= ,00 * 17,3% / 3  =</v>
      </c>
      <c r="P221" s="440" t="str">
        <f>"= "&amp;TEXT(P88,"#.###,00")&amp;" * 17,3% / 3  ="</f>
        <v>= ,00 * 17,3% / 3  =</v>
      </c>
      <c r="Q221" s="440" t="str">
        <f t="shared" ref="Q221:S221" si="243">"= "&amp;TEXT(Q88,"#.###,00")&amp;" * 17,3% / 3  ="</f>
        <v>= ,00 * 17,3% / 3  =</v>
      </c>
      <c r="R221" s="440" t="str">
        <f t="shared" si="243"/>
        <v>= ,00 * 17,3% / 3  =</v>
      </c>
      <c r="S221" s="440" t="str">
        <f t="shared" si="243"/>
        <v>= ,00 * 17,3% / 3  =</v>
      </c>
      <c r="T221" s="935"/>
      <c r="U221" s="440"/>
      <c r="V221" s="440"/>
      <c r="W221" s="440"/>
      <c r="X221" s="440"/>
      <c r="Y221" s="440"/>
      <c r="Z221" s="440"/>
      <c r="AA221" s="440"/>
      <c r="AB221" s="440"/>
      <c r="AC221" s="440"/>
      <c r="AD221" s="440"/>
      <c r="AE221" s="440"/>
      <c r="AF221" s="436"/>
      <c r="AG221" s="436"/>
    </row>
    <row r="222" spans="1:33" s="3" customFormat="1" ht="14" thickBot="1">
      <c r="A222" s="436"/>
      <c r="B222" s="619">
        <v>58</v>
      </c>
      <c r="C222" s="439"/>
      <c r="D222" s="439">
        <f>B110</f>
        <v>100</v>
      </c>
      <c r="E222" s="439"/>
      <c r="F222" s="448" t="s">
        <v>181</v>
      </c>
      <c r="G222" s="440"/>
      <c r="H222" s="440"/>
      <c r="I222" s="440"/>
      <c r="J222" s="440"/>
      <c r="K222" s="440"/>
      <c r="L222" s="440"/>
      <c r="M222" s="440"/>
      <c r="N222" s="440"/>
      <c r="O222" s="440"/>
      <c r="P222" s="440"/>
      <c r="Q222" s="440"/>
      <c r="R222" s="440"/>
      <c r="S222" s="440"/>
      <c r="T222" s="935"/>
      <c r="U222" s="440"/>
      <c r="V222" s="440"/>
      <c r="W222" s="440"/>
      <c r="X222" s="440"/>
      <c r="Y222" s="440"/>
      <c r="Z222" s="440"/>
      <c r="AA222" s="440"/>
      <c r="AB222" s="440"/>
      <c r="AC222" s="440"/>
      <c r="AD222" s="440"/>
      <c r="AE222" s="440"/>
      <c r="AF222" s="436"/>
      <c r="AG222" s="436"/>
    </row>
    <row r="223" spans="1:33" s="3" customFormat="1" ht="14" thickTop="1">
      <c r="A223" s="436"/>
      <c r="B223" s="627">
        <v>59</v>
      </c>
      <c r="C223" s="439"/>
      <c r="D223" s="439">
        <f>B111</f>
        <v>101</v>
      </c>
      <c r="E223" s="439"/>
      <c r="F223" s="449" t="s">
        <v>96</v>
      </c>
      <c r="G223" s="440" t="str">
        <f>"1/3 af den samlede indbetaling (lin. 72) iflg. A-satser"</f>
        <v>1/3 af den samlede indbetaling (lin. 72) iflg. A-satser</v>
      </c>
      <c r="H223" s="440" t="str">
        <f t="shared" ref="H223:S223" si="244">"1/3 af den samlede indbetaling (lin. 72) iflg. A-satser"</f>
        <v>1/3 af den samlede indbetaling (lin. 72) iflg. A-satser</v>
      </c>
      <c r="I223" s="440" t="str">
        <f t="shared" si="244"/>
        <v>1/3 af den samlede indbetaling (lin. 72) iflg. A-satser</v>
      </c>
      <c r="J223" s="440" t="str">
        <f t="shared" si="244"/>
        <v>1/3 af den samlede indbetaling (lin. 72) iflg. A-satser</v>
      </c>
      <c r="K223" s="440" t="str">
        <f t="shared" si="244"/>
        <v>1/3 af den samlede indbetaling (lin. 72) iflg. A-satser</v>
      </c>
      <c r="L223" s="440" t="str">
        <f t="shared" si="244"/>
        <v>1/3 af den samlede indbetaling (lin. 72) iflg. A-satser</v>
      </c>
      <c r="M223" s="440" t="str">
        <f t="shared" si="244"/>
        <v>1/3 af den samlede indbetaling (lin. 72) iflg. A-satser</v>
      </c>
      <c r="N223" s="440" t="str">
        <f t="shared" si="244"/>
        <v>1/3 af den samlede indbetaling (lin. 72) iflg. A-satser</v>
      </c>
      <c r="O223" s="440" t="str">
        <f t="shared" si="244"/>
        <v>1/3 af den samlede indbetaling (lin. 72) iflg. A-satser</v>
      </c>
      <c r="P223" s="440" t="str">
        <f>"1/3 af den samlede indbetaling (lin. 72) iflg. A-satser"</f>
        <v>1/3 af den samlede indbetaling (lin. 72) iflg. A-satser</v>
      </c>
      <c r="Q223" s="440" t="str">
        <f t="shared" si="244"/>
        <v>1/3 af den samlede indbetaling (lin. 72) iflg. A-satser</v>
      </c>
      <c r="R223" s="440" t="str">
        <f t="shared" si="244"/>
        <v>1/3 af den samlede indbetaling (lin. 72) iflg. A-satser</v>
      </c>
      <c r="S223" s="440" t="str">
        <f t="shared" si="244"/>
        <v>1/3 af den samlede indbetaling (lin. 72) iflg. A-satser</v>
      </c>
      <c r="T223" s="935" t="str">
        <f>"1/3 af den samlede indbetaling (lin. 72) iflg. A-satser"</f>
        <v>1/3 af den samlede indbetaling (lin. 72) iflg. A-satser</v>
      </c>
      <c r="U223" s="440" t="str">
        <f t="shared" ref="U223:AE223" si="245">"1/3 af den samlede indbetaling (lin. 72) iflg. A-satser"</f>
        <v>1/3 af den samlede indbetaling (lin. 72) iflg. A-satser</v>
      </c>
      <c r="V223" s="440" t="str">
        <f t="shared" si="245"/>
        <v>1/3 af den samlede indbetaling (lin. 72) iflg. A-satser</v>
      </c>
      <c r="W223" s="440" t="str">
        <f t="shared" si="245"/>
        <v>1/3 af den samlede indbetaling (lin. 72) iflg. A-satser</v>
      </c>
      <c r="X223" s="440" t="str">
        <f t="shared" si="245"/>
        <v>1/3 af den samlede indbetaling (lin. 72) iflg. A-satser</v>
      </c>
      <c r="Y223" s="440" t="str">
        <f t="shared" si="245"/>
        <v>1/3 af den samlede indbetaling (lin. 72) iflg. A-satser</v>
      </c>
      <c r="Z223" s="440" t="str">
        <f t="shared" si="245"/>
        <v>1/3 af den samlede indbetaling (lin. 72) iflg. A-satser</v>
      </c>
      <c r="AA223" s="440" t="str">
        <f t="shared" si="245"/>
        <v>1/3 af den samlede indbetaling (lin. 72) iflg. A-satser</v>
      </c>
      <c r="AB223" s="440" t="str">
        <f t="shared" si="245"/>
        <v>1/3 af den samlede indbetaling (lin. 72) iflg. A-satser</v>
      </c>
      <c r="AC223" s="440" t="str">
        <f t="shared" si="245"/>
        <v>1/3 af den samlede indbetaling (lin. 72) iflg. A-satser</v>
      </c>
      <c r="AD223" s="440" t="str">
        <f t="shared" si="245"/>
        <v>1/3 af den samlede indbetaling (lin. 72) iflg. A-satser</v>
      </c>
      <c r="AE223" s="440" t="str">
        <f t="shared" si="245"/>
        <v>1/3 af den samlede indbetaling (lin. 72) iflg. A-satser</v>
      </c>
      <c r="AF223" s="436"/>
      <c r="AG223" s="436"/>
    </row>
    <row r="224" spans="1:33" s="3" customFormat="1">
      <c r="A224" s="436"/>
      <c r="B224" s="631">
        <v>60</v>
      </c>
      <c r="C224" s="439"/>
      <c r="D224" s="439">
        <f>B112</f>
        <v>102</v>
      </c>
      <c r="E224" s="439"/>
      <c r="F224" s="449" t="s">
        <v>91</v>
      </c>
      <c r="G224" s="440" t="str">
        <f>"= SUM(lin. 1 - 21) + sum(lin. 26 - 36) - lin. 59 ="</f>
        <v>= SUM(lin. 1 - 21) + sum(lin. 26 - 36) - lin. 59 =</v>
      </c>
      <c r="H224" s="440" t="str">
        <f t="shared" ref="H224:S224" si="246">"= SUM(lin. 1 - 21) + sum(lin. 26 - 36) - lin. 59 ="</f>
        <v>= SUM(lin. 1 - 21) + sum(lin. 26 - 36) - lin. 59 =</v>
      </c>
      <c r="I224" s="440" t="str">
        <f t="shared" si="246"/>
        <v>= SUM(lin. 1 - 21) + sum(lin. 26 - 36) - lin. 59 =</v>
      </c>
      <c r="J224" s="440" t="str">
        <f t="shared" si="246"/>
        <v>= SUM(lin. 1 - 21) + sum(lin. 26 - 36) - lin. 59 =</v>
      </c>
      <c r="K224" s="440" t="str">
        <f t="shared" si="246"/>
        <v>= SUM(lin. 1 - 21) + sum(lin. 26 - 36) - lin. 59 =</v>
      </c>
      <c r="L224" s="440" t="str">
        <f t="shared" si="246"/>
        <v>= SUM(lin. 1 - 21) + sum(lin. 26 - 36) - lin. 59 =</v>
      </c>
      <c r="M224" s="440" t="str">
        <f t="shared" si="246"/>
        <v>= SUM(lin. 1 - 21) + sum(lin. 26 - 36) - lin. 59 =</v>
      </c>
      <c r="N224" s="440" t="str">
        <f t="shared" si="246"/>
        <v>= SUM(lin. 1 - 21) + sum(lin. 26 - 36) - lin. 59 =</v>
      </c>
      <c r="O224" s="440" t="str">
        <f t="shared" si="246"/>
        <v>= SUM(lin. 1 - 21) + sum(lin. 26 - 36) - lin. 59 =</v>
      </c>
      <c r="P224" s="440" t="str">
        <f>"= SUM(lin. 1 - 21) + sum(lin. 26 - 36) - lin. 59 ="</f>
        <v>= SUM(lin. 1 - 21) + sum(lin. 26 - 36) - lin. 59 =</v>
      </c>
      <c r="Q224" s="440" t="str">
        <f t="shared" si="246"/>
        <v>= SUM(lin. 1 - 21) + sum(lin. 26 - 36) - lin. 59 =</v>
      </c>
      <c r="R224" s="440" t="str">
        <f t="shared" si="246"/>
        <v>= SUM(lin. 1 - 21) + sum(lin. 26 - 36) - lin. 59 =</v>
      </c>
      <c r="S224" s="440" t="str">
        <f t="shared" si="246"/>
        <v>= SUM(lin. 1 - 21) + sum(lin. 26 - 36) - lin. 59 =</v>
      </c>
      <c r="T224" s="935" t="str">
        <f>"= SUM(lin. 1 - 21) + sum(lin. 26 - 38) - lin. 60 ="</f>
        <v>= SUM(lin. 1 - 21) + sum(lin. 26 - 38) - lin. 60 =</v>
      </c>
      <c r="U224" s="440" t="str">
        <f t="shared" ref="U224:AE224" si="247">"= SUM(lin. 1 - 21) + sum(lin. 26 - 38) - lin. 60 ="</f>
        <v>= SUM(lin. 1 - 21) + sum(lin. 26 - 38) - lin. 60 =</v>
      </c>
      <c r="V224" s="440" t="str">
        <f t="shared" si="247"/>
        <v>= SUM(lin. 1 - 21) + sum(lin. 26 - 38) - lin. 60 =</v>
      </c>
      <c r="W224" s="440" t="str">
        <f t="shared" si="247"/>
        <v>= SUM(lin. 1 - 21) + sum(lin. 26 - 38) - lin. 60 =</v>
      </c>
      <c r="X224" s="440" t="str">
        <f t="shared" si="247"/>
        <v>= SUM(lin. 1 - 21) + sum(lin. 26 - 38) - lin. 60 =</v>
      </c>
      <c r="Y224" s="440" t="str">
        <f t="shared" si="247"/>
        <v>= SUM(lin. 1 - 21) + sum(lin. 26 - 38) - lin. 60 =</v>
      </c>
      <c r="Z224" s="440" t="str">
        <f t="shared" si="247"/>
        <v>= SUM(lin. 1 - 21) + sum(lin. 26 - 38) - lin. 60 =</v>
      </c>
      <c r="AA224" s="440" t="str">
        <f t="shared" si="247"/>
        <v>= SUM(lin. 1 - 21) + sum(lin. 26 - 38) - lin. 60 =</v>
      </c>
      <c r="AB224" s="440" t="str">
        <f t="shared" si="247"/>
        <v>= SUM(lin. 1 - 21) + sum(lin. 26 - 38) - lin. 60 =</v>
      </c>
      <c r="AC224" s="440" t="str">
        <f t="shared" si="247"/>
        <v>= SUM(lin. 1 - 21) + sum(lin. 26 - 38) - lin. 60 =</v>
      </c>
      <c r="AD224" s="440" t="str">
        <f t="shared" si="247"/>
        <v>= SUM(lin. 1 - 21) + sum(lin. 26 - 38) - lin. 60 =</v>
      </c>
      <c r="AE224" s="440" t="str">
        <f t="shared" si="247"/>
        <v>= SUM(lin. 1 - 21) + sum(lin. 26 - 38) - lin. 60 =</v>
      </c>
      <c r="AF224" s="436"/>
      <c r="AG224" s="436"/>
    </row>
    <row r="225" spans="1:33" s="3" customFormat="1">
      <c r="A225" s="436"/>
      <c r="B225" s="627">
        <v>61</v>
      </c>
      <c r="C225" s="439"/>
      <c r="D225" s="439">
        <v>101</v>
      </c>
      <c r="E225" s="439"/>
      <c r="F225" s="450" t="s">
        <v>92</v>
      </c>
      <c r="G225" s="440" t="str">
        <f>"= "&amp;TEXT(G112,"#.###,00")&amp;" * 8% (afrundet) ="</f>
        <v>= ,00 * 8% (afrundet) =</v>
      </c>
      <c r="H225" s="440" t="str">
        <f t="shared" ref="H225:O225" si="248">"= "&amp;TEXT(H112,"#.###,00")&amp;" * 8% (afrundet) ="</f>
        <v>= ,00 * 8% (afrundet) =</v>
      </c>
      <c r="I225" s="440" t="str">
        <f t="shared" si="248"/>
        <v>= ,00 * 8% (afrundet) =</v>
      </c>
      <c r="J225" s="440" t="str">
        <f t="shared" si="248"/>
        <v>= ,00 * 8% (afrundet) =</v>
      </c>
      <c r="K225" s="440" t="str">
        <f t="shared" si="248"/>
        <v>= ,00 * 8% (afrundet) =</v>
      </c>
      <c r="L225" s="440" t="str">
        <f t="shared" si="248"/>
        <v>= ,00 * 8% (afrundet) =</v>
      </c>
      <c r="M225" s="440" t="str">
        <f t="shared" si="248"/>
        <v>= ,00 * 8% (afrundet) =</v>
      </c>
      <c r="N225" s="440" t="str">
        <f t="shared" si="248"/>
        <v>= ,00 * 8% (afrundet) =</v>
      </c>
      <c r="O225" s="440" t="str">
        <f t="shared" si="248"/>
        <v>= ,00 * 8% (afrundet) =</v>
      </c>
      <c r="P225" s="440" t="str">
        <f>"= "&amp;TEXT(P112,"#.###,00")&amp;" * 8% (afrundet) ="</f>
        <v>= ,00 * 8% (afrundet) =</v>
      </c>
      <c r="Q225" s="440" t="str">
        <f t="shared" ref="Q225:S225" si="249">"= "&amp;TEXT(Q112,"#.###,00")&amp;" * 8% (afrundet) ="</f>
        <v>= ,00 * 8% (afrundet) =</v>
      </c>
      <c r="R225" s="440" t="str">
        <f t="shared" si="249"/>
        <v>= ,00 * 8% (afrundet) =</v>
      </c>
      <c r="S225" s="440" t="str">
        <f t="shared" si="249"/>
        <v>= ,00 * 8% (afrundet) =</v>
      </c>
      <c r="T225" s="935" t="str">
        <f>"= "&amp;TEXT(T112,"#.###,00")&amp;" * 8% (afrundet) ="</f>
        <v>= ,00 * 8% (afrundet) =</v>
      </c>
      <c r="U225" s="440" t="str">
        <f t="shared" ref="U225:AE225" si="250">"= "&amp;TEXT(U113,"#.###,00")&amp;" * 8% (afrundet) ="</f>
        <v>= ,00 * 8% (afrundet) =</v>
      </c>
      <c r="V225" s="440" t="str">
        <f t="shared" si="250"/>
        <v>= ,00 * 8% (afrundet) =</v>
      </c>
      <c r="W225" s="440" t="str">
        <f t="shared" si="250"/>
        <v>= ,00 * 8% (afrundet) =</v>
      </c>
      <c r="X225" s="440" t="str">
        <f t="shared" si="250"/>
        <v>= ,00 * 8% (afrundet) =</v>
      </c>
      <c r="Y225" s="440" t="str">
        <f t="shared" si="250"/>
        <v>= ,00 * 8% (afrundet) =</v>
      </c>
      <c r="Z225" s="440" t="str">
        <f t="shared" si="250"/>
        <v>= ,00 * 8% (afrundet) =</v>
      </c>
      <c r="AA225" s="440" t="str">
        <f t="shared" si="250"/>
        <v>= ,00 * 8% (afrundet) =</v>
      </c>
      <c r="AB225" s="440" t="str">
        <f t="shared" si="250"/>
        <v>= ,00 * 8% (afrundet) =</v>
      </c>
      <c r="AC225" s="440" t="str">
        <f t="shared" si="250"/>
        <v>= ,00 * 8% (afrundet) =</v>
      </c>
      <c r="AD225" s="440" t="str">
        <f t="shared" si="250"/>
        <v>= ,00 * 8% (afrundet) =</v>
      </c>
      <c r="AE225" s="440" t="str">
        <f t="shared" si="250"/>
        <v>= ,00 * 8% (afrundet) =</v>
      </c>
      <c r="AF225" s="436"/>
      <c r="AG225" s="436"/>
    </row>
    <row r="226" spans="1:33" s="3" customFormat="1">
      <c r="A226" s="436"/>
      <c r="B226" s="631">
        <v>62</v>
      </c>
      <c r="C226" s="439"/>
      <c r="D226" s="439">
        <f t="shared" ref="D226:D238" si="251">B114</f>
        <v>104</v>
      </c>
      <c r="E226" s="439"/>
      <c r="F226" s="450" t="s">
        <v>93</v>
      </c>
      <c r="G226" s="440" t="str">
        <f>"= lin. 60 - lin. 61 ="</f>
        <v>= lin. 60 - lin. 61 =</v>
      </c>
      <c r="H226" s="440" t="str">
        <f t="shared" ref="H226:S226" si="252">"= lin. 60 - lin. 61 ="</f>
        <v>= lin. 60 - lin. 61 =</v>
      </c>
      <c r="I226" s="440" t="str">
        <f t="shared" si="252"/>
        <v>= lin. 60 - lin. 61 =</v>
      </c>
      <c r="J226" s="440" t="str">
        <f t="shared" si="252"/>
        <v>= lin. 60 - lin. 61 =</v>
      </c>
      <c r="K226" s="440" t="str">
        <f t="shared" si="252"/>
        <v>= lin. 60 - lin. 61 =</v>
      </c>
      <c r="L226" s="440" t="str">
        <f t="shared" si="252"/>
        <v>= lin. 60 - lin. 61 =</v>
      </c>
      <c r="M226" s="440" t="str">
        <f t="shared" si="252"/>
        <v>= lin. 60 - lin. 61 =</v>
      </c>
      <c r="N226" s="440" t="str">
        <f t="shared" si="252"/>
        <v>= lin. 60 - lin. 61 =</v>
      </c>
      <c r="O226" s="440" t="str">
        <f t="shared" si="252"/>
        <v>= lin. 60 - lin. 61 =</v>
      </c>
      <c r="P226" s="440" t="str">
        <f>"= lin. 60 - lin. 61 ="</f>
        <v>= lin. 60 - lin. 61 =</v>
      </c>
      <c r="Q226" s="440" t="str">
        <f t="shared" si="252"/>
        <v>= lin. 60 - lin. 61 =</v>
      </c>
      <c r="R226" s="440" t="str">
        <f t="shared" si="252"/>
        <v>= lin. 60 - lin. 61 =</v>
      </c>
      <c r="S226" s="440" t="str">
        <f t="shared" si="252"/>
        <v>= lin. 60 - lin. 61 =</v>
      </c>
      <c r="T226" s="935" t="str">
        <f>"= lin. 61 - lin. 62 ="</f>
        <v>= lin. 61 - lin. 62 =</v>
      </c>
      <c r="U226" s="440" t="str">
        <f t="shared" ref="U226:AE226" si="253">"= lin. 61 - lin. 62 ="</f>
        <v>= lin. 61 - lin. 62 =</v>
      </c>
      <c r="V226" s="440" t="str">
        <f t="shared" si="253"/>
        <v>= lin. 61 - lin. 62 =</v>
      </c>
      <c r="W226" s="440" t="str">
        <f t="shared" si="253"/>
        <v>= lin. 61 - lin. 62 =</v>
      </c>
      <c r="X226" s="440" t="str">
        <f t="shared" si="253"/>
        <v>= lin. 61 - lin. 62 =</v>
      </c>
      <c r="Y226" s="440" t="str">
        <f t="shared" si="253"/>
        <v>= lin. 61 - lin. 62 =</v>
      </c>
      <c r="Z226" s="440" t="str">
        <f t="shared" si="253"/>
        <v>= lin. 61 - lin. 62 =</v>
      </c>
      <c r="AA226" s="440" t="str">
        <f t="shared" si="253"/>
        <v>= lin. 61 - lin. 62 =</v>
      </c>
      <c r="AB226" s="440" t="str">
        <f t="shared" si="253"/>
        <v>= lin. 61 - lin. 62 =</v>
      </c>
      <c r="AC226" s="440" t="str">
        <f t="shared" si="253"/>
        <v>= lin. 61 - lin. 62 =</v>
      </c>
      <c r="AD226" s="440" t="str">
        <f t="shared" si="253"/>
        <v>= lin. 61 - lin. 62 =</v>
      </c>
      <c r="AE226" s="440" t="str">
        <f t="shared" si="253"/>
        <v>= lin. 61 - lin. 62 =</v>
      </c>
      <c r="AF226" s="436"/>
      <c r="AG226" s="436"/>
    </row>
    <row r="227" spans="1:33" s="3" customFormat="1">
      <c r="A227" s="436"/>
      <c r="B227" s="627">
        <v>63</v>
      </c>
      <c r="C227" s="439"/>
      <c r="D227" s="439">
        <f t="shared" si="251"/>
        <v>105</v>
      </c>
      <c r="E227" s="439"/>
      <c r="F227" s="450" t="s">
        <v>105</v>
      </c>
      <c r="G227" s="440" t="str">
        <f>"= lin. 62-64 (nedrundet til hele 10er) ="</f>
        <v>= lin. 62-64 (nedrundet til hele 10er) =</v>
      </c>
      <c r="H227" s="440" t="str">
        <f t="shared" ref="H227:S227" si="254">"= lin. 62-64 (nedrundet til hele 10er) ="</f>
        <v>= lin. 62-64 (nedrundet til hele 10er) =</v>
      </c>
      <c r="I227" s="440" t="str">
        <f t="shared" si="254"/>
        <v>= lin. 62-64 (nedrundet til hele 10er) =</v>
      </c>
      <c r="J227" s="440" t="str">
        <f t="shared" si="254"/>
        <v>= lin. 62-64 (nedrundet til hele 10er) =</v>
      </c>
      <c r="K227" s="440" t="str">
        <f t="shared" si="254"/>
        <v>= lin. 62-64 (nedrundet til hele 10er) =</v>
      </c>
      <c r="L227" s="440" t="str">
        <f t="shared" si="254"/>
        <v>= lin. 62-64 (nedrundet til hele 10er) =</v>
      </c>
      <c r="M227" s="440" t="str">
        <f t="shared" si="254"/>
        <v>= lin. 62-64 (nedrundet til hele 10er) =</v>
      </c>
      <c r="N227" s="440" t="str">
        <f t="shared" si="254"/>
        <v>= lin. 62-64 (nedrundet til hele 10er) =</v>
      </c>
      <c r="O227" s="440" t="str">
        <f t="shared" si="254"/>
        <v>= lin. 62-64 (nedrundet til hele 10er) =</v>
      </c>
      <c r="P227" s="440" t="str">
        <f>"= lin. 62-64 (nedrundet til hele 10er) ="</f>
        <v>= lin. 62-64 (nedrundet til hele 10er) =</v>
      </c>
      <c r="Q227" s="440" t="str">
        <f t="shared" si="254"/>
        <v>= lin. 62-64 (nedrundet til hele 10er) =</v>
      </c>
      <c r="R227" s="440" t="str">
        <f t="shared" si="254"/>
        <v>= lin. 62-64 (nedrundet til hele 10er) =</v>
      </c>
      <c r="S227" s="440" t="str">
        <f t="shared" si="254"/>
        <v>= lin. 62-64 (nedrundet til hele 10er) =</v>
      </c>
      <c r="T227" s="935" t="str">
        <f>"= lin. 65-63 (nedrundet til hele 10er) ="</f>
        <v>= lin. 65-63 (nedrundet til hele 10er) =</v>
      </c>
      <c r="U227" s="440" t="str">
        <f t="shared" ref="U227:AE227" si="255">"= lin. 65-63 (nedrundet til hele 10er) ="</f>
        <v>= lin. 65-63 (nedrundet til hele 10er) =</v>
      </c>
      <c r="V227" s="440" t="str">
        <f t="shared" si="255"/>
        <v>= lin. 65-63 (nedrundet til hele 10er) =</v>
      </c>
      <c r="W227" s="440" t="str">
        <f t="shared" si="255"/>
        <v>= lin. 65-63 (nedrundet til hele 10er) =</v>
      </c>
      <c r="X227" s="440" t="str">
        <f t="shared" si="255"/>
        <v>= lin. 65-63 (nedrundet til hele 10er) =</v>
      </c>
      <c r="Y227" s="440" t="str">
        <f t="shared" si="255"/>
        <v>= lin. 65-63 (nedrundet til hele 10er) =</v>
      </c>
      <c r="Z227" s="440" t="str">
        <f t="shared" si="255"/>
        <v>= lin. 65-63 (nedrundet til hele 10er) =</v>
      </c>
      <c r="AA227" s="440" t="str">
        <f t="shared" si="255"/>
        <v>= lin. 65-63 (nedrundet til hele 10er) =</v>
      </c>
      <c r="AB227" s="440" t="str">
        <f t="shared" si="255"/>
        <v>= lin. 65-63 (nedrundet til hele 10er) =</v>
      </c>
      <c r="AC227" s="440" t="str">
        <f t="shared" si="255"/>
        <v>= lin. 65-63 (nedrundet til hele 10er) =</v>
      </c>
      <c r="AD227" s="440" t="str">
        <f t="shared" si="255"/>
        <v>= lin. 65-63 (nedrundet til hele 10er) =</v>
      </c>
      <c r="AE227" s="440" t="str">
        <f t="shared" si="255"/>
        <v>= lin. 65-63 (nedrundet til hele 10er) =</v>
      </c>
      <c r="AF227" s="436"/>
      <c r="AG227" s="436"/>
    </row>
    <row r="228" spans="1:33" s="3" customFormat="1">
      <c r="A228" s="436"/>
      <c r="B228" s="631">
        <v>64</v>
      </c>
      <c r="C228" s="439"/>
      <c r="D228" s="439">
        <f t="shared" si="251"/>
        <v>106</v>
      </c>
      <c r="E228" s="439"/>
      <c r="F228" s="450" t="s">
        <v>94</v>
      </c>
      <c r="G228" s="440" t="str">
        <f>"= lin. 65 * "&amp;G29&amp;"% (nedrundet) ="</f>
        <v>= lin. 65 * % (nedrundet) =</v>
      </c>
      <c r="H228" s="440" t="str">
        <f t="shared" ref="H228:O228" si="256">"= lin. 65 * "&amp;H29&amp;"% (nedrundet) ="</f>
        <v>= lin. 65 * 0% (nedrundet) =</v>
      </c>
      <c r="I228" s="440" t="str">
        <f t="shared" si="256"/>
        <v>= lin. 65 * 0% (nedrundet) =</v>
      </c>
      <c r="J228" s="440" t="str">
        <f t="shared" si="256"/>
        <v>= lin. 65 * 0% (nedrundet) =</v>
      </c>
      <c r="K228" s="440" t="str">
        <f t="shared" si="256"/>
        <v>= lin. 65 * 0% (nedrundet) =</v>
      </c>
      <c r="L228" s="440" t="str">
        <f t="shared" si="256"/>
        <v>= lin. 65 * % (nedrundet) =</v>
      </c>
      <c r="M228" s="440" t="str">
        <f t="shared" si="256"/>
        <v>= lin. 65 * 0% (nedrundet) =</v>
      </c>
      <c r="N228" s="440" t="str">
        <f t="shared" si="256"/>
        <v>= lin. 65 * 0% (nedrundet) =</v>
      </c>
      <c r="O228" s="440" t="str">
        <f t="shared" si="256"/>
        <v>= lin. 65 * 0% (nedrundet) =</v>
      </c>
      <c r="P228" s="440" t="str">
        <f>"= lin. 65 * "&amp;P29&amp;"% (nedrundet) ="</f>
        <v>= lin. 65 * 0% (nedrundet) =</v>
      </c>
      <c r="Q228" s="440" t="str">
        <f t="shared" ref="Q228:S228" si="257">"= lin. 65 * "&amp;Q29&amp;"% (nedrundet) ="</f>
        <v>= lin. 65 * 0% (nedrundet) =</v>
      </c>
      <c r="R228" s="440" t="str">
        <f t="shared" si="257"/>
        <v>= lin. 65 * 0% (nedrundet) =</v>
      </c>
      <c r="S228" s="440" t="str">
        <f t="shared" si="257"/>
        <v>= lin. 65 * % (nedrundet) =</v>
      </c>
      <c r="T228" s="935" t="str">
        <f t="shared" ref="T228:AE228" si="258">"= lin. 66 * "&amp;T29&amp;"% (nedrundet) ="</f>
        <v>= lin. 66 * 0% (nedrundet) =</v>
      </c>
      <c r="U228" s="440" t="str">
        <f t="shared" si="258"/>
        <v>= lin. 66 * 0% (nedrundet) =</v>
      </c>
      <c r="V228" s="440" t="str">
        <f t="shared" si="258"/>
        <v>= lin. 66 * 0% (nedrundet) =</v>
      </c>
      <c r="W228" s="440" t="str">
        <f t="shared" si="258"/>
        <v>= lin. 66 * 0% (nedrundet) =</v>
      </c>
      <c r="X228" s="440" t="str">
        <f t="shared" si="258"/>
        <v>= lin. 66 * 0% (nedrundet) =</v>
      </c>
      <c r="Y228" s="440" t="str">
        <f t="shared" si="258"/>
        <v>= lin. 66 * 0% (nedrundet) =</v>
      </c>
      <c r="Z228" s="440" t="str">
        <f t="shared" si="258"/>
        <v>= lin. 66 * 0% (nedrundet) =</v>
      </c>
      <c r="AA228" s="440" t="str">
        <f t="shared" si="258"/>
        <v>= lin. 66 * 0% (nedrundet) =</v>
      </c>
      <c r="AB228" s="440" t="str">
        <f t="shared" si="258"/>
        <v>= lin. 66 * 0% (nedrundet) =</v>
      </c>
      <c r="AC228" s="440" t="str">
        <f t="shared" si="258"/>
        <v>= lin. 66 * 0% (nedrundet) =</v>
      </c>
      <c r="AD228" s="440" t="str">
        <f t="shared" si="258"/>
        <v>= lin. 66 * 0% (nedrundet) =</v>
      </c>
      <c r="AE228" s="440" t="str">
        <f t="shared" si="258"/>
        <v>= lin. 66 * 0% (nedrundet) =</v>
      </c>
      <c r="AF228" s="436"/>
      <c r="AG228" s="436"/>
    </row>
    <row r="229" spans="1:33" s="3" customFormat="1">
      <c r="A229" s="436"/>
      <c r="B229" s="627">
        <v>65</v>
      </c>
      <c r="C229" s="451"/>
      <c r="D229" s="451">
        <f t="shared" si="251"/>
        <v>107</v>
      </c>
      <c r="E229" s="451"/>
      <c r="F229" s="452" t="str">
        <f>"Feriegodtgørelsesgrundlag, jan-dec "&amp;MID($A$1,3,2)</f>
        <v>Feriegodtgørelsesgrundlag, jan-dec 24</v>
      </c>
      <c r="G229" s="453"/>
      <c r="H229" s="453"/>
      <c r="I229" s="453"/>
      <c r="J229" s="453"/>
      <c r="K229" s="453"/>
      <c r="L229" s="453"/>
      <c r="M229" s="453"/>
      <c r="N229" s="453"/>
      <c r="O229" s="453"/>
      <c r="P229" s="453"/>
      <c r="Q229" s="453"/>
      <c r="R229" s="453"/>
      <c r="S229" s="453"/>
      <c r="T229" s="938"/>
      <c r="U229" s="453"/>
      <c r="V229" s="453"/>
      <c r="W229" s="453"/>
      <c r="X229" s="453"/>
      <c r="Y229" s="453"/>
      <c r="Z229" s="453"/>
      <c r="AA229" s="453"/>
      <c r="AB229" s="453"/>
      <c r="AC229" s="453"/>
      <c r="AD229" s="453"/>
      <c r="AE229" s="453"/>
      <c r="AF229" s="436"/>
      <c r="AG229" s="436"/>
    </row>
    <row r="230" spans="1:33" s="3" customFormat="1">
      <c r="A230" s="436"/>
      <c r="B230" s="631">
        <v>66</v>
      </c>
      <c r="C230" s="451"/>
      <c r="D230" s="451">
        <f t="shared" si="251"/>
        <v>108</v>
      </c>
      <c r="E230" s="451"/>
      <c r="F230" s="452" t="str">
        <f>"Feriegodtgørelsesgrundlag, jan-dec "&amp;MID($A$1,3,2)+1</f>
        <v>Feriegodtgørelsesgrundlag, jan-dec 25</v>
      </c>
      <c r="G230" s="453"/>
      <c r="H230" s="453"/>
      <c r="I230" s="453"/>
      <c r="J230" s="453"/>
      <c r="K230" s="453"/>
      <c r="L230" s="453"/>
      <c r="M230" s="453"/>
      <c r="N230" s="453"/>
      <c r="O230" s="453"/>
      <c r="P230" s="453"/>
      <c r="Q230" s="453"/>
      <c r="R230" s="453"/>
      <c r="S230" s="453"/>
      <c r="T230" s="938"/>
      <c r="U230" s="453"/>
      <c r="V230" s="453"/>
      <c r="W230" s="453"/>
      <c r="X230" s="453"/>
      <c r="Y230" s="453"/>
      <c r="Z230" s="453"/>
      <c r="AA230" s="453"/>
      <c r="AB230" s="453"/>
      <c r="AC230" s="453"/>
      <c r="AD230" s="453"/>
      <c r="AE230" s="453"/>
      <c r="AF230" s="436"/>
      <c r="AG230" s="436"/>
    </row>
    <row r="231" spans="1:33" s="3" customFormat="1">
      <c r="A231" s="436"/>
      <c r="B231" s="627">
        <v>67</v>
      </c>
      <c r="C231" s="439"/>
      <c r="D231" s="439">
        <f t="shared" si="251"/>
        <v>109</v>
      </c>
      <c r="E231" s="439"/>
      <c r="F231" s="450" t="s">
        <v>180</v>
      </c>
      <c r="G231" s="440" t="str">
        <f>"= lin. 58 ="</f>
        <v>= lin. 58 =</v>
      </c>
      <c r="H231" s="440" t="str">
        <f t="shared" ref="H231:S231" si="259">"= lin. 58 ="</f>
        <v>= lin. 58 =</v>
      </c>
      <c r="I231" s="440" t="str">
        <f t="shared" si="259"/>
        <v>= lin. 58 =</v>
      </c>
      <c r="J231" s="440" t="str">
        <f t="shared" si="259"/>
        <v>= lin. 58 =</v>
      </c>
      <c r="K231" s="440" t="str">
        <f t="shared" si="259"/>
        <v>= lin. 58 =</v>
      </c>
      <c r="L231" s="440" t="str">
        <f t="shared" si="259"/>
        <v>= lin. 58 =</v>
      </c>
      <c r="M231" s="440" t="str">
        <f t="shared" si="259"/>
        <v>= lin. 58 =</v>
      </c>
      <c r="N231" s="440" t="str">
        <f t="shared" si="259"/>
        <v>= lin. 58 =</v>
      </c>
      <c r="O231" s="440" t="str">
        <f t="shared" si="259"/>
        <v>= lin. 58 =</v>
      </c>
      <c r="P231" s="440" t="str">
        <f>"= lin. 58 ="</f>
        <v>= lin. 58 =</v>
      </c>
      <c r="Q231" s="440" t="str">
        <f t="shared" si="259"/>
        <v>= lin. 58 =</v>
      </c>
      <c r="R231" s="440" t="str">
        <f t="shared" si="259"/>
        <v>= lin. 58 =</v>
      </c>
      <c r="S231" s="440" t="str">
        <f t="shared" si="259"/>
        <v>= lin. 58 =</v>
      </c>
      <c r="T231" s="935" t="str">
        <f>"= lin. 59 ="</f>
        <v>= lin. 59 =</v>
      </c>
      <c r="U231" s="440" t="str">
        <f t="shared" ref="U231:AE231" si="260">"= lin. 59 ="</f>
        <v>= lin. 59 =</v>
      </c>
      <c r="V231" s="440" t="str">
        <f t="shared" si="260"/>
        <v>= lin. 59 =</v>
      </c>
      <c r="W231" s="440" t="str">
        <f t="shared" si="260"/>
        <v>= lin. 59 =</v>
      </c>
      <c r="X231" s="440" t="str">
        <f t="shared" si="260"/>
        <v>= lin. 59 =</v>
      </c>
      <c r="Y231" s="440" t="str">
        <f t="shared" si="260"/>
        <v>= lin. 59 =</v>
      </c>
      <c r="Z231" s="440" t="str">
        <f t="shared" si="260"/>
        <v>= lin. 59 =</v>
      </c>
      <c r="AA231" s="440" t="str">
        <f t="shared" si="260"/>
        <v>= lin. 59 =</v>
      </c>
      <c r="AB231" s="440" t="str">
        <f t="shared" si="260"/>
        <v>= lin. 59 =</v>
      </c>
      <c r="AC231" s="440" t="str">
        <f t="shared" si="260"/>
        <v>= lin. 59 =</v>
      </c>
      <c r="AD231" s="440" t="str">
        <f t="shared" si="260"/>
        <v>= lin. 59 =</v>
      </c>
      <c r="AE231" s="440" t="str">
        <f t="shared" si="260"/>
        <v>= lin. 59 =</v>
      </c>
      <c r="AF231" s="436"/>
      <c r="AG231" s="436"/>
    </row>
    <row r="232" spans="1:33" s="3" customFormat="1">
      <c r="A232" s="436"/>
      <c r="B232" s="631">
        <f t="shared" ref="B232:B237" si="261">B231+1</f>
        <v>68</v>
      </c>
      <c r="C232" s="439"/>
      <c r="D232" s="439">
        <f t="shared" si="251"/>
        <v>110</v>
      </c>
      <c r="E232" s="439"/>
      <c r="F232" s="450" t="s">
        <v>184</v>
      </c>
      <c r="G232" s="440" t="str">
        <f>"= lin. 58 * 2 ="</f>
        <v>= lin. 58 * 2 =</v>
      </c>
      <c r="H232" s="440" t="str">
        <f t="shared" ref="H232:S232" si="262">"= lin. 58 * 2 ="</f>
        <v>= lin. 58 * 2 =</v>
      </c>
      <c r="I232" s="440" t="str">
        <f t="shared" si="262"/>
        <v>= lin. 58 * 2 =</v>
      </c>
      <c r="J232" s="440" t="str">
        <f t="shared" si="262"/>
        <v>= lin. 58 * 2 =</v>
      </c>
      <c r="K232" s="440" t="str">
        <f t="shared" si="262"/>
        <v>= lin. 58 * 2 =</v>
      </c>
      <c r="L232" s="440" t="str">
        <f t="shared" si="262"/>
        <v>= lin. 58 * 2 =</v>
      </c>
      <c r="M232" s="440" t="str">
        <f t="shared" si="262"/>
        <v>= lin. 58 * 2 =</v>
      </c>
      <c r="N232" s="440" t="str">
        <f t="shared" si="262"/>
        <v>= lin. 58 * 2 =</v>
      </c>
      <c r="O232" s="440" t="str">
        <f t="shared" si="262"/>
        <v>= lin. 58 * 2 =</v>
      </c>
      <c r="P232" s="440" t="str">
        <f>"= lin. 58 * 2 ="</f>
        <v>= lin. 58 * 2 =</v>
      </c>
      <c r="Q232" s="440" t="str">
        <f t="shared" si="262"/>
        <v>= lin. 58 * 2 =</v>
      </c>
      <c r="R232" s="440" t="str">
        <f t="shared" si="262"/>
        <v>= lin. 58 * 2 =</v>
      </c>
      <c r="S232" s="440" t="str">
        <f t="shared" si="262"/>
        <v>= lin. 58 * 2 =</v>
      </c>
      <c r="T232" s="935" t="str">
        <f>"= lin. 59 * 2 ="</f>
        <v>= lin. 59 * 2 =</v>
      </c>
      <c r="U232" s="440" t="str">
        <f t="shared" ref="U232:AE232" si="263">"= lin. 59 * 2 ="</f>
        <v>= lin. 59 * 2 =</v>
      </c>
      <c r="V232" s="440" t="str">
        <f t="shared" si="263"/>
        <v>= lin. 59 * 2 =</v>
      </c>
      <c r="W232" s="440" t="str">
        <f t="shared" si="263"/>
        <v>= lin. 59 * 2 =</v>
      </c>
      <c r="X232" s="440" t="str">
        <f t="shared" si="263"/>
        <v>= lin. 59 * 2 =</v>
      </c>
      <c r="Y232" s="440" t="str">
        <f t="shared" si="263"/>
        <v>= lin. 59 * 2 =</v>
      </c>
      <c r="Z232" s="440" t="str">
        <f t="shared" si="263"/>
        <v>= lin. 59 * 2 =</v>
      </c>
      <c r="AA232" s="440" t="str">
        <f t="shared" si="263"/>
        <v>= lin. 59 * 2 =</v>
      </c>
      <c r="AB232" s="440" t="str">
        <f t="shared" si="263"/>
        <v>= lin. 59 * 2 =</v>
      </c>
      <c r="AC232" s="440" t="str">
        <f t="shared" si="263"/>
        <v>= lin. 59 * 2 =</v>
      </c>
      <c r="AD232" s="440" t="str">
        <f t="shared" si="263"/>
        <v>= lin. 59 * 2 =</v>
      </c>
      <c r="AE232" s="440" t="str">
        <f t="shared" si="263"/>
        <v>= lin. 59 * 2 =</v>
      </c>
      <c r="AF232" s="436"/>
      <c r="AG232" s="436"/>
    </row>
    <row r="233" spans="1:33" s="3" customFormat="1">
      <c r="A233" s="436"/>
      <c r="B233" s="627">
        <f t="shared" si="261"/>
        <v>69</v>
      </c>
      <c r="C233" s="439"/>
      <c r="D233" s="439">
        <f t="shared" si="251"/>
        <v>111</v>
      </c>
      <c r="E233" s="439"/>
      <c r="F233" s="450" t="s">
        <v>38</v>
      </c>
      <c r="G233" s="440" t="str">
        <f>"2/3 af den samlede indbetaling (lin. 72) iflg. A-satser"</f>
        <v>2/3 af den samlede indbetaling (lin. 72) iflg. A-satser</v>
      </c>
      <c r="H233" s="440" t="str">
        <f t="shared" ref="H233:S233" si="264">"2/3 af den samlede indbetaling (lin. 72) iflg. A-satser"</f>
        <v>2/3 af den samlede indbetaling (lin. 72) iflg. A-satser</v>
      </c>
      <c r="I233" s="440" t="str">
        <f t="shared" si="264"/>
        <v>2/3 af den samlede indbetaling (lin. 72) iflg. A-satser</v>
      </c>
      <c r="J233" s="440" t="str">
        <f t="shared" si="264"/>
        <v>2/3 af den samlede indbetaling (lin. 72) iflg. A-satser</v>
      </c>
      <c r="K233" s="440" t="str">
        <f t="shared" si="264"/>
        <v>2/3 af den samlede indbetaling (lin. 72) iflg. A-satser</v>
      </c>
      <c r="L233" s="440" t="str">
        <f t="shared" si="264"/>
        <v>2/3 af den samlede indbetaling (lin. 72) iflg. A-satser</v>
      </c>
      <c r="M233" s="440" t="str">
        <f t="shared" si="264"/>
        <v>2/3 af den samlede indbetaling (lin. 72) iflg. A-satser</v>
      </c>
      <c r="N233" s="440" t="str">
        <f t="shared" si="264"/>
        <v>2/3 af den samlede indbetaling (lin. 72) iflg. A-satser</v>
      </c>
      <c r="O233" s="440" t="str">
        <f t="shared" si="264"/>
        <v>2/3 af den samlede indbetaling (lin. 72) iflg. A-satser</v>
      </c>
      <c r="P233" s="440" t="str">
        <f>"2/3 af den samlede indbetaling (lin. 72) iflg. A-satser"</f>
        <v>2/3 af den samlede indbetaling (lin. 72) iflg. A-satser</v>
      </c>
      <c r="Q233" s="440" t="str">
        <f t="shared" si="264"/>
        <v>2/3 af den samlede indbetaling (lin. 72) iflg. A-satser</v>
      </c>
      <c r="R233" s="440" t="str">
        <f t="shared" si="264"/>
        <v>2/3 af den samlede indbetaling (lin. 72) iflg. A-satser</v>
      </c>
      <c r="S233" s="440" t="str">
        <f t="shared" si="264"/>
        <v>2/3 af den samlede indbetaling (lin. 72) iflg. A-satser</v>
      </c>
      <c r="T233" s="935" t="str">
        <f>"2/3 af den samlede indbetaling (lin. 71) iflg. A-satser"</f>
        <v>2/3 af den samlede indbetaling (lin. 71) iflg. A-satser</v>
      </c>
      <c r="U233" s="440" t="str">
        <f t="shared" ref="U233:AE233" si="265">"2/3 af den samlede indbetaling (lin. 71) iflg. A-satser"</f>
        <v>2/3 af den samlede indbetaling (lin. 71) iflg. A-satser</v>
      </c>
      <c r="V233" s="440" t="str">
        <f t="shared" si="265"/>
        <v>2/3 af den samlede indbetaling (lin. 71) iflg. A-satser</v>
      </c>
      <c r="W233" s="440" t="str">
        <f t="shared" si="265"/>
        <v>2/3 af den samlede indbetaling (lin. 71) iflg. A-satser</v>
      </c>
      <c r="X233" s="440" t="str">
        <f t="shared" si="265"/>
        <v>2/3 af den samlede indbetaling (lin. 71) iflg. A-satser</v>
      </c>
      <c r="Y233" s="440" t="str">
        <f t="shared" si="265"/>
        <v>2/3 af den samlede indbetaling (lin. 71) iflg. A-satser</v>
      </c>
      <c r="Z233" s="440" t="str">
        <f t="shared" si="265"/>
        <v>2/3 af den samlede indbetaling (lin. 71) iflg. A-satser</v>
      </c>
      <c r="AA233" s="440" t="str">
        <f t="shared" si="265"/>
        <v>2/3 af den samlede indbetaling (lin. 71) iflg. A-satser</v>
      </c>
      <c r="AB233" s="440" t="str">
        <f t="shared" si="265"/>
        <v>2/3 af den samlede indbetaling (lin. 71) iflg. A-satser</v>
      </c>
      <c r="AC233" s="440" t="str">
        <f t="shared" si="265"/>
        <v>2/3 af den samlede indbetaling (lin. 71) iflg. A-satser</v>
      </c>
      <c r="AD233" s="440" t="str">
        <f t="shared" si="265"/>
        <v>2/3 af den samlede indbetaling (lin. 71) iflg. A-satser</v>
      </c>
      <c r="AE233" s="440" t="str">
        <f t="shared" si="265"/>
        <v>2/3 af den samlede indbetaling (lin. 71) iflg. A-satser</v>
      </c>
      <c r="AF233" s="436"/>
      <c r="AG233" s="436"/>
    </row>
    <row r="234" spans="1:33" s="3" customFormat="1">
      <c r="A234" s="436"/>
      <c r="B234" s="631">
        <f t="shared" si="261"/>
        <v>70</v>
      </c>
      <c r="C234" s="439"/>
      <c r="D234" s="439">
        <f t="shared" si="251"/>
        <v>112</v>
      </c>
      <c r="E234" s="439"/>
      <c r="F234" s="450" t="s">
        <v>109</v>
      </c>
      <c r="G234" s="440" t="str">
        <f>"= lin. 69 + lin. 70 ="</f>
        <v>= lin. 69 + lin. 70 =</v>
      </c>
      <c r="H234" s="440" t="str">
        <f t="shared" ref="H234:S234" si="266">"= lin. 69 + lin. 70 ="</f>
        <v>= lin. 69 + lin. 70 =</v>
      </c>
      <c r="I234" s="440" t="str">
        <f t="shared" si="266"/>
        <v>= lin. 69 + lin. 70 =</v>
      </c>
      <c r="J234" s="440" t="str">
        <f t="shared" si="266"/>
        <v>= lin. 69 + lin. 70 =</v>
      </c>
      <c r="K234" s="440" t="str">
        <f t="shared" si="266"/>
        <v>= lin. 69 + lin. 70 =</v>
      </c>
      <c r="L234" s="440" t="str">
        <f t="shared" si="266"/>
        <v>= lin. 69 + lin. 70 =</v>
      </c>
      <c r="M234" s="440" t="str">
        <f t="shared" si="266"/>
        <v>= lin. 69 + lin. 70 =</v>
      </c>
      <c r="N234" s="440" t="str">
        <f t="shared" si="266"/>
        <v>= lin. 69 + lin. 70 =</v>
      </c>
      <c r="O234" s="440" t="str">
        <f t="shared" si="266"/>
        <v>= lin. 69 + lin. 70 =</v>
      </c>
      <c r="P234" s="440" t="str">
        <f>"= lin. 69 + lin. 70 ="</f>
        <v>= lin. 69 + lin. 70 =</v>
      </c>
      <c r="Q234" s="440" t="str">
        <f t="shared" si="266"/>
        <v>= lin. 69 + lin. 70 =</v>
      </c>
      <c r="R234" s="440" t="str">
        <f t="shared" si="266"/>
        <v>= lin. 69 + lin. 70 =</v>
      </c>
      <c r="S234" s="440" t="str">
        <f t="shared" si="266"/>
        <v>= lin. 69 + lin. 70 =</v>
      </c>
      <c r="T234" s="935" t="str">
        <f>"= lin. 67 + lin. 68 ="</f>
        <v>= lin. 67 + lin. 68 =</v>
      </c>
      <c r="U234" s="440" t="str">
        <f>"= lin. 67 + lin. 68 ="</f>
        <v>= lin. 67 + lin. 68 =</v>
      </c>
      <c r="V234" s="440" t="str">
        <f t="shared" ref="V234:AE234" si="267">"= lin. 67 + lin. 68 ="</f>
        <v>= lin. 67 + lin. 68 =</v>
      </c>
      <c r="W234" s="440" t="str">
        <f t="shared" si="267"/>
        <v>= lin. 67 + lin. 68 =</v>
      </c>
      <c r="X234" s="440" t="str">
        <f t="shared" si="267"/>
        <v>= lin. 67 + lin. 68 =</v>
      </c>
      <c r="Y234" s="440" t="str">
        <f t="shared" si="267"/>
        <v>= lin. 67 + lin. 68 =</v>
      </c>
      <c r="Z234" s="440" t="str">
        <f t="shared" si="267"/>
        <v>= lin. 67 + lin. 68 =</v>
      </c>
      <c r="AA234" s="440" t="str">
        <f t="shared" si="267"/>
        <v>= lin. 67 + lin. 68 =</v>
      </c>
      <c r="AB234" s="440" t="str">
        <f t="shared" si="267"/>
        <v>= lin. 67 + lin. 68 =</v>
      </c>
      <c r="AC234" s="440" t="str">
        <f t="shared" si="267"/>
        <v>= lin. 67 + lin. 68 =</v>
      </c>
      <c r="AD234" s="440" t="str">
        <f t="shared" si="267"/>
        <v>= lin. 67 + lin. 68 =</v>
      </c>
      <c r="AE234" s="440" t="str">
        <f t="shared" si="267"/>
        <v>= lin. 67 + lin. 68 =</v>
      </c>
      <c r="AF234" s="436"/>
      <c r="AG234" s="436"/>
    </row>
    <row r="235" spans="1:33" s="3" customFormat="1">
      <c r="A235" s="436"/>
      <c r="B235" s="627">
        <f t="shared" si="261"/>
        <v>71</v>
      </c>
      <c r="C235" s="439"/>
      <c r="D235" s="439">
        <f t="shared" si="251"/>
        <v>113</v>
      </c>
      <c r="E235" s="439"/>
      <c r="F235" s="450" t="s">
        <v>110</v>
      </c>
      <c r="G235" s="440" t="str">
        <f>"iflg. ATP's satser (afhængig af beskæftigelsesgraden)"</f>
        <v>iflg. ATP's satser (afhængig af beskæftigelsesgraden)</v>
      </c>
      <c r="H235" s="440" t="str">
        <f t="shared" ref="H235:S235" si="268">"iflg. ATP's satser (afhængig af beskæftigelsesgraden)"</f>
        <v>iflg. ATP's satser (afhængig af beskæftigelsesgraden)</v>
      </c>
      <c r="I235" s="440" t="str">
        <f t="shared" si="268"/>
        <v>iflg. ATP's satser (afhængig af beskæftigelsesgraden)</v>
      </c>
      <c r="J235" s="440" t="str">
        <f t="shared" si="268"/>
        <v>iflg. ATP's satser (afhængig af beskæftigelsesgraden)</v>
      </c>
      <c r="K235" s="440" t="str">
        <f t="shared" si="268"/>
        <v>iflg. ATP's satser (afhængig af beskæftigelsesgraden)</v>
      </c>
      <c r="L235" s="440" t="str">
        <f t="shared" si="268"/>
        <v>iflg. ATP's satser (afhængig af beskæftigelsesgraden)</v>
      </c>
      <c r="M235" s="440" t="str">
        <f t="shared" si="268"/>
        <v>iflg. ATP's satser (afhængig af beskæftigelsesgraden)</v>
      </c>
      <c r="N235" s="440" t="str">
        <f t="shared" si="268"/>
        <v>iflg. ATP's satser (afhængig af beskæftigelsesgraden)</v>
      </c>
      <c r="O235" s="440" t="str">
        <f t="shared" si="268"/>
        <v>iflg. ATP's satser (afhængig af beskæftigelsesgraden)</v>
      </c>
      <c r="P235" s="440" t="str">
        <f>"iflg. ATP's satser (afhængig af beskæftigelsesgraden)"</f>
        <v>iflg. ATP's satser (afhængig af beskæftigelsesgraden)</v>
      </c>
      <c r="Q235" s="440" t="str">
        <f t="shared" si="268"/>
        <v>iflg. ATP's satser (afhængig af beskæftigelsesgraden)</v>
      </c>
      <c r="R235" s="440" t="str">
        <f t="shared" si="268"/>
        <v>iflg. ATP's satser (afhængig af beskæftigelsesgraden)</v>
      </c>
      <c r="S235" s="440" t="str">
        <f t="shared" si="268"/>
        <v>iflg. ATP's satser (afhængig af beskæftigelsesgraden)</v>
      </c>
      <c r="T235" s="935" t="str">
        <f>"iflg. ATP's satser (afhængig af beskæftigelsesgraden)"</f>
        <v>iflg. ATP's satser (afhængig af beskæftigelsesgraden)</v>
      </c>
      <c r="U235" s="440" t="str">
        <f t="shared" ref="U235:AE235" si="269">"iflg. ATP's satser (afhængig af beskæftigelsesgraden)"</f>
        <v>iflg. ATP's satser (afhængig af beskæftigelsesgraden)</v>
      </c>
      <c r="V235" s="440" t="str">
        <f t="shared" si="269"/>
        <v>iflg. ATP's satser (afhængig af beskæftigelsesgraden)</v>
      </c>
      <c r="W235" s="440" t="str">
        <f t="shared" si="269"/>
        <v>iflg. ATP's satser (afhængig af beskæftigelsesgraden)</v>
      </c>
      <c r="X235" s="440" t="str">
        <f t="shared" si="269"/>
        <v>iflg. ATP's satser (afhængig af beskæftigelsesgraden)</v>
      </c>
      <c r="Y235" s="440" t="str">
        <f t="shared" si="269"/>
        <v>iflg. ATP's satser (afhængig af beskæftigelsesgraden)</v>
      </c>
      <c r="Z235" s="440" t="str">
        <f t="shared" si="269"/>
        <v>iflg. ATP's satser (afhængig af beskæftigelsesgraden)</v>
      </c>
      <c r="AA235" s="440" t="str">
        <f t="shared" si="269"/>
        <v>iflg. ATP's satser (afhængig af beskæftigelsesgraden)</v>
      </c>
      <c r="AB235" s="440" t="str">
        <f t="shared" si="269"/>
        <v>iflg. ATP's satser (afhængig af beskæftigelsesgraden)</v>
      </c>
      <c r="AC235" s="440" t="str">
        <f t="shared" si="269"/>
        <v>iflg. ATP's satser (afhængig af beskæftigelsesgraden)</v>
      </c>
      <c r="AD235" s="440" t="str">
        <f t="shared" si="269"/>
        <v>iflg. ATP's satser (afhængig af beskæftigelsesgraden)</v>
      </c>
      <c r="AE235" s="440" t="str">
        <f t="shared" si="269"/>
        <v>iflg. ATP's satser (afhængig af beskæftigelsesgraden)</v>
      </c>
      <c r="AF235" s="436"/>
      <c r="AG235" s="436"/>
    </row>
    <row r="236" spans="1:33" s="3" customFormat="1">
      <c r="A236" s="436"/>
      <c r="B236" s="631">
        <f t="shared" si="261"/>
        <v>72</v>
      </c>
      <c r="C236" s="439"/>
      <c r="D236" s="439">
        <f t="shared" si="251"/>
        <v>114</v>
      </c>
      <c r="E236" s="439"/>
      <c r="F236" s="450" t="s">
        <v>132</v>
      </c>
      <c r="G236" s="440" t="e">
        <f t="shared" ref="G236:S236" si="270">"= "&amp;TEXT(ROUND(ROUND(VLOOKUP(VALUE(MID(G5,2,2)),Skalalontabel12,7,0)*G6,0)/12,2),"#.###,00")&amp;" * 15% * "&amp;TEXT(MIN(1,G11),"0,0000")&amp;" * "&amp;TEXT(G$3,"#0/#0")&amp;" ="</f>
        <v>#VALUE!</v>
      </c>
      <c r="H236" s="440" t="e">
        <f t="shared" si="270"/>
        <v>#VALUE!</v>
      </c>
      <c r="I236" s="440" t="e">
        <f t="shared" si="270"/>
        <v>#VALUE!</v>
      </c>
      <c r="J236" s="440" t="e">
        <f t="shared" si="270"/>
        <v>#VALUE!</v>
      </c>
      <c r="K236" s="440" t="e">
        <f t="shared" si="270"/>
        <v>#VALUE!</v>
      </c>
      <c r="L236" s="440" t="e">
        <f t="shared" si="270"/>
        <v>#VALUE!</v>
      </c>
      <c r="M236" s="440" t="e">
        <f t="shared" si="270"/>
        <v>#VALUE!</v>
      </c>
      <c r="N236" s="440" t="e">
        <f t="shared" si="270"/>
        <v>#VALUE!</v>
      </c>
      <c r="O236" s="440" t="e">
        <f t="shared" si="270"/>
        <v>#VALUE!</v>
      </c>
      <c r="P236" s="440" t="e">
        <f t="shared" si="270"/>
        <v>#VALUE!</v>
      </c>
      <c r="Q236" s="440" t="e">
        <f t="shared" si="270"/>
        <v>#VALUE!</v>
      </c>
      <c r="R236" s="440" t="e">
        <f t="shared" si="270"/>
        <v>#VALUE!</v>
      </c>
      <c r="S236" s="440" t="e">
        <f t="shared" si="270"/>
        <v>#VALUE!</v>
      </c>
      <c r="T236" s="935" t="e">
        <f t="shared" ref="T236:AE236" si="271">"= "&amp;TEXT(ROUND(ROUND(VLOOKUP(VALUE(MID(T5,2,2)),Skalalontabel12,7,0)*T6,0)/12,2),"#.###,00")&amp;" * 15% * "&amp;TEXT(MIN(1,T10),"0,0000")&amp;" * "&amp;TEXT(T$3,"#0/#0")&amp;" ="</f>
        <v>#VALUE!</v>
      </c>
      <c r="U236" s="440" t="e">
        <f t="shared" si="271"/>
        <v>#VALUE!</v>
      </c>
      <c r="V236" s="440" t="e">
        <f t="shared" si="271"/>
        <v>#VALUE!</v>
      </c>
      <c r="W236" s="440" t="e">
        <f t="shared" si="271"/>
        <v>#VALUE!</v>
      </c>
      <c r="X236" s="440" t="e">
        <f t="shared" si="271"/>
        <v>#VALUE!</v>
      </c>
      <c r="Y236" s="440" t="e">
        <f t="shared" si="271"/>
        <v>#VALUE!</v>
      </c>
      <c r="Z236" s="440" t="e">
        <f t="shared" si="271"/>
        <v>#VALUE!</v>
      </c>
      <c r="AA236" s="440" t="e">
        <f t="shared" si="271"/>
        <v>#VALUE!</v>
      </c>
      <c r="AB236" s="440" t="e">
        <f t="shared" si="271"/>
        <v>#VALUE!</v>
      </c>
      <c r="AC236" s="440" t="e">
        <f t="shared" si="271"/>
        <v>#VALUE!</v>
      </c>
      <c r="AD236" s="440" t="e">
        <f t="shared" si="271"/>
        <v>#VALUE!</v>
      </c>
      <c r="AE236" s="440" t="e">
        <f t="shared" si="271"/>
        <v>#VALUE!</v>
      </c>
      <c r="AF236" s="436"/>
      <c r="AG236" s="436"/>
    </row>
    <row r="237" spans="1:33" s="3" customFormat="1">
      <c r="A237" s="436"/>
      <c r="B237" s="627">
        <f t="shared" si="261"/>
        <v>73</v>
      </c>
      <c r="C237" s="451"/>
      <c r="D237" s="451">
        <f t="shared" si="251"/>
        <v>115</v>
      </c>
      <c r="E237" s="451"/>
      <c r="F237" s="452" t="s">
        <v>95</v>
      </c>
      <c r="G237" s="454"/>
      <c r="H237" s="454"/>
      <c r="I237" s="454"/>
      <c r="J237" s="454"/>
      <c r="K237" s="454"/>
      <c r="L237" s="454"/>
      <c r="M237" s="454"/>
      <c r="N237" s="454"/>
      <c r="O237" s="454"/>
      <c r="P237" s="454"/>
      <c r="Q237" s="454"/>
      <c r="R237" s="454"/>
      <c r="S237" s="454"/>
      <c r="T237" s="935"/>
      <c r="U237" s="454"/>
      <c r="V237" s="454"/>
      <c r="W237" s="454"/>
      <c r="X237" s="454"/>
      <c r="Y237" s="454"/>
      <c r="Z237" s="454"/>
      <c r="AA237" s="454"/>
      <c r="AB237" s="454"/>
      <c r="AC237" s="454"/>
      <c r="AD237" s="454"/>
      <c r="AE237" s="454"/>
      <c r="AF237" s="436"/>
      <c r="AG237" s="436"/>
    </row>
    <row r="238" spans="1:33" s="3" customFormat="1">
      <c r="A238" s="436"/>
      <c r="B238" s="631">
        <v>76</v>
      </c>
      <c r="C238" s="439"/>
      <c r="D238" s="439">
        <f t="shared" si="251"/>
        <v>116</v>
      </c>
      <c r="E238" s="439"/>
      <c r="F238" s="455" t="s">
        <v>215</v>
      </c>
      <c r="G238" s="440" t="str">
        <f>"= lin. 40 - lin. 61 - lin. 63 - lin. 67 - sum(lin. 74- 79) ="</f>
        <v>= lin. 40 - lin. 61 - lin. 63 - lin. 67 - sum(lin. 74- 79) =</v>
      </c>
      <c r="H238" s="440" t="str">
        <f t="shared" ref="H238:S238" si="272">"= lin. 40 - lin. 61 - lin. 63 - lin. 67 - sum(lin. 74- 79) ="</f>
        <v>= lin. 40 - lin. 61 - lin. 63 - lin. 67 - sum(lin. 74- 79) =</v>
      </c>
      <c r="I238" s="440" t="str">
        <f t="shared" si="272"/>
        <v>= lin. 40 - lin. 61 - lin. 63 - lin. 67 - sum(lin. 74- 79) =</v>
      </c>
      <c r="J238" s="440" t="str">
        <f t="shared" si="272"/>
        <v>= lin. 40 - lin. 61 - lin. 63 - lin. 67 - sum(lin. 74- 79) =</v>
      </c>
      <c r="K238" s="440" t="str">
        <f t="shared" si="272"/>
        <v>= lin. 40 - lin. 61 - lin. 63 - lin. 67 - sum(lin. 74- 79) =</v>
      </c>
      <c r="L238" s="440" t="str">
        <f t="shared" si="272"/>
        <v>= lin. 40 - lin. 61 - lin. 63 - lin. 67 - sum(lin. 74- 79) =</v>
      </c>
      <c r="M238" s="440" t="str">
        <f t="shared" si="272"/>
        <v>= lin. 40 - lin. 61 - lin. 63 - lin. 67 - sum(lin. 74- 79) =</v>
      </c>
      <c r="N238" s="440" t="str">
        <f t="shared" si="272"/>
        <v>= lin. 40 - lin. 61 - lin. 63 - lin. 67 - sum(lin. 74- 79) =</v>
      </c>
      <c r="O238" s="440" t="str">
        <f t="shared" si="272"/>
        <v>= lin. 40 - lin. 61 - lin. 63 - lin. 67 - sum(lin. 74- 79) =</v>
      </c>
      <c r="P238" s="440" t="str">
        <f>"= lin. 40 - lin. 61 - lin. 63 - lin. 67 - sum(lin. 74- 79) ="</f>
        <v>= lin. 40 - lin. 61 - lin. 63 - lin. 67 - sum(lin. 74- 79) =</v>
      </c>
      <c r="Q238" s="440" t="str">
        <f t="shared" si="272"/>
        <v>= lin. 40 - lin. 61 - lin. 63 - lin. 67 - sum(lin. 74- 79) =</v>
      </c>
      <c r="R238" s="440" t="str">
        <f t="shared" si="272"/>
        <v>= lin. 40 - lin. 61 - lin. 63 - lin. 67 - sum(lin. 74- 79) =</v>
      </c>
      <c r="S238" s="440" t="str">
        <f t="shared" si="272"/>
        <v>= lin. 40 - lin. 61 - lin. 63 - lin. 67 - sum(lin. 74- 79) =</v>
      </c>
      <c r="T238" s="935" t="str">
        <f>"= lin. 40 - lin. 61 - lin. 63 - lin. 67 - sum(lin. 74- 79) ="</f>
        <v>= lin. 40 - lin. 61 - lin. 63 - lin. 67 - sum(lin. 74- 79) =</v>
      </c>
      <c r="U238" s="440" t="str">
        <f t="shared" ref="U238:AE238" si="273">"= lin. 40 - lin. 61 - lin. 63 - lin. 67 - sum(lin. 74- 79) ="</f>
        <v>= lin. 40 - lin. 61 - lin. 63 - lin. 67 - sum(lin. 74- 79) =</v>
      </c>
      <c r="V238" s="440" t="str">
        <f t="shared" si="273"/>
        <v>= lin. 40 - lin. 61 - lin. 63 - lin. 67 - sum(lin. 74- 79) =</v>
      </c>
      <c r="W238" s="440" t="str">
        <f t="shared" si="273"/>
        <v>= lin. 40 - lin. 61 - lin. 63 - lin. 67 - sum(lin. 74- 79) =</v>
      </c>
      <c r="X238" s="440" t="str">
        <f t="shared" si="273"/>
        <v>= lin. 40 - lin. 61 - lin. 63 - lin. 67 - sum(lin. 74- 79) =</v>
      </c>
      <c r="Y238" s="440" t="str">
        <f t="shared" si="273"/>
        <v>= lin. 40 - lin. 61 - lin. 63 - lin. 67 - sum(lin. 74- 79) =</v>
      </c>
      <c r="Z238" s="440" t="str">
        <f t="shared" si="273"/>
        <v>= lin. 40 - lin. 61 - lin. 63 - lin. 67 - sum(lin. 74- 79) =</v>
      </c>
      <c r="AA238" s="440" t="str">
        <f t="shared" si="273"/>
        <v>= lin. 40 - lin. 61 - lin. 63 - lin. 67 - sum(lin. 74- 79) =</v>
      </c>
      <c r="AB238" s="440" t="str">
        <f t="shared" si="273"/>
        <v>= lin. 40 - lin. 61 - lin. 63 - lin. 67 - sum(lin. 74- 79) =</v>
      </c>
      <c r="AC238" s="440" t="str">
        <f t="shared" si="273"/>
        <v>= lin. 40 - lin. 61 - lin. 63 - lin. 67 - sum(lin. 74- 79) =</v>
      </c>
      <c r="AD238" s="440" t="str">
        <f t="shared" si="273"/>
        <v>= lin. 40 - lin. 61 - lin. 63 - lin. 67 - sum(lin. 74- 79) =</v>
      </c>
      <c r="AE238" s="440" t="str">
        <f t="shared" si="273"/>
        <v>= lin. 40 - lin. 61 - lin. 63 - lin. 67 - sum(lin. 74- 79) =</v>
      </c>
      <c r="AF238" s="436"/>
      <c r="AG238" s="436"/>
    </row>
    <row r="239" spans="1:33" s="3" customFormat="1">
      <c r="B239" s="22"/>
      <c r="C239" s="24"/>
      <c r="D239" s="24"/>
      <c r="E239" s="24"/>
      <c r="F239" s="24"/>
      <c r="G239" s="24"/>
      <c r="H239" s="24"/>
      <c r="I239" s="24"/>
      <c r="J239" s="24"/>
      <c r="K239" s="24"/>
      <c r="L239" s="24"/>
      <c r="T239" s="930"/>
      <c r="U239" s="24"/>
      <c r="V239" s="24"/>
      <c r="W239" s="24"/>
      <c r="X239" s="24"/>
      <c r="Y239" s="24"/>
    </row>
    <row r="240" spans="1:33" s="3" customFormat="1">
      <c r="B240" s="22"/>
      <c r="C240" s="24"/>
      <c r="D240" s="24"/>
      <c r="E240" s="24"/>
      <c r="F240" s="24"/>
      <c r="G240" s="24" t="s">
        <v>602</v>
      </c>
      <c r="H240" s="24"/>
      <c r="I240" s="24"/>
      <c r="J240" s="24"/>
      <c r="K240" s="24"/>
      <c r="L240" s="24"/>
      <c r="T240" s="930" t="s">
        <v>602</v>
      </c>
      <c r="U240" s="24"/>
      <c r="V240" s="24"/>
      <c r="W240" s="24"/>
      <c r="X240" s="24"/>
      <c r="Y240" s="24"/>
    </row>
    <row r="241" spans="2:31" s="3" customFormat="1">
      <c r="B241" s="22"/>
      <c r="C241" s="24"/>
      <c r="D241" s="24"/>
      <c r="E241" s="24"/>
      <c r="F241" s="24"/>
      <c r="G241" s="24"/>
      <c r="H241" s="24"/>
      <c r="I241" s="24"/>
      <c r="J241" s="24"/>
      <c r="K241" s="24"/>
      <c r="L241" s="24"/>
      <c r="T241" s="930"/>
      <c r="U241" s="24"/>
      <c r="V241" s="24"/>
      <c r="W241" s="24"/>
      <c r="X241" s="24"/>
      <c r="Y241" s="24"/>
    </row>
    <row r="242" spans="2:31" s="3" customFormat="1">
      <c r="B242" s="22"/>
      <c r="C242" s="24"/>
      <c r="D242" s="24"/>
      <c r="E242" s="24"/>
      <c r="F242" s="24"/>
      <c r="G242" s="24"/>
      <c r="H242" s="24"/>
      <c r="I242" s="24"/>
      <c r="J242" s="24"/>
      <c r="K242" s="24"/>
      <c r="L242" s="24"/>
      <c r="T242" s="930"/>
      <c r="U242" s="24"/>
      <c r="V242" s="24"/>
      <c r="W242" s="24"/>
      <c r="X242" s="24"/>
      <c r="Y242" s="24"/>
    </row>
    <row r="243" spans="2:31" s="3" customFormat="1">
      <c r="B243" s="22"/>
      <c r="C243" s="439"/>
      <c r="D243" s="439"/>
      <c r="E243" s="439"/>
      <c r="G243" s="24"/>
      <c r="H243" s="24"/>
      <c r="I243" s="24"/>
      <c r="J243" s="24"/>
      <c r="K243" s="24"/>
      <c r="L243" s="24"/>
      <c r="M243" s="24"/>
      <c r="N243" s="24"/>
      <c r="O243" s="24"/>
      <c r="P243" s="24"/>
      <c r="Q243" s="24"/>
      <c r="R243" s="24"/>
      <c r="S243" s="24"/>
      <c r="T243" s="930"/>
      <c r="U243" s="24"/>
      <c r="V243" s="24"/>
      <c r="W243" s="24"/>
      <c r="X243" s="24"/>
      <c r="Y243" s="24"/>
      <c r="Z243" s="24"/>
      <c r="AA243" s="24"/>
      <c r="AB243" s="24"/>
      <c r="AC243" s="24"/>
      <c r="AD243" s="24"/>
      <c r="AE243" s="24"/>
    </row>
    <row r="244" spans="2:31" s="3" customFormat="1">
      <c r="B244" s="22"/>
      <c r="C244" s="439"/>
      <c r="D244" s="439"/>
      <c r="E244" s="439"/>
      <c r="G244" s="24"/>
      <c r="H244" s="24"/>
      <c r="I244" s="24"/>
      <c r="J244" s="24"/>
      <c r="K244" s="24"/>
      <c r="L244" s="24"/>
      <c r="M244" s="24"/>
      <c r="N244" s="24"/>
      <c r="O244" s="24"/>
      <c r="P244" s="24"/>
      <c r="Q244" s="24"/>
      <c r="R244" s="24"/>
      <c r="S244" s="24"/>
      <c r="T244" s="930"/>
      <c r="U244" s="24"/>
      <c r="V244" s="24"/>
      <c r="W244" s="24"/>
      <c r="X244" s="24"/>
      <c r="Y244" s="24"/>
      <c r="Z244" s="24"/>
      <c r="AA244" s="24"/>
      <c r="AB244" s="24"/>
      <c r="AC244" s="24"/>
      <c r="AD244" s="24"/>
      <c r="AE244" s="24"/>
    </row>
    <row r="245" spans="2:31" s="3" customFormat="1">
      <c r="B245" s="22"/>
      <c r="C245" s="439"/>
      <c r="D245" s="439"/>
      <c r="E245" s="439"/>
      <c r="G245" s="24"/>
      <c r="H245" s="24"/>
      <c r="I245" s="24"/>
      <c r="J245" s="24"/>
      <c r="K245" s="24"/>
      <c r="L245" s="24"/>
      <c r="M245" s="24"/>
      <c r="N245" s="24"/>
      <c r="O245" s="24"/>
      <c r="P245" s="24"/>
      <c r="Q245" s="24"/>
      <c r="R245" s="24"/>
      <c r="S245" s="24"/>
      <c r="T245" s="930"/>
      <c r="U245" s="24"/>
      <c r="V245" s="24"/>
      <c r="W245" s="24"/>
      <c r="X245" s="24"/>
      <c r="Y245" s="24"/>
      <c r="Z245" s="24"/>
      <c r="AA245" s="24"/>
      <c r="AB245" s="24"/>
      <c r="AC245" s="24"/>
      <c r="AD245" s="24"/>
      <c r="AE245" s="24"/>
    </row>
    <row r="246" spans="2:31" s="3" customFormat="1">
      <c r="B246" s="22"/>
      <c r="C246" s="22"/>
      <c r="D246" s="22"/>
      <c r="E246" s="22"/>
      <c r="G246" s="24"/>
      <c r="H246" s="24"/>
      <c r="I246" s="24"/>
      <c r="J246" s="24"/>
      <c r="K246" s="24"/>
      <c r="L246" s="24"/>
      <c r="M246" s="24"/>
      <c r="N246" s="24"/>
      <c r="O246" s="24"/>
      <c r="P246" s="24"/>
      <c r="Q246" s="24"/>
      <c r="R246" s="24"/>
      <c r="S246" s="24"/>
      <c r="T246" s="930"/>
      <c r="U246" s="24"/>
      <c r="V246" s="24"/>
      <c r="W246" s="24"/>
      <c r="X246" s="24"/>
      <c r="Y246" s="24"/>
      <c r="Z246" s="24"/>
      <c r="AA246" s="24"/>
      <c r="AB246" s="24"/>
      <c r="AC246" s="24"/>
      <c r="AD246" s="24"/>
      <c r="AE246" s="24"/>
    </row>
    <row r="247" spans="2:31" s="3" customFormat="1">
      <c r="B247" s="22"/>
      <c r="C247" s="22"/>
      <c r="D247" s="22"/>
      <c r="E247" s="22"/>
      <c r="G247" s="24"/>
      <c r="H247" s="24"/>
      <c r="I247" s="24"/>
      <c r="J247" s="24"/>
      <c r="K247" s="24"/>
      <c r="L247" s="24"/>
      <c r="M247" s="24"/>
      <c r="N247" s="24"/>
      <c r="O247" s="24"/>
      <c r="P247" s="24"/>
      <c r="Q247" s="24"/>
      <c r="R247" s="24"/>
      <c r="S247" s="24"/>
      <c r="T247" s="930"/>
      <c r="U247" s="24"/>
      <c r="V247" s="24"/>
      <c r="W247" s="24"/>
      <c r="X247" s="24"/>
      <c r="Y247" s="24"/>
      <c r="Z247" s="24"/>
      <c r="AA247" s="24"/>
      <c r="AB247" s="24"/>
      <c r="AC247" s="24"/>
      <c r="AD247" s="24"/>
      <c r="AE247" s="24"/>
    </row>
    <row r="248" spans="2:31" s="3" customFormat="1">
      <c r="B248" s="22"/>
      <c r="C248" s="22"/>
      <c r="D248" s="22"/>
      <c r="E248" s="22"/>
      <c r="G248" s="24"/>
      <c r="H248" s="24"/>
      <c r="I248" s="24"/>
      <c r="J248" s="24"/>
      <c r="K248" s="24"/>
      <c r="L248" s="24"/>
      <c r="M248" s="24"/>
      <c r="N248" s="24"/>
      <c r="O248" s="24"/>
      <c r="P248" s="24"/>
      <c r="Q248" s="24"/>
      <c r="R248" s="24"/>
      <c r="S248" s="24"/>
      <c r="T248" s="930"/>
      <c r="U248" s="24"/>
      <c r="V248" s="24"/>
      <c r="W248" s="24"/>
      <c r="X248" s="24"/>
      <c r="Y248" s="24"/>
      <c r="Z248" s="24"/>
      <c r="AA248" s="24"/>
      <c r="AB248" s="24"/>
      <c r="AC248" s="24"/>
      <c r="AD248" s="24"/>
      <c r="AE248" s="24"/>
    </row>
    <row r="249" spans="2:31" s="3" customFormat="1">
      <c r="B249" s="22"/>
      <c r="C249" s="22"/>
      <c r="D249" s="22"/>
      <c r="E249" s="22"/>
      <c r="G249" s="24"/>
      <c r="H249" s="24"/>
      <c r="I249" s="24"/>
      <c r="J249" s="24"/>
      <c r="K249" s="24"/>
      <c r="L249" s="24"/>
      <c r="M249" s="24"/>
      <c r="N249" s="24"/>
      <c r="O249" s="24"/>
      <c r="P249" s="24"/>
      <c r="Q249" s="24"/>
      <c r="R249" s="24"/>
      <c r="S249" s="24"/>
      <c r="T249" s="930"/>
      <c r="U249" s="24"/>
      <c r="V249" s="24"/>
      <c r="W249" s="24"/>
      <c r="X249" s="24"/>
      <c r="Y249" s="24"/>
      <c r="Z249" s="24"/>
      <c r="AA249" s="24"/>
      <c r="AB249" s="24"/>
      <c r="AC249" s="24"/>
      <c r="AD249" s="24"/>
      <c r="AE249" s="24"/>
    </row>
    <row r="250" spans="2:31" s="3" customFormat="1">
      <c r="B250" s="22"/>
      <c r="C250" s="22"/>
      <c r="D250" s="22"/>
      <c r="E250" s="22"/>
      <c r="G250" s="24"/>
      <c r="H250" s="24"/>
      <c r="I250" s="24"/>
      <c r="J250" s="24"/>
      <c r="K250" s="24"/>
      <c r="L250" s="24"/>
      <c r="M250" s="24"/>
      <c r="N250" s="24"/>
      <c r="O250" s="24"/>
      <c r="P250" s="24"/>
      <c r="Q250" s="24"/>
      <c r="R250" s="24"/>
      <c r="S250" s="24"/>
      <c r="T250" s="930"/>
      <c r="U250" s="24"/>
      <c r="V250" s="24"/>
      <c r="W250" s="24"/>
      <c r="X250" s="24"/>
      <c r="Y250" s="24"/>
      <c r="Z250" s="24"/>
      <c r="AA250" s="24"/>
      <c r="AB250" s="24"/>
      <c r="AC250" s="24"/>
      <c r="AD250" s="24"/>
      <c r="AE250" s="24"/>
    </row>
    <row r="251" spans="2:31" s="3" customFormat="1">
      <c r="B251" s="22"/>
      <c r="C251" s="22"/>
      <c r="D251" s="22"/>
      <c r="E251" s="22"/>
      <c r="G251" s="24"/>
      <c r="H251" s="24"/>
      <c r="I251" s="24"/>
      <c r="J251" s="24"/>
      <c r="K251" s="24"/>
      <c r="L251" s="24"/>
      <c r="M251" s="24"/>
      <c r="N251" s="24"/>
      <c r="O251" s="24"/>
      <c r="P251" s="24"/>
      <c r="Q251" s="24"/>
      <c r="R251" s="24"/>
      <c r="S251" s="24"/>
      <c r="T251" s="930"/>
      <c r="U251" s="24"/>
      <c r="V251" s="24"/>
      <c r="W251" s="24"/>
      <c r="X251" s="24"/>
      <c r="Y251" s="24"/>
      <c r="Z251" s="24"/>
      <c r="AA251" s="24"/>
      <c r="AB251" s="24"/>
      <c r="AC251" s="24"/>
      <c r="AD251" s="24"/>
      <c r="AE251" s="24"/>
    </row>
    <row r="252" spans="2:31" s="3" customFormat="1">
      <c r="B252" s="22"/>
      <c r="C252" s="22"/>
      <c r="D252" s="22"/>
      <c r="E252" s="22"/>
      <c r="G252" s="24"/>
      <c r="H252" s="24"/>
      <c r="I252" s="24"/>
      <c r="J252" s="24"/>
      <c r="K252" s="24"/>
      <c r="L252" s="24"/>
      <c r="M252" s="24"/>
      <c r="N252" s="24"/>
      <c r="O252" s="24"/>
      <c r="P252" s="24"/>
      <c r="Q252" s="24"/>
      <c r="R252" s="24"/>
      <c r="S252" s="24"/>
      <c r="T252" s="930"/>
      <c r="U252" s="24"/>
      <c r="V252" s="24"/>
      <c r="W252" s="24"/>
      <c r="X252" s="24"/>
      <c r="Y252" s="24"/>
      <c r="Z252" s="24"/>
      <c r="AA252" s="24"/>
      <c r="AB252" s="24"/>
      <c r="AC252" s="24"/>
      <c r="AD252" s="24"/>
      <c r="AE252" s="24"/>
    </row>
    <row r="253" spans="2:31" s="3" customFormat="1">
      <c r="B253" s="22"/>
      <c r="C253" s="22"/>
      <c r="D253" s="22"/>
      <c r="E253" s="22"/>
      <c r="G253" s="24"/>
      <c r="H253" s="24"/>
      <c r="I253" s="24"/>
      <c r="J253" s="24"/>
      <c r="K253" s="24"/>
      <c r="L253" s="24"/>
      <c r="M253" s="24"/>
      <c r="N253" s="24"/>
      <c r="O253" s="24"/>
      <c r="P253" s="24"/>
      <c r="Q253" s="24"/>
      <c r="R253" s="24"/>
      <c r="S253" s="24"/>
      <c r="T253" s="930"/>
      <c r="U253" s="24"/>
      <c r="V253" s="24"/>
      <c r="W253" s="24"/>
      <c r="X253" s="24"/>
      <c r="Y253" s="24"/>
      <c r="Z253" s="24"/>
      <c r="AA253" s="24"/>
      <c r="AB253" s="24"/>
      <c r="AC253" s="24"/>
      <c r="AD253" s="24"/>
      <c r="AE253" s="24"/>
    </row>
    <row r="254" spans="2:31" s="3" customFormat="1">
      <c r="B254" s="22"/>
      <c r="C254" s="22"/>
      <c r="D254" s="22"/>
      <c r="E254" s="22"/>
      <c r="G254" s="24"/>
      <c r="H254" s="24"/>
      <c r="I254" s="24"/>
      <c r="J254" s="24"/>
      <c r="K254" s="24"/>
      <c r="L254" s="24"/>
      <c r="M254" s="24"/>
      <c r="N254" s="24"/>
      <c r="O254" s="24"/>
      <c r="P254" s="24"/>
      <c r="Q254" s="24"/>
      <c r="R254" s="24"/>
      <c r="S254" s="24"/>
      <c r="T254" s="930"/>
      <c r="U254" s="24"/>
      <c r="V254" s="24"/>
      <c r="W254" s="24"/>
      <c r="X254" s="24"/>
      <c r="Y254" s="24"/>
      <c r="Z254" s="24"/>
      <c r="AA254" s="24"/>
      <c r="AB254" s="24"/>
      <c r="AC254" s="24"/>
      <c r="AD254" s="24"/>
      <c r="AE254" s="24"/>
    </row>
    <row r="255" spans="2:31" s="3" customFormat="1">
      <c r="B255" s="22"/>
      <c r="C255" s="22"/>
      <c r="D255" s="22"/>
      <c r="E255" s="22"/>
      <c r="G255" s="24"/>
      <c r="H255" s="24"/>
      <c r="I255" s="24"/>
      <c r="J255" s="24"/>
      <c r="K255" s="24"/>
      <c r="L255" s="24"/>
      <c r="M255" s="24"/>
      <c r="N255" s="24"/>
      <c r="O255" s="24"/>
      <c r="P255" s="24"/>
      <c r="Q255" s="24"/>
      <c r="R255" s="24"/>
      <c r="S255" s="24"/>
      <c r="T255" s="930"/>
      <c r="U255" s="24"/>
      <c r="V255" s="24"/>
      <c r="W255" s="24"/>
      <c r="X255" s="24"/>
      <c r="Y255" s="24"/>
      <c r="Z255" s="24"/>
      <c r="AA255" s="24"/>
      <c r="AB255" s="24"/>
      <c r="AC255" s="24"/>
      <c r="AD255" s="24"/>
      <c r="AE255" s="24"/>
    </row>
    <row r="256" spans="2:31" s="3" customFormat="1">
      <c r="B256" s="22"/>
      <c r="C256" s="22"/>
      <c r="D256" s="22"/>
      <c r="E256" s="22"/>
      <c r="G256" s="24"/>
      <c r="H256" s="24"/>
      <c r="I256" s="24"/>
      <c r="J256" s="24"/>
      <c r="K256" s="24"/>
      <c r="L256" s="24"/>
      <c r="M256" s="24"/>
      <c r="N256" s="24"/>
      <c r="O256" s="24"/>
      <c r="P256" s="24"/>
      <c r="Q256" s="24"/>
      <c r="R256" s="24"/>
      <c r="S256" s="24"/>
      <c r="T256" s="930"/>
      <c r="U256" s="24"/>
      <c r="V256" s="24"/>
      <c r="W256" s="24"/>
      <c r="X256" s="24"/>
      <c r="Y256" s="24"/>
      <c r="Z256" s="24"/>
      <c r="AA256" s="24"/>
      <c r="AB256" s="24"/>
      <c r="AC256" s="24"/>
      <c r="AD256" s="24"/>
      <c r="AE256" s="24"/>
    </row>
    <row r="257" spans="2:31" s="3" customFormat="1">
      <c r="B257" s="22"/>
      <c r="C257" s="22"/>
      <c r="D257" s="22"/>
      <c r="E257" s="22"/>
      <c r="G257" s="24"/>
      <c r="H257" s="24"/>
      <c r="I257" s="24"/>
      <c r="J257" s="24"/>
      <c r="K257" s="24"/>
      <c r="L257" s="24"/>
      <c r="M257" s="24"/>
      <c r="N257" s="24"/>
      <c r="O257" s="24"/>
      <c r="P257" s="24"/>
      <c r="Q257" s="24"/>
      <c r="R257" s="24"/>
      <c r="S257" s="24"/>
      <c r="T257" s="930"/>
      <c r="U257" s="24"/>
      <c r="V257" s="24"/>
      <c r="W257" s="24"/>
      <c r="X257" s="24"/>
      <c r="Y257" s="24"/>
      <c r="Z257" s="24"/>
      <c r="AA257" s="24"/>
      <c r="AB257" s="24"/>
      <c r="AC257" s="24"/>
      <c r="AD257" s="24"/>
      <c r="AE257" s="24"/>
    </row>
    <row r="258" spans="2:31" s="3" customFormat="1">
      <c r="B258" s="22"/>
      <c r="C258" s="22"/>
      <c r="D258" s="22"/>
      <c r="E258" s="22"/>
      <c r="G258" s="24"/>
      <c r="H258" s="24"/>
      <c r="I258" s="24"/>
      <c r="J258" s="24"/>
      <c r="K258" s="24"/>
      <c r="L258" s="24"/>
      <c r="M258" s="24"/>
      <c r="N258" s="24"/>
      <c r="O258" s="24"/>
      <c r="P258" s="24"/>
      <c r="Q258" s="24"/>
      <c r="R258" s="24"/>
      <c r="S258" s="24"/>
      <c r="T258" s="930"/>
      <c r="U258" s="24"/>
      <c r="V258" s="24"/>
      <c r="W258" s="24"/>
      <c r="X258" s="24"/>
      <c r="Y258" s="24"/>
      <c r="Z258" s="24"/>
      <c r="AA258" s="24"/>
      <c r="AB258" s="24"/>
      <c r="AC258" s="24"/>
      <c r="AD258" s="24"/>
      <c r="AE258" s="24"/>
    </row>
    <row r="259" spans="2:31" s="3" customFormat="1">
      <c r="B259" s="22"/>
      <c r="C259" s="22"/>
      <c r="D259" s="22"/>
      <c r="E259" s="22"/>
      <c r="G259" s="24"/>
      <c r="H259" s="24"/>
      <c r="I259" s="24"/>
      <c r="J259" s="24"/>
      <c r="K259" s="24"/>
      <c r="L259" s="24"/>
      <c r="M259" s="24"/>
      <c r="N259" s="24"/>
      <c r="O259" s="24"/>
      <c r="P259" s="24"/>
      <c r="Q259" s="24"/>
      <c r="R259" s="24"/>
      <c r="S259" s="24"/>
      <c r="T259" s="930"/>
      <c r="U259" s="24"/>
      <c r="V259" s="24"/>
      <c r="W259" s="24"/>
      <c r="X259" s="24"/>
      <c r="Y259" s="24"/>
      <c r="Z259" s="24"/>
      <c r="AA259" s="24"/>
      <c r="AB259" s="24"/>
      <c r="AC259" s="24"/>
      <c r="AD259" s="24"/>
      <c r="AE259" s="24"/>
    </row>
    <row r="260" spans="2:31" s="3" customFormat="1">
      <c r="B260" s="22"/>
      <c r="C260" s="22"/>
      <c r="D260" s="22"/>
      <c r="E260" s="22"/>
      <c r="G260" s="24"/>
      <c r="H260" s="24"/>
      <c r="I260" s="24"/>
      <c r="J260" s="24"/>
      <c r="K260" s="24"/>
      <c r="L260" s="24"/>
      <c r="M260" s="24"/>
      <c r="N260" s="24"/>
      <c r="O260" s="24"/>
      <c r="P260" s="24"/>
      <c r="Q260" s="24"/>
      <c r="R260" s="24"/>
      <c r="S260" s="24"/>
      <c r="T260" s="930"/>
      <c r="U260" s="24"/>
      <c r="V260" s="24"/>
      <c r="W260" s="24"/>
      <c r="X260" s="24"/>
      <c r="Y260" s="24"/>
      <c r="Z260" s="24"/>
      <c r="AA260" s="24"/>
      <c r="AB260" s="24"/>
      <c r="AC260" s="24"/>
      <c r="AD260" s="24"/>
      <c r="AE260" s="24"/>
    </row>
    <row r="261" spans="2:31" s="3" customFormat="1">
      <c r="B261" s="22"/>
      <c r="C261" s="22"/>
      <c r="D261" s="22"/>
      <c r="E261" s="22"/>
      <c r="G261" s="24"/>
      <c r="H261" s="24"/>
      <c r="I261" s="24"/>
      <c r="J261" s="24"/>
      <c r="K261" s="24"/>
      <c r="L261" s="24"/>
      <c r="M261" s="24"/>
      <c r="N261" s="24"/>
      <c r="O261" s="24"/>
      <c r="P261" s="24"/>
      <c r="Q261" s="24"/>
      <c r="R261" s="24"/>
      <c r="S261" s="24"/>
      <c r="T261" s="930"/>
      <c r="U261" s="24"/>
      <c r="V261" s="24"/>
      <c r="W261" s="24"/>
      <c r="X261" s="24"/>
      <c r="Y261" s="24"/>
      <c r="Z261" s="24"/>
      <c r="AA261" s="24"/>
      <c r="AB261" s="24"/>
      <c r="AC261" s="24"/>
      <c r="AD261" s="24"/>
      <c r="AE261" s="24"/>
    </row>
    <row r="262" spans="2:31" s="3" customFormat="1">
      <c r="B262" s="22"/>
      <c r="C262" s="22"/>
      <c r="D262" s="22"/>
      <c r="E262" s="22"/>
      <c r="G262" s="24"/>
      <c r="H262" s="24"/>
      <c r="I262" s="24"/>
      <c r="J262" s="24"/>
      <c r="K262" s="24"/>
      <c r="L262" s="24"/>
      <c r="M262" s="24"/>
      <c r="N262" s="24"/>
      <c r="O262" s="24"/>
      <c r="P262" s="24"/>
      <c r="Q262" s="24"/>
      <c r="R262" s="24"/>
      <c r="S262" s="24"/>
      <c r="T262" s="930"/>
      <c r="U262" s="24"/>
      <c r="V262" s="24"/>
      <c r="W262" s="24"/>
      <c r="X262" s="24"/>
      <c r="Y262" s="24"/>
      <c r="Z262" s="24"/>
      <c r="AA262" s="24"/>
      <c r="AB262" s="24"/>
      <c r="AC262" s="24"/>
      <c r="AD262" s="24"/>
      <c r="AE262" s="24"/>
    </row>
    <row r="263" spans="2:31" s="3" customFormat="1">
      <c r="B263" s="22"/>
      <c r="C263" s="22"/>
      <c r="D263" s="22"/>
      <c r="E263" s="22"/>
      <c r="G263" s="24"/>
      <c r="H263" s="24"/>
      <c r="I263" s="24"/>
      <c r="J263" s="24"/>
      <c r="K263" s="24"/>
      <c r="L263" s="24"/>
      <c r="M263" s="24"/>
      <c r="N263" s="24"/>
      <c r="O263" s="24"/>
      <c r="P263" s="24"/>
      <c r="Q263" s="24"/>
      <c r="R263" s="24"/>
      <c r="S263" s="24"/>
      <c r="T263" s="930"/>
      <c r="U263" s="24"/>
      <c r="V263" s="24"/>
      <c r="W263" s="24"/>
      <c r="X263" s="24"/>
      <c r="Y263" s="24"/>
      <c r="Z263" s="24"/>
      <c r="AA263" s="24"/>
      <c r="AB263" s="24"/>
      <c r="AC263" s="24"/>
      <c r="AD263" s="24"/>
      <c r="AE263" s="24"/>
    </row>
    <row r="264" spans="2:31" s="3" customFormat="1">
      <c r="B264" s="22"/>
      <c r="C264" s="22"/>
      <c r="D264" s="22"/>
      <c r="E264" s="22"/>
      <c r="G264" s="24"/>
      <c r="H264" s="24"/>
      <c r="I264" s="24"/>
      <c r="J264" s="24"/>
      <c r="K264" s="24"/>
      <c r="L264" s="24"/>
      <c r="M264" s="24"/>
      <c r="N264" s="24"/>
      <c r="O264" s="24"/>
      <c r="P264" s="24"/>
      <c r="Q264" s="24"/>
      <c r="R264" s="24"/>
      <c r="S264" s="24"/>
      <c r="T264" s="930"/>
      <c r="U264" s="24"/>
      <c r="V264" s="24"/>
      <c r="W264" s="24"/>
      <c r="X264" s="24"/>
      <c r="Y264" s="24"/>
      <c r="Z264" s="24"/>
      <c r="AA264" s="24"/>
      <c r="AB264" s="24"/>
      <c r="AC264" s="24"/>
      <c r="AD264" s="24"/>
      <c r="AE264" s="24"/>
    </row>
    <row r="265" spans="2:31" s="3" customFormat="1">
      <c r="B265" s="22"/>
      <c r="C265" s="22"/>
      <c r="D265" s="22"/>
      <c r="E265" s="22"/>
      <c r="G265" s="24"/>
      <c r="H265" s="24"/>
      <c r="I265" s="24"/>
      <c r="J265" s="24"/>
      <c r="K265" s="24"/>
      <c r="L265" s="24"/>
      <c r="M265" s="24"/>
      <c r="N265" s="24"/>
      <c r="O265" s="24"/>
      <c r="P265" s="24"/>
      <c r="Q265" s="24"/>
      <c r="R265" s="24"/>
      <c r="S265" s="24"/>
      <c r="T265" s="930"/>
      <c r="U265" s="24"/>
      <c r="V265" s="24"/>
      <c r="W265" s="24"/>
      <c r="X265" s="24"/>
      <c r="Y265" s="24"/>
      <c r="Z265" s="24"/>
      <c r="AA265" s="24"/>
      <c r="AB265" s="24"/>
      <c r="AC265" s="24"/>
      <c r="AD265" s="24"/>
      <c r="AE265" s="24"/>
    </row>
    <row r="266" spans="2:31" s="3" customFormat="1">
      <c r="B266" s="22"/>
      <c r="C266" s="22"/>
      <c r="D266" s="22"/>
      <c r="E266" s="22"/>
      <c r="G266" s="24"/>
      <c r="H266" s="24"/>
      <c r="I266" s="24"/>
      <c r="J266" s="24"/>
      <c r="K266" s="24"/>
      <c r="L266" s="24"/>
      <c r="M266" s="24"/>
      <c r="N266" s="24"/>
      <c r="O266" s="24"/>
      <c r="P266" s="24"/>
      <c r="Q266" s="24"/>
      <c r="R266" s="24"/>
      <c r="S266" s="24"/>
      <c r="T266" s="930"/>
      <c r="U266" s="24"/>
      <c r="V266" s="24"/>
      <c r="W266" s="24"/>
      <c r="X266" s="24"/>
      <c r="Y266" s="24"/>
      <c r="Z266" s="24"/>
      <c r="AA266" s="24"/>
      <c r="AB266" s="24"/>
      <c r="AC266" s="24"/>
      <c r="AD266" s="24"/>
      <c r="AE266" s="24"/>
    </row>
    <row r="267" spans="2:31" s="3" customFormat="1">
      <c r="B267" s="22"/>
      <c r="C267" s="22"/>
      <c r="D267" s="22"/>
      <c r="E267" s="22"/>
      <c r="G267" s="24"/>
      <c r="H267" s="24"/>
      <c r="I267" s="24"/>
      <c r="J267" s="24"/>
      <c r="K267" s="24"/>
      <c r="L267" s="24"/>
      <c r="M267" s="24"/>
      <c r="N267" s="24"/>
      <c r="O267" s="24"/>
      <c r="P267" s="24"/>
      <c r="Q267" s="24"/>
      <c r="R267" s="24"/>
      <c r="S267" s="24"/>
      <c r="T267" s="930"/>
      <c r="U267" s="24"/>
      <c r="V267" s="24"/>
      <c r="W267" s="24"/>
      <c r="X267" s="24"/>
      <c r="Y267" s="24"/>
      <c r="Z267" s="24"/>
      <c r="AA267" s="24"/>
      <c r="AB267" s="24"/>
      <c r="AC267" s="24"/>
      <c r="AD267" s="24"/>
      <c r="AE267" s="24"/>
    </row>
    <row r="268" spans="2:31" s="3" customFormat="1">
      <c r="B268" s="22"/>
      <c r="C268" s="22"/>
      <c r="D268" s="22"/>
      <c r="E268" s="22"/>
      <c r="G268" s="24"/>
      <c r="H268" s="24"/>
      <c r="I268" s="24"/>
      <c r="J268" s="24"/>
      <c r="K268" s="24"/>
      <c r="L268" s="24"/>
      <c r="M268" s="24"/>
      <c r="N268" s="24"/>
      <c r="O268" s="24"/>
      <c r="P268" s="24"/>
      <c r="Q268" s="24"/>
      <c r="R268" s="24"/>
      <c r="S268" s="24"/>
      <c r="T268" s="930"/>
      <c r="U268" s="24"/>
      <c r="V268" s="24"/>
      <c r="W268" s="24"/>
      <c r="X268" s="24"/>
      <c r="Y268" s="24"/>
      <c r="Z268" s="24"/>
      <c r="AA268" s="24"/>
      <c r="AB268" s="24"/>
      <c r="AC268" s="24"/>
      <c r="AD268" s="24"/>
      <c r="AE268" s="24"/>
    </row>
    <row r="269" spans="2:31" s="3" customFormat="1">
      <c r="B269" s="22"/>
      <c r="C269" s="22"/>
      <c r="D269" s="22"/>
      <c r="E269" s="22"/>
      <c r="G269" s="24"/>
      <c r="H269" s="24"/>
      <c r="I269" s="24"/>
      <c r="J269" s="24"/>
      <c r="K269" s="24"/>
      <c r="L269" s="24"/>
      <c r="M269" s="24"/>
      <c r="N269" s="24"/>
      <c r="O269" s="24"/>
      <c r="P269" s="24"/>
      <c r="Q269" s="24"/>
      <c r="R269" s="24"/>
      <c r="S269" s="24"/>
      <c r="T269" s="930"/>
      <c r="U269" s="24"/>
      <c r="V269" s="24"/>
      <c r="W269" s="24"/>
      <c r="X269" s="24"/>
      <c r="Y269" s="24"/>
      <c r="Z269" s="24"/>
      <c r="AA269" s="24"/>
      <c r="AB269" s="24"/>
      <c r="AC269" s="24"/>
      <c r="AD269" s="24"/>
      <c r="AE269" s="24"/>
    </row>
    <row r="270" spans="2:31" s="3" customFormat="1">
      <c r="B270" s="22"/>
      <c r="C270" s="22"/>
      <c r="D270" s="22"/>
      <c r="E270" s="22"/>
      <c r="G270" s="24"/>
      <c r="H270" s="24"/>
      <c r="I270" s="24"/>
      <c r="J270" s="24"/>
      <c r="K270" s="24"/>
      <c r="L270" s="24"/>
      <c r="M270" s="24"/>
      <c r="N270" s="24"/>
      <c r="O270" s="24"/>
      <c r="P270" s="24"/>
      <c r="Q270" s="24"/>
      <c r="R270" s="24"/>
      <c r="S270" s="24"/>
      <c r="T270" s="930"/>
      <c r="U270" s="24"/>
      <c r="V270" s="24"/>
      <c r="W270" s="24"/>
      <c r="X270" s="24"/>
      <c r="Y270" s="24"/>
      <c r="Z270" s="24"/>
      <c r="AA270" s="24"/>
      <c r="AB270" s="24"/>
      <c r="AC270" s="24"/>
      <c r="AD270" s="24"/>
      <c r="AE270" s="24"/>
    </row>
    <row r="271" spans="2:31" s="3" customFormat="1">
      <c r="B271" s="22"/>
      <c r="C271" s="22"/>
      <c r="D271" s="22"/>
      <c r="E271" s="22"/>
      <c r="G271" s="24"/>
      <c r="H271" s="24"/>
      <c r="I271" s="24"/>
      <c r="J271" s="24"/>
      <c r="K271" s="24"/>
      <c r="L271" s="24"/>
      <c r="M271" s="24"/>
      <c r="N271" s="24"/>
      <c r="O271" s="24"/>
      <c r="P271" s="24"/>
      <c r="Q271" s="24"/>
      <c r="R271" s="24"/>
      <c r="S271" s="24"/>
      <c r="T271" s="930"/>
      <c r="U271" s="24"/>
      <c r="V271" s="24"/>
      <c r="W271" s="24"/>
      <c r="X271" s="24"/>
      <c r="Y271" s="24"/>
      <c r="Z271" s="24"/>
      <c r="AA271" s="24"/>
      <c r="AB271" s="24"/>
      <c r="AC271" s="24"/>
      <c r="AD271" s="24"/>
      <c r="AE271" s="24"/>
    </row>
    <row r="272" spans="2:31" s="3" customFormat="1">
      <c r="B272" s="22"/>
      <c r="C272" s="22"/>
      <c r="D272" s="22"/>
      <c r="E272" s="22"/>
      <c r="G272" s="24"/>
      <c r="H272" s="24"/>
      <c r="I272" s="24"/>
      <c r="J272" s="24"/>
      <c r="K272" s="24"/>
      <c r="L272" s="24"/>
      <c r="M272" s="24"/>
      <c r="N272" s="24"/>
      <c r="O272" s="24"/>
      <c r="P272" s="24"/>
      <c r="Q272" s="24"/>
      <c r="R272" s="24"/>
      <c r="S272" s="24"/>
      <c r="T272" s="930"/>
      <c r="U272" s="24"/>
      <c r="V272" s="24"/>
      <c r="W272" s="24"/>
      <c r="X272" s="24"/>
      <c r="Y272" s="24"/>
      <c r="Z272" s="24"/>
      <c r="AA272" s="24"/>
      <c r="AB272" s="24"/>
      <c r="AC272" s="24"/>
      <c r="AD272" s="24"/>
      <c r="AE272" s="24"/>
    </row>
    <row r="273" spans="2:31" s="3" customFormat="1">
      <c r="B273" s="22"/>
      <c r="C273" s="22"/>
      <c r="D273" s="22"/>
      <c r="E273" s="22"/>
      <c r="G273" s="24"/>
      <c r="H273" s="24"/>
      <c r="I273" s="24"/>
      <c r="J273" s="24"/>
      <c r="K273" s="24"/>
      <c r="L273" s="24"/>
      <c r="M273" s="24"/>
      <c r="N273" s="24"/>
      <c r="O273" s="24"/>
      <c r="P273" s="24"/>
      <c r="Q273" s="24"/>
      <c r="R273" s="24"/>
      <c r="S273" s="24"/>
      <c r="T273" s="930"/>
      <c r="U273" s="24"/>
      <c r="V273" s="24"/>
      <c r="W273" s="24"/>
      <c r="X273" s="24"/>
      <c r="Y273" s="24"/>
      <c r="Z273" s="24"/>
      <c r="AA273" s="24"/>
      <c r="AB273" s="24"/>
      <c r="AC273" s="24"/>
      <c r="AD273" s="24"/>
      <c r="AE273" s="24"/>
    </row>
    <row r="274" spans="2:31" s="3" customFormat="1">
      <c r="B274" s="22"/>
      <c r="C274" s="22"/>
      <c r="D274" s="22"/>
      <c r="E274" s="22"/>
      <c r="G274" s="24"/>
      <c r="H274" s="24"/>
      <c r="I274" s="24"/>
      <c r="J274" s="24"/>
      <c r="K274" s="24"/>
      <c r="L274" s="24"/>
      <c r="M274" s="24"/>
      <c r="N274" s="24"/>
      <c r="O274" s="24"/>
      <c r="P274" s="24"/>
      <c r="Q274" s="24"/>
      <c r="R274" s="24"/>
      <c r="S274" s="24"/>
      <c r="T274" s="930"/>
      <c r="U274" s="24"/>
      <c r="V274" s="24"/>
      <c r="W274" s="24"/>
      <c r="X274" s="24"/>
      <c r="Y274" s="24"/>
      <c r="Z274" s="24"/>
      <c r="AA274" s="24"/>
      <c r="AB274" s="24"/>
      <c r="AC274" s="24"/>
      <c r="AD274" s="24"/>
      <c r="AE274" s="24"/>
    </row>
    <row r="275" spans="2:31" s="3" customFormat="1">
      <c r="B275" s="22"/>
      <c r="C275" s="22"/>
      <c r="D275" s="22"/>
      <c r="E275" s="22"/>
      <c r="G275" s="24"/>
      <c r="H275" s="24"/>
      <c r="I275" s="24"/>
      <c r="J275" s="24"/>
      <c r="K275" s="24"/>
      <c r="L275" s="24"/>
      <c r="M275" s="24"/>
      <c r="N275" s="24"/>
      <c r="O275" s="24"/>
      <c r="P275" s="24"/>
      <c r="Q275" s="24"/>
      <c r="R275" s="24"/>
      <c r="S275" s="24"/>
      <c r="T275" s="930"/>
      <c r="U275" s="24"/>
      <c r="V275" s="24"/>
      <c r="W275" s="24"/>
      <c r="X275" s="24"/>
      <c r="Y275" s="24"/>
      <c r="Z275" s="24"/>
      <c r="AA275" s="24"/>
      <c r="AB275" s="24"/>
      <c r="AC275" s="24"/>
      <c r="AD275" s="24"/>
      <c r="AE275" s="24"/>
    </row>
    <row r="276" spans="2:31" s="3" customFormat="1">
      <c r="B276" s="22"/>
      <c r="C276" s="22"/>
      <c r="D276" s="22"/>
      <c r="E276" s="22"/>
      <c r="G276" s="24"/>
      <c r="H276" s="24"/>
      <c r="I276" s="24"/>
      <c r="J276" s="24"/>
      <c r="K276" s="24"/>
      <c r="L276" s="24"/>
      <c r="M276" s="24"/>
      <c r="N276" s="24"/>
      <c r="O276" s="24"/>
      <c r="P276" s="24"/>
      <c r="Q276" s="24"/>
      <c r="R276" s="24"/>
      <c r="S276" s="24"/>
      <c r="T276" s="930"/>
      <c r="U276" s="24"/>
      <c r="V276" s="24"/>
      <c r="W276" s="24"/>
      <c r="X276" s="24"/>
      <c r="Y276" s="24"/>
      <c r="Z276" s="24"/>
      <c r="AA276" s="24"/>
      <c r="AB276" s="24"/>
      <c r="AC276" s="24"/>
      <c r="AD276" s="24"/>
      <c r="AE276" s="24"/>
    </row>
    <row r="277" spans="2:31" s="3" customFormat="1">
      <c r="B277" s="22"/>
      <c r="C277" s="22"/>
      <c r="D277" s="22"/>
      <c r="E277" s="22"/>
      <c r="G277" s="24"/>
      <c r="H277" s="24"/>
      <c r="I277" s="24"/>
      <c r="J277" s="24"/>
      <c r="K277" s="24"/>
      <c r="L277" s="24"/>
      <c r="M277" s="24"/>
      <c r="N277" s="24"/>
      <c r="O277" s="24"/>
      <c r="P277" s="24"/>
      <c r="Q277" s="24"/>
      <c r="R277" s="24"/>
      <c r="S277" s="24"/>
      <c r="T277" s="930"/>
      <c r="U277" s="24"/>
      <c r="V277" s="24"/>
      <c r="W277" s="24"/>
      <c r="X277" s="24"/>
      <c r="Y277" s="24"/>
      <c r="Z277" s="24"/>
      <c r="AA277" s="24"/>
      <c r="AB277" s="24"/>
      <c r="AC277" s="24"/>
      <c r="AD277" s="24"/>
      <c r="AE277" s="24"/>
    </row>
    <row r="278" spans="2:31" s="3" customFormat="1">
      <c r="B278" s="22"/>
      <c r="C278" s="22"/>
      <c r="D278" s="22"/>
      <c r="E278" s="22"/>
      <c r="G278" s="24"/>
      <c r="H278" s="24"/>
      <c r="I278" s="24"/>
      <c r="J278" s="24"/>
      <c r="K278" s="24"/>
      <c r="L278" s="24"/>
      <c r="M278" s="24"/>
      <c r="N278" s="24"/>
      <c r="O278" s="24"/>
      <c r="P278" s="24"/>
      <c r="Q278" s="24"/>
      <c r="R278" s="24"/>
      <c r="S278" s="24"/>
      <c r="T278" s="930"/>
      <c r="U278" s="24"/>
      <c r="V278" s="24"/>
      <c r="W278" s="24"/>
      <c r="X278" s="24"/>
      <c r="Y278" s="24"/>
      <c r="Z278" s="24"/>
      <c r="AA278" s="24"/>
      <c r="AB278" s="24"/>
      <c r="AC278" s="24"/>
      <c r="AD278" s="24"/>
      <c r="AE278" s="24"/>
    </row>
    <row r="279" spans="2:31" s="3" customFormat="1">
      <c r="B279" s="22"/>
      <c r="C279" s="22"/>
      <c r="D279" s="22"/>
      <c r="E279" s="22"/>
      <c r="G279" s="24"/>
      <c r="H279" s="24"/>
      <c r="I279" s="24"/>
      <c r="J279" s="24"/>
      <c r="K279" s="24"/>
      <c r="L279" s="24"/>
      <c r="M279" s="24"/>
      <c r="N279" s="24"/>
      <c r="O279" s="24"/>
      <c r="P279" s="24"/>
      <c r="Q279" s="24"/>
      <c r="R279" s="24"/>
      <c r="S279" s="24"/>
      <c r="T279" s="930"/>
      <c r="U279" s="24"/>
      <c r="V279" s="24"/>
      <c r="W279" s="24"/>
      <c r="X279" s="24"/>
      <c r="Y279" s="24"/>
      <c r="Z279" s="24"/>
      <c r="AA279" s="24"/>
      <c r="AB279" s="24"/>
      <c r="AC279" s="24"/>
      <c r="AD279" s="24"/>
      <c r="AE279" s="24"/>
    </row>
    <row r="280" spans="2:31" s="3" customFormat="1">
      <c r="B280" s="22"/>
      <c r="C280" s="22"/>
      <c r="D280" s="22"/>
      <c r="E280" s="22"/>
      <c r="G280" s="24"/>
      <c r="H280" s="24"/>
      <c r="I280" s="24"/>
      <c r="J280" s="24"/>
      <c r="K280" s="24"/>
      <c r="L280" s="24"/>
      <c r="M280" s="24"/>
      <c r="N280" s="24"/>
      <c r="O280" s="24"/>
      <c r="P280" s="24"/>
      <c r="Q280" s="24"/>
      <c r="R280" s="24"/>
      <c r="S280" s="24"/>
      <c r="T280" s="930"/>
      <c r="U280" s="24"/>
      <c r="V280" s="24"/>
      <c r="W280" s="24"/>
      <c r="X280" s="24"/>
      <c r="Y280" s="24"/>
      <c r="Z280" s="24"/>
      <c r="AA280" s="24"/>
      <c r="AB280" s="24"/>
      <c r="AC280" s="24"/>
      <c r="AD280" s="24"/>
      <c r="AE280" s="24"/>
    </row>
    <row r="281" spans="2:31" s="3" customFormat="1">
      <c r="B281" s="22"/>
      <c r="C281" s="22"/>
      <c r="D281" s="22"/>
      <c r="E281" s="22"/>
      <c r="G281" s="24"/>
      <c r="H281" s="24"/>
      <c r="I281" s="24"/>
      <c r="J281" s="24"/>
      <c r="K281" s="24"/>
      <c r="L281" s="24"/>
      <c r="M281" s="24"/>
      <c r="N281" s="24"/>
      <c r="O281" s="24"/>
      <c r="P281" s="24"/>
      <c r="Q281" s="24"/>
      <c r="R281" s="24"/>
      <c r="S281" s="24"/>
      <c r="T281" s="930"/>
      <c r="U281" s="24"/>
      <c r="V281" s="24"/>
      <c r="W281" s="24"/>
      <c r="X281" s="24"/>
      <c r="Y281" s="24"/>
      <c r="Z281" s="24"/>
      <c r="AA281" s="24"/>
      <c r="AB281" s="24"/>
      <c r="AC281" s="24"/>
      <c r="AD281" s="24"/>
      <c r="AE281" s="24"/>
    </row>
    <row r="282" spans="2:31" s="3" customFormat="1">
      <c r="B282" s="22"/>
      <c r="C282" s="22"/>
      <c r="D282" s="22"/>
      <c r="E282" s="22"/>
      <c r="G282" s="24"/>
      <c r="H282" s="24"/>
      <c r="I282" s="24"/>
      <c r="J282" s="24"/>
      <c r="K282" s="24"/>
      <c r="L282" s="24"/>
      <c r="M282" s="24"/>
      <c r="N282" s="24"/>
      <c r="O282" s="24"/>
      <c r="P282" s="24"/>
      <c r="Q282" s="24"/>
      <c r="R282" s="24"/>
      <c r="S282" s="24"/>
      <c r="T282" s="930"/>
      <c r="U282" s="24"/>
      <c r="V282" s="24"/>
      <c r="W282" s="24"/>
      <c r="X282" s="24"/>
      <c r="Y282" s="24"/>
      <c r="Z282" s="24"/>
      <c r="AA282" s="24"/>
      <c r="AB282" s="24"/>
      <c r="AC282" s="24"/>
      <c r="AD282" s="24"/>
      <c r="AE282" s="24"/>
    </row>
    <row r="283" spans="2:31" s="3" customFormat="1">
      <c r="B283" s="22"/>
      <c r="C283" s="22"/>
      <c r="D283" s="22"/>
      <c r="E283" s="22"/>
      <c r="G283" s="24"/>
      <c r="H283" s="24"/>
      <c r="I283" s="24"/>
      <c r="J283" s="24"/>
      <c r="K283" s="24"/>
      <c r="L283" s="24"/>
      <c r="M283" s="24"/>
      <c r="N283" s="24"/>
      <c r="O283" s="24"/>
      <c r="P283" s="24"/>
      <c r="Q283" s="24"/>
      <c r="R283" s="24"/>
      <c r="S283" s="24"/>
      <c r="T283" s="930"/>
      <c r="U283" s="24"/>
      <c r="V283" s="24"/>
      <c r="W283" s="24"/>
      <c r="X283" s="24"/>
      <c r="Y283" s="24"/>
      <c r="Z283" s="24"/>
      <c r="AA283" s="24"/>
      <c r="AB283" s="24"/>
      <c r="AC283" s="24"/>
      <c r="AD283" s="24"/>
      <c r="AE283" s="24"/>
    </row>
    <row r="284" spans="2:31" s="3" customFormat="1">
      <c r="B284" s="22"/>
      <c r="C284" s="22"/>
      <c r="D284" s="22"/>
      <c r="E284" s="22"/>
      <c r="G284" s="24"/>
      <c r="H284" s="24"/>
      <c r="I284" s="24"/>
      <c r="J284" s="24"/>
      <c r="K284" s="24"/>
      <c r="L284" s="24"/>
      <c r="M284" s="24"/>
      <c r="N284" s="24"/>
      <c r="O284" s="24"/>
      <c r="P284" s="24"/>
      <c r="Q284" s="24"/>
      <c r="R284" s="24"/>
      <c r="S284" s="24"/>
      <c r="T284" s="930"/>
      <c r="U284" s="24"/>
      <c r="V284" s="24"/>
      <c r="W284" s="24"/>
      <c r="X284" s="24"/>
      <c r="Y284" s="24"/>
      <c r="Z284" s="24"/>
      <c r="AA284" s="24"/>
      <c r="AB284" s="24"/>
      <c r="AC284" s="24"/>
      <c r="AD284" s="24"/>
      <c r="AE284" s="24"/>
    </row>
    <row r="285" spans="2:31" s="3" customFormat="1">
      <c r="B285" s="22"/>
      <c r="C285" s="22"/>
      <c r="D285" s="22"/>
      <c r="E285" s="22"/>
      <c r="G285" s="24"/>
      <c r="H285" s="24"/>
      <c r="I285" s="24"/>
      <c r="J285" s="24"/>
      <c r="K285" s="24"/>
      <c r="L285" s="24"/>
      <c r="M285" s="24"/>
      <c r="N285" s="24"/>
      <c r="O285" s="24"/>
      <c r="P285" s="24"/>
      <c r="Q285" s="24"/>
      <c r="R285" s="24"/>
      <c r="S285" s="24"/>
      <c r="T285" s="930"/>
      <c r="U285" s="24"/>
      <c r="V285" s="24"/>
      <c r="W285" s="24"/>
      <c r="X285" s="24"/>
      <c r="Y285" s="24"/>
      <c r="Z285" s="24"/>
      <c r="AA285" s="24"/>
      <c r="AB285" s="24"/>
      <c r="AC285" s="24"/>
      <c r="AD285" s="24"/>
      <c r="AE285" s="24"/>
    </row>
    <row r="286" spans="2:31" s="3" customFormat="1">
      <c r="B286" s="22"/>
      <c r="C286" s="22"/>
      <c r="D286" s="22"/>
      <c r="E286" s="22"/>
      <c r="G286" s="24"/>
      <c r="H286" s="24"/>
      <c r="I286" s="24"/>
      <c r="J286" s="24"/>
      <c r="K286" s="24"/>
      <c r="L286" s="24"/>
      <c r="M286" s="24"/>
      <c r="N286" s="24"/>
      <c r="O286" s="24"/>
      <c r="P286" s="24"/>
      <c r="Q286" s="24"/>
      <c r="R286" s="24"/>
      <c r="S286" s="24"/>
      <c r="T286" s="930"/>
      <c r="U286" s="24"/>
      <c r="V286" s="24"/>
      <c r="W286" s="24"/>
      <c r="X286" s="24"/>
      <c r="Y286" s="24"/>
      <c r="Z286" s="24"/>
      <c r="AA286" s="24"/>
      <c r="AB286" s="24"/>
      <c r="AC286" s="24"/>
      <c r="AD286" s="24"/>
      <c r="AE286" s="24"/>
    </row>
    <row r="287" spans="2:31" s="3" customFormat="1">
      <c r="B287" s="22"/>
      <c r="C287" s="22"/>
      <c r="D287" s="22"/>
      <c r="E287" s="22"/>
      <c r="G287" s="24"/>
      <c r="H287" s="24"/>
      <c r="I287" s="24"/>
      <c r="J287" s="24"/>
      <c r="K287" s="24"/>
      <c r="L287" s="24"/>
      <c r="M287" s="24"/>
      <c r="N287" s="24"/>
      <c r="O287" s="24"/>
      <c r="P287" s="24"/>
      <c r="Q287" s="24"/>
      <c r="R287" s="24"/>
      <c r="S287" s="24"/>
      <c r="T287" s="930"/>
      <c r="U287" s="24"/>
      <c r="V287" s="24"/>
      <c r="W287" s="24"/>
      <c r="X287" s="24"/>
      <c r="Y287" s="24"/>
      <c r="Z287" s="24"/>
      <c r="AA287" s="24"/>
      <c r="AB287" s="24"/>
      <c r="AC287" s="24"/>
      <c r="AD287" s="24"/>
      <c r="AE287" s="24"/>
    </row>
    <row r="288" spans="2:31" s="3" customFormat="1">
      <c r="B288" s="22"/>
      <c r="C288" s="22"/>
      <c r="D288" s="22"/>
      <c r="E288" s="22"/>
      <c r="G288" s="24"/>
      <c r="H288" s="24"/>
      <c r="I288" s="24"/>
      <c r="J288" s="24"/>
      <c r="K288" s="24"/>
      <c r="L288" s="24"/>
      <c r="M288" s="24"/>
      <c r="N288" s="24"/>
      <c r="O288" s="24"/>
      <c r="P288" s="24"/>
      <c r="Q288" s="24"/>
      <c r="R288" s="24"/>
      <c r="S288" s="24"/>
      <c r="T288" s="930"/>
      <c r="U288" s="24"/>
      <c r="V288" s="24"/>
      <c r="W288" s="24"/>
      <c r="X288" s="24"/>
      <c r="Y288" s="24"/>
      <c r="Z288" s="24"/>
      <c r="AA288" s="24"/>
      <c r="AB288" s="24"/>
      <c r="AC288" s="24"/>
      <c r="AD288" s="24"/>
      <c r="AE288" s="24"/>
    </row>
    <row r="289" spans="2:31" s="3" customFormat="1">
      <c r="B289" s="22"/>
      <c r="C289" s="22"/>
      <c r="D289" s="22"/>
      <c r="E289" s="22"/>
      <c r="G289" s="24"/>
      <c r="H289" s="24"/>
      <c r="I289" s="24"/>
      <c r="J289" s="24"/>
      <c r="K289" s="24"/>
      <c r="L289" s="24"/>
      <c r="M289" s="24"/>
      <c r="N289" s="24"/>
      <c r="O289" s="24"/>
      <c r="P289" s="24"/>
      <c r="Q289" s="24"/>
      <c r="R289" s="24"/>
      <c r="S289" s="24"/>
      <c r="T289" s="930"/>
      <c r="U289" s="24"/>
      <c r="V289" s="24"/>
      <c r="W289" s="24"/>
      <c r="X289" s="24"/>
      <c r="Y289" s="24"/>
      <c r="Z289" s="24"/>
      <c r="AA289" s="24"/>
      <c r="AB289" s="24"/>
      <c r="AC289" s="24"/>
      <c r="AD289" s="24"/>
      <c r="AE289" s="24"/>
    </row>
    <row r="290" spans="2:31" s="3" customFormat="1">
      <c r="B290" s="22"/>
      <c r="C290" s="22"/>
      <c r="D290" s="22"/>
      <c r="E290" s="22"/>
      <c r="G290" s="24"/>
      <c r="H290" s="24"/>
      <c r="I290" s="24"/>
      <c r="J290" s="24"/>
      <c r="K290" s="24"/>
      <c r="L290" s="24"/>
      <c r="M290" s="24"/>
      <c r="N290" s="24"/>
      <c r="O290" s="24"/>
      <c r="P290" s="24"/>
      <c r="Q290" s="24"/>
      <c r="R290" s="24"/>
      <c r="S290" s="24"/>
      <c r="T290" s="930"/>
      <c r="U290" s="24"/>
      <c r="V290" s="24"/>
      <c r="W290" s="24"/>
      <c r="X290" s="24"/>
      <c r="Y290" s="24"/>
      <c r="Z290" s="24"/>
      <c r="AA290" s="24"/>
      <c r="AB290" s="24"/>
      <c r="AC290" s="24"/>
      <c r="AD290" s="24"/>
      <c r="AE290" s="24"/>
    </row>
    <row r="291" spans="2:31" s="3" customFormat="1">
      <c r="B291" s="22"/>
      <c r="C291" s="22"/>
      <c r="D291" s="22"/>
      <c r="E291" s="22"/>
      <c r="G291" s="24"/>
      <c r="H291" s="24"/>
      <c r="I291" s="24"/>
      <c r="J291" s="24"/>
      <c r="K291" s="24"/>
      <c r="L291" s="24"/>
      <c r="M291" s="24"/>
      <c r="N291" s="24"/>
      <c r="O291" s="24"/>
      <c r="P291" s="24"/>
      <c r="Q291" s="24"/>
      <c r="R291" s="24"/>
      <c r="S291" s="24"/>
      <c r="T291" s="930"/>
      <c r="U291" s="24"/>
      <c r="V291" s="24"/>
      <c r="W291" s="24"/>
      <c r="X291" s="24"/>
      <c r="Y291" s="24"/>
      <c r="Z291" s="24"/>
      <c r="AA291" s="24"/>
      <c r="AB291" s="24"/>
      <c r="AC291" s="24"/>
      <c r="AD291" s="24"/>
      <c r="AE291" s="24"/>
    </row>
    <row r="292" spans="2:31" s="3" customFormat="1">
      <c r="B292" s="22"/>
      <c r="C292" s="22"/>
      <c r="D292" s="22"/>
      <c r="E292" s="22"/>
      <c r="G292" s="24"/>
      <c r="H292" s="24"/>
      <c r="I292" s="24"/>
      <c r="J292" s="24"/>
      <c r="K292" s="24"/>
      <c r="L292" s="24"/>
      <c r="M292" s="24"/>
      <c r="N292" s="24"/>
      <c r="O292" s="24"/>
      <c r="P292" s="24"/>
      <c r="Q292" s="24"/>
      <c r="R292" s="24"/>
      <c r="S292" s="24"/>
      <c r="T292" s="930"/>
      <c r="U292" s="24"/>
      <c r="V292" s="24"/>
      <c r="W292" s="24"/>
      <c r="X292" s="24"/>
      <c r="Y292" s="24"/>
      <c r="Z292" s="24"/>
      <c r="AA292" s="24"/>
      <c r="AB292" s="24"/>
      <c r="AC292" s="24"/>
      <c r="AD292" s="24"/>
      <c r="AE292" s="24"/>
    </row>
    <row r="293" spans="2:31" s="3" customFormat="1">
      <c r="B293" s="22"/>
      <c r="C293" s="22"/>
      <c r="D293" s="22"/>
      <c r="E293" s="22"/>
      <c r="G293" s="24"/>
      <c r="H293" s="24"/>
      <c r="I293" s="24"/>
      <c r="J293" s="24"/>
      <c r="K293" s="24"/>
      <c r="L293" s="24"/>
      <c r="M293" s="24"/>
      <c r="N293" s="24"/>
      <c r="O293" s="24"/>
      <c r="P293" s="24"/>
      <c r="Q293" s="24"/>
      <c r="R293" s="24"/>
      <c r="S293" s="24"/>
      <c r="T293" s="930"/>
      <c r="U293" s="24"/>
      <c r="V293" s="24"/>
      <c r="W293" s="24"/>
      <c r="X293" s="24"/>
      <c r="Y293" s="24"/>
      <c r="Z293" s="24"/>
      <c r="AA293" s="24"/>
      <c r="AB293" s="24"/>
      <c r="AC293" s="24"/>
      <c r="AD293" s="24"/>
      <c r="AE293" s="24"/>
    </row>
    <row r="294" spans="2:31" s="3" customFormat="1">
      <c r="B294" s="22"/>
      <c r="C294" s="22"/>
      <c r="D294" s="22"/>
      <c r="E294" s="22"/>
      <c r="G294" s="24"/>
      <c r="H294" s="24"/>
      <c r="I294" s="24"/>
      <c r="J294" s="24"/>
      <c r="K294" s="24"/>
      <c r="L294" s="24"/>
      <c r="M294" s="24"/>
      <c r="N294" s="24"/>
      <c r="O294" s="24"/>
      <c r="P294" s="24"/>
      <c r="Q294" s="24"/>
      <c r="R294" s="24"/>
      <c r="S294" s="24"/>
      <c r="T294" s="930"/>
      <c r="U294" s="24"/>
      <c r="V294" s="24"/>
      <c r="W294" s="24"/>
      <c r="X294" s="24"/>
      <c r="Y294" s="24"/>
      <c r="Z294" s="24"/>
      <c r="AA294" s="24"/>
      <c r="AB294" s="24"/>
      <c r="AC294" s="24"/>
      <c r="AD294" s="24"/>
      <c r="AE294" s="24"/>
    </row>
    <row r="295" spans="2:31" s="3" customFormat="1">
      <c r="B295" s="22"/>
      <c r="C295" s="22"/>
      <c r="D295" s="22"/>
      <c r="E295" s="22"/>
      <c r="G295" s="24"/>
      <c r="H295" s="24"/>
      <c r="I295" s="24"/>
      <c r="J295" s="24"/>
      <c r="K295" s="24"/>
      <c r="L295" s="24"/>
      <c r="M295" s="24"/>
      <c r="N295" s="24"/>
      <c r="O295" s="24"/>
      <c r="P295" s="24"/>
      <c r="Q295" s="24"/>
      <c r="R295" s="24"/>
      <c r="S295" s="24"/>
      <c r="T295" s="930"/>
      <c r="U295" s="24"/>
      <c r="V295" s="24"/>
      <c r="W295" s="24"/>
      <c r="X295" s="24"/>
      <c r="Y295" s="24"/>
      <c r="Z295" s="24"/>
      <c r="AA295" s="24"/>
      <c r="AB295" s="24"/>
      <c r="AC295" s="24"/>
      <c r="AD295" s="24"/>
      <c r="AE295" s="24"/>
    </row>
    <row r="296" spans="2:31" s="3" customFormat="1">
      <c r="B296" s="22"/>
      <c r="C296" s="22"/>
      <c r="D296" s="22"/>
      <c r="E296" s="22"/>
      <c r="G296" s="24"/>
      <c r="H296" s="24"/>
      <c r="I296" s="24"/>
      <c r="J296" s="24"/>
      <c r="K296" s="24"/>
      <c r="L296" s="24"/>
      <c r="M296" s="24"/>
      <c r="N296" s="24"/>
      <c r="O296" s="24"/>
      <c r="P296" s="24"/>
      <c r="Q296" s="24"/>
      <c r="R296" s="24"/>
      <c r="S296" s="24"/>
      <c r="T296" s="930"/>
      <c r="U296" s="24"/>
      <c r="V296" s="24"/>
      <c r="W296" s="24"/>
      <c r="X296" s="24"/>
      <c r="Y296" s="24"/>
      <c r="Z296" s="24"/>
      <c r="AA296" s="24"/>
      <c r="AB296" s="24"/>
      <c r="AC296" s="24"/>
      <c r="AD296" s="24"/>
      <c r="AE296" s="24"/>
    </row>
    <row r="297" spans="2:31" s="3" customFormat="1">
      <c r="B297" s="22"/>
      <c r="C297" s="22"/>
      <c r="D297" s="22"/>
      <c r="E297" s="22"/>
      <c r="G297" s="24"/>
      <c r="H297" s="24"/>
      <c r="I297" s="24"/>
      <c r="J297" s="24"/>
      <c r="K297" s="24"/>
      <c r="L297" s="24"/>
      <c r="M297" s="24"/>
      <c r="N297" s="24"/>
      <c r="O297" s="24"/>
      <c r="P297" s="24"/>
      <c r="Q297" s="24"/>
      <c r="R297" s="24"/>
      <c r="S297" s="24"/>
      <c r="T297" s="930"/>
      <c r="U297" s="24"/>
      <c r="V297" s="24"/>
      <c r="W297" s="24"/>
      <c r="X297" s="24"/>
      <c r="Y297" s="24"/>
      <c r="Z297" s="24"/>
      <c r="AA297" s="24"/>
      <c r="AB297" s="24"/>
      <c r="AC297" s="24"/>
      <c r="AD297" s="24"/>
      <c r="AE297" s="24"/>
    </row>
    <row r="298" spans="2:31" s="3" customFormat="1">
      <c r="B298" s="22"/>
      <c r="C298" s="22"/>
      <c r="D298" s="22"/>
      <c r="E298" s="22"/>
      <c r="G298" s="24"/>
      <c r="H298" s="24"/>
      <c r="I298" s="24"/>
      <c r="J298" s="24"/>
      <c r="K298" s="24"/>
      <c r="L298" s="24"/>
      <c r="M298" s="24"/>
      <c r="N298" s="24"/>
      <c r="O298" s="24"/>
      <c r="P298" s="24"/>
      <c r="Q298" s="24"/>
      <c r="R298" s="24"/>
      <c r="S298" s="24"/>
      <c r="T298" s="930"/>
      <c r="U298" s="24"/>
      <c r="V298" s="24"/>
      <c r="W298" s="24"/>
      <c r="X298" s="24"/>
      <c r="Y298" s="24"/>
      <c r="Z298" s="24"/>
      <c r="AA298" s="24"/>
      <c r="AB298" s="24"/>
      <c r="AC298" s="24"/>
      <c r="AD298" s="24"/>
      <c r="AE298" s="24"/>
    </row>
    <row r="299" spans="2:31" s="3" customFormat="1">
      <c r="B299" s="22"/>
      <c r="C299" s="22"/>
      <c r="D299" s="22"/>
      <c r="E299" s="22"/>
      <c r="G299" s="24"/>
      <c r="H299" s="24"/>
      <c r="I299" s="24"/>
      <c r="J299" s="24"/>
      <c r="K299" s="24"/>
      <c r="L299" s="24"/>
      <c r="M299" s="24"/>
      <c r="N299" s="24"/>
      <c r="O299" s="24"/>
      <c r="P299" s="24"/>
      <c r="Q299" s="24"/>
      <c r="R299" s="24"/>
      <c r="S299" s="24"/>
      <c r="T299" s="930"/>
      <c r="U299" s="24"/>
      <c r="V299" s="24"/>
      <c r="W299" s="24"/>
      <c r="X299" s="24"/>
      <c r="Y299" s="24"/>
      <c r="Z299" s="24"/>
      <c r="AA299" s="24"/>
      <c r="AB299" s="24"/>
      <c r="AC299" s="24"/>
      <c r="AD299" s="24"/>
      <c r="AE299" s="24"/>
    </row>
    <row r="300" spans="2:31" s="3" customFormat="1">
      <c r="B300" s="22"/>
      <c r="C300" s="22"/>
      <c r="D300" s="22"/>
      <c r="E300" s="22"/>
      <c r="G300" s="24"/>
      <c r="H300" s="24"/>
      <c r="I300" s="24"/>
      <c r="J300" s="24"/>
      <c r="K300" s="24"/>
      <c r="L300" s="24"/>
      <c r="M300" s="24"/>
      <c r="N300" s="24"/>
      <c r="O300" s="24"/>
      <c r="P300" s="24"/>
      <c r="Q300" s="24"/>
      <c r="R300" s="24"/>
      <c r="S300" s="24"/>
      <c r="T300" s="930"/>
      <c r="U300" s="24"/>
      <c r="V300" s="24"/>
      <c r="W300" s="24"/>
      <c r="X300" s="24"/>
      <c r="Y300" s="24"/>
      <c r="Z300" s="24"/>
      <c r="AA300" s="24"/>
      <c r="AB300" s="24"/>
      <c r="AC300" s="24"/>
      <c r="AD300" s="24"/>
      <c r="AE300" s="24"/>
    </row>
    <row r="301" spans="2:31" s="3" customFormat="1">
      <c r="B301" s="22"/>
      <c r="C301" s="22"/>
      <c r="D301" s="22"/>
      <c r="E301" s="22"/>
      <c r="G301" s="24"/>
      <c r="H301" s="24"/>
      <c r="I301" s="24"/>
      <c r="J301" s="24"/>
      <c r="K301" s="24"/>
      <c r="L301" s="24"/>
      <c r="M301" s="24"/>
      <c r="N301" s="24"/>
      <c r="O301" s="24"/>
      <c r="P301" s="24"/>
      <c r="Q301" s="24"/>
      <c r="R301" s="24"/>
      <c r="S301" s="24"/>
      <c r="T301" s="930"/>
      <c r="U301" s="24"/>
      <c r="V301" s="24"/>
      <c r="W301" s="24"/>
      <c r="X301" s="24"/>
      <c r="Y301" s="24"/>
      <c r="Z301" s="24"/>
      <c r="AA301" s="24"/>
      <c r="AB301" s="24"/>
      <c r="AC301" s="24"/>
      <c r="AD301" s="24"/>
      <c r="AE301" s="24"/>
    </row>
    <row r="302" spans="2:31" s="3" customFormat="1">
      <c r="B302" s="22"/>
      <c r="C302" s="22"/>
      <c r="D302" s="22"/>
      <c r="E302" s="22"/>
      <c r="G302" s="24"/>
      <c r="H302" s="24"/>
      <c r="I302" s="24"/>
      <c r="J302" s="24"/>
      <c r="K302" s="24"/>
      <c r="L302" s="24"/>
      <c r="M302" s="24"/>
      <c r="N302" s="24"/>
      <c r="O302" s="24"/>
      <c r="P302" s="24"/>
      <c r="Q302" s="24"/>
      <c r="R302" s="24"/>
      <c r="S302" s="24"/>
      <c r="T302" s="930"/>
      <c r="U302" s="24"/>
      <c r="V302" s="24"/>
      <c r="W302" s="24"/>
      <c r="X302" s="24"/>
      <c r="Y302" s="24"/>
      <c r="Z302" s="24"/>
      <c r="AA302" s="24"/>
      <c r="AB302" s="24"/>
      <c r="AC302" s="24"/>
      <c r="AD302" s="24"/>
      <c r="AE302" s="24"/>
    </row>
    <row r="303" spans="2:31" s="3" customFormat="1">
      <c r="B303" s="22"/>
      <c r="C303" s="22"/>
      <c r="D303" s="22"/>
      <c r="E303" s="22"/>
      <c r="G303" s="24"/>
      <c r="H303" s="24"/>
      <c r="I303" s="24"/>
      <c r="J303" s="24"/>
      <c r="K303" s="24"/>
      <c r="L303" s="24"/>
      <c r="M303" s="24"/>
      <c r="N303" s="24"/>
      <c r="O303" s="24"/>
      <c r="P303" s="24"/>
      <c r="Q303" s="24"/>
      <c r="R303" s="24"/>
      <c r="S303" s="24"/>
      <c r="T303" s="930"/>
      <c r="U303" s="24"/>
      <c r="V303" s="24"/>
      <c r="W303" s="24"/>
      <c r="X303" s="24"/>
      <c r="Y303" s="24"/>
      <c r="Z303" s="24"/>
      <c r="AA303" s="24"/>
      <c r="AB303" s="24"/>
      <c r="AC303" s="24"/>
      <c r="AD303" s="24"/>
      <c r="AE303" s="24"/>
    </row>
    <row r="304" spans="2:31" s="3" customFormat="1">
      <c r="B304" s="22"/>
      <c r="C304" s="22"/>
      <c r="D304" s="22"/>
      <c r="E304" s="22"/>
      <c r="G304" s="24"/>
      <c r="H304" s="24"/>
      <c r="I304" s="24"/>
      <c r="J304" s="24"/>
      <c r="K304" s="24"/>
      <c r="L304" s="24"/>
      <c r="M304" s="24"/>
      <c r="N304" s="24"/>
      <c r="O304" s="24"/>
      <c r="P304" s="24"/>
      <c r="Q304" s="24"/>
      <c r="R304" s="24"/>
      <c r="S304" s="24"/>
      <c r="T304" s="930"/>
      <c r="U304" s="24"/>
      <c r="V304" s="24"/>
      <c r="W304" s="24"/>
      <c r="X304" s="24"/>
      <c r="Y304" s="24"/>
      <c r="Z304" s="24"/>
      <c r="AA304" s="24"/>
      <c r="AB304" s="24"/>
      <c r="AC304" s="24"/>
      <c r="AD304" s="24"/>
      <c r="AE304" s="24"/>
    </row>
    <row r="305" spans="2:31" s="3" customFormat="1">
      <c r="B305" s="22"/>
      <c r="C305" s="22"/>
      <c r="D305" s="22"/>
      <c r="E305" s="22"/>
      <c r="G305" s="24"/>
      <c r="H305" s="24"/>
      <c r="I305" s="24"/>
      <c r="J305" s="24"/>
      <c r="K305" s="24"/>
      <c r="L305" s="24"/>
      <c r="M305" s="24"/>
      <c r="N305" s="24"/>
      <c r="O305" s="24"/>
      <c r="P305" s="24"/>
      <c r="Q305" s="24"/>
      <c r="R305" s="24"/>
      <c r="S305" s="24"/>
      <c r="T305" s="930"/>
      <c r="U305" s="24"/>
      <c r="V305" s="24"/>
      <c r="W305" s="24"/>
      <c r="X305" s="24"/>
      <c r="Y305" s="24"/>
      <c r="Z305" s="24"/>
      <c r="AA305" s="24"/>
      <c r="AB305" s="24"/>
      <c r="AC305" s="24"/>
      <c r="AD305" s="24"/>
      <c r="AE305" s="24"/>
    </row>
    <row r="306" spans="2:31" s="3" customFormat="1">
      <c r="B306" s="22"/>
      <c r="C306" s="22"/>
      <c r="D306" s="22"/>
      <c r="E306" s="22"/>
      <c r="G306" s="24"/>
      <c r="H306" s="24"/>
      <c r="I306" s="24"/>
      <c r="J306" s="24"/>
      <c r="K306" s="24"/>
      <c r="L306" s="24"/>
      <c r="M306" s="24"/>
      <c r="N306" s="24"/>
      <c r="O306" s="24"/>
      <c r="P306" s="24"/>
      <c r="Q306" s="24"/>
      <c r="R306" s="24"/>
      <c r="S306" s="24"/>
      <c r="T306" s="930"/>
      <c r="U306" s="24"/>
      <c r="V306" s="24"/>
      <c r="W306" s="24"/>
      <c r="X306" s="24"/>
      <c r="Y306" s="24"/>
      <c r="Z306" s="24"/>
      <c r="AA306" s="24"/>
      <c r="AB306" s="24"/>
      <c r="AC306" s="24"/>
      <c r="AD306" s="24"/>
      <c r="AE306" s="24"/>
    </row>
    <row r="307" spans="2:31" s="3" customFormat="1">
      <c r="B307" s="22"/>
      <c r="C307" s="22"/>
      <c r="D307" s="22"/>
      <c r="E307" s="22"/>
      <c r="G307" s="24"/>
      <c r="H307" s="24"/>
      <c r="I307" s="24"/>
      <c r="J307" s="24"/>
      <c r="K307" s="24"/>
      <c r="L307" s="24"/>
      <c r="M307" s="24"/>
      <c r="N307" s="24"/>
      <c r="O307" s="24"/>
      <c r="P307" s="24"/>
      <c r="Q307" s="24"/>
      <c r="R307" s="24"/>
      <c r="S307" s="24"/>
      <c r="T307" s="930"/>
      <c r="U307" s="24"/>
      <c r="V307" s="24"/>
      <c r="W307" s="24"/>
      <c r="X307" s="24"/>
      <c r="Y307" s="24"/>
      <c r="Z307" s="24"/>
      <c r="AA307" s="24"/>
      <c r="AB307" s="24"/>
      <c r="AC307" s="24"/>
      <c r="AD307" s="24"/>
      <c r="AE307" s="24"/>
    </row>
    <row r="308" spans="2:31" s="3" customFormat="1">
      <c r="B308" s="22"/>
      <c r="C308" s="22"/>
      <c r="D308" s="22"/>
      <c r="E308" s="22"/>
      <c r="G308" s="24"/>
      <c r="H308" s="24"/>
      <c r="I308" s="24"/>
      <c r="J308" s="24"/>
      <c r="K308" s="24"/>
      <c r="L308" s="24"/>
      <c r="M308" s="24"/>
      <c r="N308" s="24"/>
      <c r="O308" s="24"/>
      <c r="P308" s="24"/>
      <c r="Q308" s="24"/>
      <c r="R308" s="24"/>
      <c r="S308" s="24"/>
      <c r="T308" s="930"/>
      <c r="U308" s="24"/>
      <c r="V308" s="24"/>
      <c r="W308" s="24"/>
      <c r="X308" s="24"/>
      <c r="Y308" s="24"/>
      <c r="Z308" s="24"/>
      <c r="AA308" s="24"/>
      <c r="AB308" s="24"/>
      <c r="AC308" s="24"/>
      <c r="AD308" s="24"/>
      <c r="AE308" s="24"/>
    </row>
    <row r="309" spans="2:31" s="3" customFormat="1">
      <c r="B309" s="22"/>
      <c r="C309" s="22"/>
      <c r="D309" s="22"/>
      <c r="E309" s="22"/>
      <c r="G309" s="24"/>
      <c r="H309" s="24"/>
      <c r="I309" s="24"/>
      <c r="J309" s="24"/>
      <c r="K309" s="24"/>
      <c r="L309" s="24"/>
      <c r="M309" s="24"/>
      <c r="N309" s="24"/>
      <c r="O309" s="24"/>
      <c r="P309" s="24"/>
      <c r="Q309" s="24"/>
      <c r="R309" s="24"/>
      <c r="S309" s="24"/>
      <c r="T309" s="930"/>
      <c r="U309" s="24"/>
      <c r="V309" s="24"/>
      <c r="W309" s="24"/>
      <c r="X309" s="24"/>
      <c r="Y309" s="24"/>
      <c r="Z309" s="24"/>
      <c r="AA309" s="24"/>
      <c r="AB309" s="24"/>
      <c r="AC309" s="24"/>
      <c r="AD309" s="24"/>
      <c r="AE309" s="24"/>
    </row>
    <row r="310" spans="2:31" s="3" customFormat="1">
      <c r="B310" s="22"/>
      <c r="C310" s="22"/>
      <c r="D310" s="22"/>
      <c r="E310" s="22"/>
      <c r="G310" s="24"/>
      <c r="H310" s="24"/>
      <c r="I310" s="24"/>
      <c r="J310" s="24"/>
      <c r="K310" s="24"/>
      <c r="L310" s="24"/>
      <c r="M310" s="24"/>
      <c r="N310" s="24"/>
      <c r="O310" s="24"/>
      <c r="P310" s="24"/>
      <c r="Q310" s="24"/>
      <c r="R310" s="24"/>
      <c r="S310" s="24"/>
      <c r="T310" s="930"/>
      <c r="U310" s="24"/>
      <c r="V310" s="24"/>
      <c r="W310" s="24"/>
      <c r="X310" s="24"/>
      <c r="Y310" s="24"/>
      <c r="Z310" s="24"/>
      <c r="AA310" s="24"/>
      <c r="AB310" s="24"/>
      <c r="AC310" s="24"/>
      <c r="AD310" s="24"/>
      <c r="AE310" s="24"/>
    </row>
    <row r="311" spans="2:31" s="3" customFormat="1">
      <c r="B311" s="22"/>
      <c r="C311" s="22"/>
      <c r="D311" s="22"/>
      <c r="E311" s="22"/>
      <c r="G311" s="24"/>
      <c r="H311" s="24"/>
      <c r="I311" s="24"/>
      <c r="J311" s="24"/>
      <c r="K311" s="24"/>
      <c r="L311" s="24"/>
      <c r="M311" s="24"/>
      <c r="N311" s="24"/>
      <c r="O311" s="24"/>
      <c r="P311" s="24"/>
      <c r="Q311" s="24"/>
      <c r="R311" s="24"/>
      <c r="S311" s="24"/>
      <c r="T311" s="930"/>
      <c r="U311" s="24"/>
      <c r="V311" s="24"/>
      <c r="W311" s="24"/>
      <c r="X311" s="24"/>
      <c r="Y311" s="24"/>
      <c r="Z311" s="24"/>
      <c r="AA311" s="24"/>
      <c r="AB311" s="24"/>
      <c r="AC311" s="24"/>
      <c r="AD311" s="24"/>
      <c r="AE311" s="24"/>
    </row>
    <row r="312" spans="2:31" s="3" customFormat="1">
      <c r="B312" s="22"/>
      <c r="C312" s="22"/>
      <c r="D312" s="22"/>
      <c r="E312" s="22"/>
      <c r="G312" s="24"/>
      <c r="H312" s="24"/>
      <c r="I312" s="24"/>
      <c r="J312" s="24"/>
      <c r="K312" s="24"/>
      <c r="L312" s="24"/>
      <c r="M312" s="24"/>
      <c r="N312" s="24"/>
      <c r="O312" s="24"/>
      <c r="P312" s="24"/>
      <c r="Q312" s="24"/>
      <c r="R312" s="24"/>
      <c r="S312" s="24"/>
      <c r="T312" s="930"/>
      <c r="U312" s="24"/>
      <c r="V312" s="24"/>
      <c r="W312" s="24"/>
      <c r="X312" s="24"/>
      <c r="Y312" s="24"/>
      <c r="Z312" s="24"/>
      <c r="AA312" s="24"/>
      <c r="AB312" s="24"/>
      <c r="AC312" s="24"/>
      <c r="AD312" s="24"/>
      <c r="AE312" s="24"/>
    </row>
    <row r="313" spans="2:31" s="3" customFormat="1">
      <c r="B313" s="22"/>
      <c r="C313" s="22"/>
      <c r="D313" s="22"/>
      <c r="E313" s="22"/>
      <c r="G313" s="24"/>
      <c r="H313" s="24"/>
      <c r="I313" s="24"/>
      <c r="J313" s="24"/>
      <c r="K313" s="24"/>
      <c r="L313" s="24"/>
      <c r="M313" s="24"/>
      <c r="N313" s="24"/>
      <c r="O313" s="24"/>
      <c r="P313" s="24"/>
      <c r="Q313" s="24"/>
      <c r="R313" s="24"/>
      <c r="S313" s="24"/>
      <c r="T313" s="930"/>
      <c r="U313" s="24"/>
      <c r="V313" s="24"/>
      <c r="W313" s="24"/>
      <c r="X313" s="24"/>
      <c r="Y313" s="24"/>
      <c r="Z313" s="24"/>
      <c r="AA313" s="24"/>
      <c r="AB313" s="24"/>
      <c r="AC313" s="24"/>
      <c r="AD313" s="24"/>
      <c r="AE313" s="24"/>
    </row>
    <row r="314" spans="2:31" s="3" customFormat="1">
      <c r="B314" s="22"/>
      <c r="C314" s="22"/>
      <c r="D314" s="22"/>
      <c r="E314" s="22"/>
      <c r="G314" s="24"/>
      <c r="H314" s="24"/>
      <c r="I314" s="24"/>
      <c r="J314" s="24"/>
      <c r="K314" s="24"/>
      <c r="L314" s="24"/>
      <c r="M314" s="24"/>
      <c r="N314" s="24"/>
      <c r="O314" s="24"/>
      <c r="P314" s="24"/>
      <c r="Q314" s="24"/>
      <c r="R314" s="24"/>
      <c r="S314" s="24"/>
      <c r="T314" s="930"/>
      <c r="U314" s="24"/>
      <c r="V314" s="24"/>
      <c r="W314" s="24"/>
      <c r="X314" s="24"/>
      <c r="Y314" s="24"/>
      <c r="Z314" s="24"/>
      <c r="AA314" s="24"/>
      <c r="AB314" s="24"/>
      <c r="AC314" s="24"/>
      <c r="AD314" s="24"/>
      <c r="AE314" s="24"/>
    </row>
    <row r="315" spans="2:31" s="3" customFormat="1">
      <c r="B315" s="22"/>
      <c r="C315" s="22"/>
      <c r="D315" s="22"/>
      <c r="E315" s="22"/>
      <c r="G315" s="24"/>
      <c r="H315" s="24"/>
      <c r="I315" s="24"/>
      <c r="J315" s="24"/>
      <c r="K315" s="24"/>
      <c r="L315" s="24"/>
      <c r="M315" s="24"/>
      <c r="N315" s="24"/>
      <c r="O315" s="24"/>
      <c r="P315" s="24"/>
      <c r="Q315" s="24"/>
      <c r="R315" s="24"/>
      <c r="S315" s="24"/>
      <c r="T315" s="930"/>
      <c r="U315" s="24"/>
      <c r="V315" s="24"/>
      <c r="W315" s="24"/>
      <c r="X315" s="24"/>
      <c r="Y315" s="24"/>
      <c r="Z315" s="24"/>
      <c r="AA315" s="24"/>
      <c r="AB315" s="24"/>
      <c r="AC315" s="24"/>
      <c r="AD315" s="24"/>
      <c r="AE315" s="24"/>
    </row>
    <row r="316" spans="2:31" s="3" customFormat="1">
      <c r="B316" s="22"/>
      <c r="C316" s="22"/>
      <c r="D316" s="22"/>
      <c r="E316" s="22"/>
      <c r="G316" s="24"/>
      <c r="H316" s="24"/>
      <c r="I316" s="24"/>
      <c r="J316" s="24"/>
      <c r="K316" s="24"/>
      <c r="L316" s="24"/>
      <c r="M316" s="24"/>
      <c r="N316" s="24"/>
      <c r="O316" s="24"/>
      <c r="P316" s="24"/>
      <c r="Q316" s="24"/>
      <c r="R316" s="24"/>
      <c r="S316" s="24"/>
      <c r="T316" s="930"/>
      <c r="U316" s="24"/>
      <c r="V316" s="24"/>
      <c r="W316" s="24"/>
      <c r="X316" s="24"/>
      <c r="Y316" s="24"/>
      <c r="Z316" s="24"/>
      <c r="AA316" s="24"/>
      <c r="AB316" s="24"/>
      <c r="AC316" s="24"/>
      <c r="AD316" s="24"/>
      <c r="AE316" s="24"/>
    </row>
    <row r="317" spans="2:31" s="3" customFormat="1">
      <c r="B317" s="22"/>
      <c r="C317" s="22"/>
      <c r="D317" s="22"/>
      <c r="E317" s="22"/>
      <c r="G317" s="24"/>
      <c r="H317" s="24"/>
      <c r="I317" s="24"/>
      <c r="J317" s="24"/>
      <c r="K317" s="24"/>
      <c r="L317" s="24"/>
      <c r="M317" s="24"/>
      <c r="N317" s="24"/>
      <c r="O317" s="24"/>
      <c r="P317" s="24"/>
      <c r="Q317" s="24"/>
      <c r="R317" s="24"/>
      <c r="S317" s="24"/>
      <c r="T317" s="930"/>
      <c r="U317" s="24"/>
      <c r="V317" s="24"/>
      <c r="W317" s="24"/>
      <c r="X317" s="24"/>
      <c r="Y317" s="24"/>
      <c r="Z317" s="24"/>
      <c r="AA317" s="24"/>
      <c r="AB317" s="24"/>
      <c r="AC317" s="24"/>
      <c r="AD317" s="24"/>
      <c r="AE317" s="24"/>
    </row>
    <row r="318" spans="2:31" s="3" customFormat="1">
      <c r="B318" s="22"/>
      <c r="C318" s="22"/>
      <c r="D318" s="22"/>
      <c r="E318" s="22"/>
      <c r="G318" s="24"/>
      <c r="H318" s="24"/>
      <c r="I318" s="24"/>
      <c r="J318" s="24"/>
      <c r="K318" s="24"/>
      <c r="L318" s="24"/>
      <c r="M318" s="24"/>
      <c r="N318" s="24"/>
      <c r="O318" s="24"/>
      <c r="P318" s="24"/>
      <c r="Q318" s="24"/>
      <c r="R318" s="24"/>
      <c r="S318" s="24"/>
      <c r="T318" s="930"/>
      <c r="U318" s="24"/>
      <c r="V318" s="24"/>
      <c r="W318" s="24"/>
      <c r="X318" s="24"/>
      <c r="Y318" s="24"/>
      <c r="Z318" s="24"/>
      <c r="AA318" s="24"/>
      <c r="AB318" s="24"/>
      <c r="AC318" s="24"/>
      <c r="AD318" s="24"/>
      <c r="AE318" s="24"/>
    </row>
    <row r="319" spans="2:31" s="3" customFormat="1">
      <c r="B319" s="22"/>
      <c r="C319" s="22"/>
      <c r="D319" s="22"/>
      <c r="E319" s="22"/>
      <c r="G319" s="24"/>
      <c r="H319" s="24"/>
      <c r="I319" s="24"/>
      <c r="J319" s="24"/>
      <c r="K319" s="24"/>
      <c r="L319" s="24"/>
      <c r="M319" s="24"/>
      <c r="N319" s="24"/>
      <c r="O319" s="24"/>
      <c r="P319" s="24"/>
      <c r="Q319" s="24"/>
      <c r="R319" s="24"/>
      <c r="S319" s="24"/>
      <c r="T319" s="930"/>
      <c r="U319" s="24"/>
      <c r="V319" s="24"/>
      <c r="W319" s="24"/>
      <c r="X319" s="24"/>
      <c r="Y319" s="24"/>
      <c r="Z319" s="24"/>
      <c r="AA319" s="24"/>
      <c r="AB319" s="24"/>
      <c r="AC319" s="24"/>
      <c r="AD319" s="24"/>
      <c r="AE319" s="24"/>
    </row>
    <row r="320" spans="2:31" s="3" customFormat="1">
      <c r="B320" s="22"/>
      <c r="C320" s="22"/>
      <c r="D320" s="22"/>
      <c r="E320" s="22"/>
      <c r="G320" s="24"/>
      <c r="H320" s="24"/>
      <c r="I320" s="24"/>
      <c r="J320" s="24"/>
      <c r="K320" s="24"/>
      <c r="L320" s="24"/>
      <c r="M320" s="24"/>
      <c r="N320" s="24"/>
      <c r="O320" s="24"/>
      <c r="P320" s="24"/>
      <c r="Q320" s="24"/>
      <c r="R320" s="24"/>
      <c r="S320" s="24"/>
      <c r="T320" s="930"/>
      <c r="U320" s="24"/>
      <c r="V320" s="24"/>
      <c r="W320" s="24"/>
      <c r="X320" s="24"/>
      <c r="Y320" s="24"/>
      <c r="Z320" s="24"/>
      <c r="AA320" s="24"/>
      <c r="AB320" s="24"/>
      <c r="AC320" s="24"/>
      <c r="AD320" s="24"/>
      <c r="AE320" s="24"/>
    </row>
    <row r="321" spans="2:31" s="3" customFormat="1">
      <c r="B321" s="22"/>
      <c r="C321" s="22"/>
      <c r="D321" s="22"/>
      <c r="E321" s="22"/>
      <c r="G321" s="24"/>
      <c r="H321" s="24"/>
      <c r="I321" s="24"/>
      <c r="J321" s="24"/>
      <c r="K321" s="24"/>
      <c r="L321" s="24"/>
      <c r="M321" s="24"/>
      <c r="N321" s="24"/>
      <c r="O321" s="24"/>
      <c r="P321" s="24"/>
      <c r="Q321" s="24"/>
      <c r="R321" s="24"/>
      <c r="S321" s="24"/>
      <c r="T321" s="930"/>
      <c r="U321" s="24"/>
      <c r="V321" s="24"/>
      <c r="W321" s="24"/>
      <c r="X321" s="24"/>
      <c r="Y321" s="24"/>
      <c r="Z321" s="24"/>
      <c r="AA321" s="24"/>
      <c r="AB321" s="24"/>
      <c r="AC321" s="24"/>
      <c r="AD321" s="24"/>
      <c r="AE321" s="24"/>
    </row>
    <row r="322" spans="2:31" s="3" customFormat="1">
      <c r="B322" s="22"/>
      <c r="C322" s="22"/>
      <c r="D322" s="22"/>
      <c r="E322" s="22"/>
      <c r="G322" s="24"/>
      <c r="H322" s="24"/>
      <c r="I322" s="24"/>
      <c r="J322" s="24"/>
      <c r="K322" s="24"/>
      <c r="L322" s="24"/>
      <c r="M322" s="24"/>
      <c r="N322" s="24"/>
      <c r="O322" s="24"/>
      <c r="P322" s="24"/>
      <c r="Q322" s="24"/>
      <c r="R322" s="24"/>
      <c r="S322" s="24"/>
      <c r="T322" s="930"/>
      <c r="U322" s="24"/>
      <c r="V322" s="24"/>
      <c r="W322" s="24"/>
      <c r="X322" s="24"/>
      <c r="Y322" s="24"/>
      <c r="Z322" s="24"/>
      <c r="AA322" s="24"/>
      <c r="AB322" s="24"/>
      <c r="AC322" s="24"/>
      <c r="AD322" s="24"/>
      <c r="AE322" s="24"/>
    </row>
    <row r="323" spans="2:31" s="3" customFormat="1">
      <c r="B323" s="22"/>
      <c r="C323" s="22"/>
      <c r="D323" s="22"/>
      <c r="E323" s="22"/>
      <c r="G323" s="24"/>
      <c r="H323" s="24"/>
      <c r="I323" s="24"/>
      <c r="J323" s="24"/>
      <c r="K323" s="24"/>
      <c r="L323" s="24"/>
      <c r="M323" s="24"/>
      <c r="N323" s="24"/>
      <c r="O323" s="24"/>
      <c r="P323" s="24"/>
      <c r="Q323" s="24"/>
      <c r="R323" s="24"/>
      <c r="S323" s="24"/>
      <c r="T323" s="930"/>
      <c r="U323" s="24"/>
      <c r="V323" s="24"/>
      <c r="W323" s="24"/>
      <c r="X323" s="24"/>
      <c r="Y323" s="24"/>
      <c r="Z323" s="24"/>
      <c r="AA323" s="24"/>
      <c r="AB323" s="24"/>
      <c r="AC323" s="24"/>
      <c r="AD323" s="24"/>
      <c r="AE323" s="24"/>
    </row>
    <row r="324" spans="2:31" s="3" customFormat="1">
      <c r="B324" s="22"/>
      <c r="C324" s="22"/>
      <c r="D324" s="22"/>
      <c r="E324" s="22"/>
      <c r="G324" s="24"/>
      <c r="H324" s="24"/>
      <c r="I324" s="24"/>
      <c r="J324" s="24"/>
      <c r="K324" s="24"/>
      <c r="L324" s="24"/>
      <c r="M324" s="24"/>
      <c r="N324" s="24"/>
      <c r="O324" s="24"/>
      <c r="P324" s="24"/>
      <c r="Q324" s="24"/>
      <c r="R324" s="24"/>
      <c r="S324" s="24"/>
      <c r="T324" s="930"/>
      <c r="U324" s="24"/>
      <c r="V324" s="24"/>
      <c r="W324" s="24"/>
      <c r="X324" s="24"/>
      <c r="Y324" s="24"/>
      <c r="Z324" s="24"/>
      <c r="AA324" s="24"/>
      <c r="AB324" s="24"/>
      <c r="AC324" s="24"/>
      <c r="AD324" s="24"/>
      <c r="AE324" s="24"/>
    </row>
    <row r="325" spans="2:31" s="3" customFormat="1">
      <c r="B325" s="22"/>
      <c r="C325" s="22"/>
      <c r="D325" s="22"/>
      <c r="E325" s="22"/>
      <c r="G325" s="24"/>
      <c r="H325" s="24"/>
      <c r="I325" s="24"/>
      <c r="J325" s="24"/>
      <c r="K325" s="24"/>
      <c r="L325" s="24"/>
      <c r="M325" s="24"/>
      <c r="N325" s="24"/>
      <c r="O325" s="24"/>
      <c r="P325" s="24"/>
      <c r="Q325" s="24"/>
      <c r="R325" s="24"/>
      <c r="S325" s="24"/>
      <c r="T325" s="930"/>
      <c r="U325" s="24"/>
      <c r="V325" s="24"/>
      <c r="W325" s="24"/>
      <c r="X325" s="24"/>
      <c r="Y325" s="24"/>
      <c r="Z325" s="24"/>
      <c r="AA325" s="24"/>
      <c r="AB325" s="24"/>
      <c r="AC325" s="24"/>
      <c r="AD325" s="24"/>
      <c r="AE325" s="24"/>
    </row>
    <row r="326" spans="2:31" s="3" customFormat="1">
      <c r="B326" s="22"/>
      <c r="C326" s="22"/>
      <c r="D326" s="22"/>
      <c r="E326" s="22"/>
      <c r="G326" s="24"/>
      <c r="H326" s="24"/>
      <c r="I326" s="24"/>
      <c r="J326" s="24"/>
      <c r="K326" s="24"/>
      <c r="L326" s="24"/>
      <c r="M326" s="24"/>
      <c r="N326" s="24"/>
      <c r="O326" s="24"/>
      <c r="P326" s="24"/>
      <c r="Q326" s="24"/>
      <c r="R326" s="24"/>
      <c r="S326" s="24"/>
      <c r="T326" s="930"/>
      <c r="U326" s="24"/>
      <c r="V326" s="24"/>
      <c r="W326" s="24"/>
      <c r="X326" s="24"/>
      <c r="Y326" s="24"/>
      <c r="Z326" s="24"/>
      <c r="AA326" s="24"/>
      <c r="AB326" s="24"/>
      <c r="AC326" s="24"/>
      <c r="AD326" s="24"/>
      <c r="AE326" s="24"/>
    </row>
    <row r="327" spans="2:31" s="3" customFormat="1">
      <c r="B327" s="22"/>
      <c r="C327" s="22"/>
      <c r="D327" s="22"/>
      <c r="E327" s="22"/>
      <c r="G327" s="24"/>
      <c r="H327" s="24"/>
      <c r="I327" s="24"/>
      <c r="J327" s="24"/>
      <c r="K327" s="24"/>
      <c r="L327" s="24"/>
      <c r="M327" s="24"/>
      <c r="N327" s="24"/>
      <c r="O327" s="24"/>
      <c r="P327" s="24"/>
      <c r="Q327" s="24"/>
      <c r="R327" s="24"/>
      <c r="S327" s="24"/>
      <c r="T327" s="930"/>
      <c r="U327" s="24"/>
      <c r="V327" s="24"/>
      <c r="W327" s="24"/>
      <c r="X327" s="24"/>
      <c r="Y327" s="24"/>
      <c r="Z327" s="24"/>
      <c r="AA327" s="24"/>
      <c r="AB327" s="24"/>
      <c r="AC327" s="24"/>
      <c r="AD327" s="24"/>
      <c r="AE327" s="24"/>
    </row>
    <row r="328" spans="2:31" s="3" customFormat="1">
      <c r="B328" s="22"/>
      <c r="C328" s="22"/>
      <c r="D328" s="22"/>
      <c r="E328" s="22"/>
      <c r="G328" s="24"/>
      <c r="H328" s="24"/>
      <c r="I328" s="24"/>
      <c r="J328" s="24"/>
      <c r="K328" s="24"/>
      <c r="L328" s="24"/>
      <c r="M328" s="24"/>
      <c r="N328" s="24"/>
      <c r="O328" s="24"/>
      <c r="P328" s="24"/>
      <c r="Q328" s="24"/>
      <c r="R328" s="24"/>
      <c r="S328" s="24"/>
      <c r="T328" s="930"/>
      <c r="U328" s="24"/>
      <c r="V328" s="24"/>
      <c r="W328" s="24"/>
      <c r="X328" s="24"/>
      <c r="Y328" s="24"/>
      <c r="Z328" s="24"/>
      <c r="AA328" s="24"/>
      <c r="AB328" s="24"/>
      <c r="AC328" s="24"/>
      <c r="AD328" s="24"/>
      <c r="AE328" s="24"/>
    </row>
    <row r="329" spans="2:31" s="3" customFormat="1">
      <c r="B329" s="22"/>
      <c r="C329" s="22"/>
      <c r="D329" s="22"/>
      <c r="E329" s="22"/>
      <c r="G329" s="24"/>
      <c r="H329" s="24"/>
      <c r="I329" s="24"/>
      <c r="J329" s="24"/>
      <c r="K329" s="24"/>
      <c r="L329" s="24"/>
      <c r="M329" s="24"/>
      <c r="N329" s="24"/>
      <c r="O329" s="24"/>
      <c r="P329" s="24"/>
      <c r="Q329" s="24"/>
      <c r="R329" s="24"/>
      <c r="S329" s="24"/>
      <c r="T329" s="930"/>
      <c r="U329" s="24"/>
      <c r="V329" s="24"/>
      <c r="W329" s="24"/>
      <c r="X329" s="24"/>
      <c r="Y329" s="24"/>
      <c r="Z329" s="24"/>
      <c r="AA329" s="24"/>
      <c r="AB329" s="24"/>
      <c r="AC329" s="24"/>
      <c r="AD329" s="24"/>
      <c r="AE329" s="24"/>
    </row>
    <row r="330" spans="2:31" s="3" customFormat="1">
      <c r="B330" s="22"/>
      <c r="C330" s="22"/>
      <c r="D330" s="22"/>
      <c r="E330" s="22"/>
      <c r="G330" s="24"/>
      <c r="H330" s="24"/>
      <c r="I330" s="24"/>
      <c r="J330" s="24"/>
      <c r="K330" s="24"/>
      <c r="L330" s="24"/>
      <c r="M330" s="24"/>
      <c r="N330" s="24"/>
      <c r="O330" s="24"/>
      <c r="P330" s="24"/>
      <c r="Q330" s="24"/>
      <c r="R330" s="24"/>
      <c r="S330" s="24"/>
      <c r="T330" s="930"/>
      <c r="U330" s="24"/>
      <c r="V330" s="24"/>
      <c r="W330" s="24"/>
      <c r="X330" s="24"/>
      <c r="Y330" s="24"/>
      <c r="Z330" s="24"/>
      <c r="AA330" s="24"/>
      <c r="AB330" s="24"/>
      <c r="AC330" s="24"/>
      <c r="AD330" s="24"/>
      <c r="AE330" s="24"/>
    </row>
    <row r="331" spans="2:31" s="3" customFormat="1">
      <c r="B331" s="22"/>
      <c r="C331" s="22"/>
      <c r="D331" s="22"/>
      <c r="E331" s="22"/>
      <c r="G331" s="24"/>
      <c r="H331" s="24"/>
      <c r="I331" s="24"/>
      <c r="J331" s="24"/>
      <c r="K331" s="24"/>
      <c r="L331" s="24"/>
      <c r="M331" s="24"/>
      <c r="N331" s="24"/>
      <c r="O331" s="24"/>
      <c r="P331" s="24"/>
      <c r="Q331" s="24"/>
      <c r="R331" s="24"/>
      <c r="S331" s="24"/>
      <c r="T331" s="930"/>
      <c r="U331" s="24"/>
      <c r="V331" s="24"/>
      <c r="W331" s="24"/>
      <c r="X331" s="24"/>
      <c r="Y331" s="24"/>
      <c r="Z331" s="24"/>
      <c r="AA331" s="24"/>
      <c r="AB331" s="24"/>
      <c r="AC331" s="24"/>
      <c r="AD331" s="24"/>
      <c r="AE331" s="24"/>
    </row>
    <row r="332" spans="2:31" s="3" customFormat="1">
      <c r="B332" s="22"/>
      <c r="C332" s="22"/>
      <c r="D332" s="22"/>
      <c r="E332" s="22"/>
      <c r="G332" s="24"/>
      <c r="H332" s="24"/>
      <c r="I332" s="24"/>
      <c r="J332" s="24"/>
      <c r="K332" s="24"/>
      <c r="L332" s="24"/>
      <c r="M332" s="24"/>
      <c r="N332" s="24"/>
      <c r="O332" s="24"/>
      <c r="P332" s="24"/>
      <c r="Q332" s="24"/>
      <c r="R332" s="24"/>
      <c r="S332" s="24"/>
      <c r="T332" s="930"/>
      <c r="U332" s="24"/>
      <c r="V332" s="24"/>
      <c r="W332" s="24"/>
      <c r="X332" s="24"/>
      <c r="Y332" s="24"/>
      <c r="Z332" s="24"/>
      <c r="AA332" s="24"/>
      <c r="AB332" s="24"/>
      <c r="AC332" s="24"/>
      <c r="AD332" s="24"/>
      <c r="AE332" s="24"/>
    </row>
    <row r="333" spans="2:31" s="3" customFormat="1">
      <c r="B333" s="22"/>
      <c r="C333" s="22"/>
      <c r="D333" s="22"/>
      <c r="E333" s="22"/>
      <c r="G333" s="24"/>
      <c r="H333" s="24"/>
      <c r="I333" s="24"/>
      <c r="J333" s="24"/>
      <c r="K333" s="24"/>
      <c r="L333" s="24"/>
      <c r="M333" s="24"/>
      <c r="N333" s="24"/>
      <c r="O333" s="24"/>
      <c r="P333" s="24"/>
      <c r="Q333" s="24"/>
      <c r="R333" s="24"/>
      <c r="S333" s="24"/>
      <c r="T333" s="930"/>
      <c r="U333" s="24"/>
      <c r="V333" s="24"/>
      <c r="W333" s="24"/>
      <c r="X333" s="24"/>
      <c r="Y333" s="24"/>
      <c r="Z333" s="24"/>
      <c r="AA333" s="24"/>
      <c r="AB333" s="24"/>
      <c r="AC333" s="24"/>
      <c r="AD333" s="24"/>
      <c r="AE333" s="24"/>
    </row>
    <row r="334" spans="2:31" s="3" customFormat="1">
      <c r="B334" s="22"/>
      <c r="C334" s="22"/>
      <c r="D334" s="22"/>
      <c r="E334" s="22"/>
      <c r="G334" s="24"/>
      <c r="H334" s="24"/>
      <c r="I334" s="24"/>
      <c r="J334" s="24"/>
      <c r="K334" s="24"/>
      <c r="L334" s="24"/>
      <c r="M334" s="24"/>
      <c r="N334" s="24"/>
      <c r="O334" s="24"/>
      <c r="P334" s="24"/>
      <c r="Q334" s="24"/>
      <c r="R334" s="24"/>
      <c r="S334" s="24"/>
      <c r="T334" s="930"/>
      <c r="U334" s="24"/>
      <c r="V334" s="24"/>
      <c r="W334" s="24"/>
      <c r="X334" s="24"/>
      <c r="Y334" s="24"/>
      <c r="Z334" s="24"/>
      <c r="AA334" s="24"/>
      <c r="AB334" s="24"/>
      <c r="AC334" s="24"/>
      <c r="AD334" s="24"/>
      <c r="AE334" s="24"/>
    </row>
    <row r="335" spans="2:31" s="3" customFormat="1">
      <c r="B335" s="22"/>
      <c r="C335" s="22"/>
      <c r="D335" s="22"/>
      <c r="E335" s="22"/>
      <c r="G335" s="24"/>
      <c r="H335" s="24"/>
      <c r="I335" s="24"/>
      <c r="J335" s="24"/>
      <c r="K335" s="24"/>
      <c r="L335" s="24"/>
      <c r="M335" s="24"/>
      <c r="N335" s="24"/>
      <c r="O335" s="24"/>
      <c r="P335" s="24"/>
      <c r="Q335" s="24"/>
      <c r="R335" s="24"/>
      <c r="S335" s="24"/>
      <c r="T335" s="930"/>
      <c r="U335" s="24"/>
      <c r="V335" s="24"/>
      <c r="W335" s="24"/>
      <c r="X335" s="24"/>
      <c r="Y335" s="24"/>
      <c r="Z335" s="24"/>
      <c r="AA335" s="24"/>
      <c r="AB335" s="24"/>
      <c r="AC335" s="24"/>
      <c r="AD335" s="24"/>
      <c r="AE335" s="24"/>
    </row>
    <row r="336" spans="2:31" s="3" customFormat="1">
      <c r="B336" s="22"/>
      <c r="C336" s="22"/>
      <c r="D336" s="22"/>
      <c r="E336" s="22"/>
      <c r="G336" s="24"/>
      <c r="H336" s="24"/>
      <c r="I336" s="24"/>
      <c r="J336" s="24"/>
      <c r="K336" s="24"/>
      <c r="L336" s="24"/>
      <c r="M336" s="24"/>
      <c r="N336" s="24"/>
      <c r="O336" s="24"/>
      <c r="P336" s="24"/>
      <c r="Q336" s="24"/>
      <c r="R336" s="24"/>
      <c r="S336" s="24"/>
      <c r="T336" s="930"/>
      <c r="U336" s="24"/>
      <c r="V336" s="24"/>
      <c r="W336" s="24"/>
      <c r="X336" s="24"/>
      <c r="Y336" s="24"/>
      <c r="Z336" s="24"/>
      <c r="AA336" s="24"/>
      <c r="AB336" s="24"/>
      <c r="AC336" s="24"/>
      <c r="AD336" s="24"/>
      <c r="AE336" s="24"/>
    </row>
    <row r="337" spans="2:31" s="3" customFormat="1">
      <c r="B337" s="22"/>
      <c r="C337" s="22"/>
      <c r="D337" s="22"/>
      <c r="E337" s="22"/>
      <c r="G337" s="24"/>
      <c r="H337" s="24"/>
      <c r="I337" s="24"/>
      <c r="J337" s="24"/>
      <c r="K337" s="24"/>
      <c r="L337" s="24"/>
      <c r="M337" s="24"/>
      <c r="N337" s="24"/>
      <c r="O337" s="24"/>
      <c r="P337" s="24"/>
      <c r="Q337" s="24"/>
      <c r="R337" s="24"/>
      <c r="S337" s="24"/>
      <c r="T337" s="930"/>
      <c r="U337" s="24"/>
      <c r="V337" s="24"/>
      <c r="W337" s="24"/>
      <c r="X337" s="24"/>
      <c r="Y337" s="24"/>
      <c r="Z337" s="24"/>
      <c r="AA337" s="24"/>
      <c r="AB337" s="24"/>
      <c r="AC337" s="24"/>
      <c r="AD337" s="24"/>
      <c r="AE337" s="24"/>
    </row>
    <row r="338" spans="2:31" s="3" customFormat="1">
      <c r="B338" s="22"/>
      <c r="C338" s="22"/>
      <c r="D338" s="22"/>
      <c r="E338" s="22"/>
      <c r="G338" s="24"/>
      <c r="H338" s="24"/>
      <c r="I338" s="24"/>
      <c r="J338" s="24"/>
      <c r="K338" s="24"/>
      <c r="L338" s="24"/>
      <c r="M338" s="24"/>
      <c r="N338" s="24"/>
      <c r="O338" s="24"/>
      <c r="P338" s="24"/>
      <c r="Q338" s="24"/>
      <c r="R338" s="24"/>
      <c r="S338" s="24"/>
      <c r="T338" s="930"/>
      <c r="U338" s="24"/>
      <c r="V338" s="24"/>
      <c r="W338" s="24"/>
      <c r="X338" s="24"/>
      <c r="Y338" s="24"/>
      <c r="Z338" s="24"/>
      <c r="AA338" s="24"/>
      <c r="AB338" s="24"/>
      <c r="AC338" s="24"/>
      <c r="AD338" s="24"/>
      <c r="AE338" s="24"/>
    </row>
    <row r="339" spans="2:31" s="3" customFormat="1">
      <c r="B339" s="22"/>
      <c r="C339" s="22"/>
      <c r="D339" s="22"/>
      <c r="E339" s="22"/>
      <c r="G339" s="24"/>
      <c r="H339" s="24"/>
      <c r="I339" s="24"/>
      <c r="J339" s="24"/>
      <c r="K339" s="24"/>
      <c r="L339" s="24"/>
      <c r="M339" s="24"/>
      <c r="N339" s="24"/>
      <c r="O339" s="24"/>
      <c r="P339" s="24"/>
      <c r="Q339" s="24"/>
      <c r="R339" s="24"/>
      <c r="S339" s="24"/>
      <c r="T339" s="930"/>
      <c r="U339" s="24"/>
      <c r="V339" s="24"/>
      <c r="W339" s="24"/>
      <c r="X339" s="24"/>
      <c r="Y339" s="24"/>
      <c r="Z339" s="24"/>
      <c r="AA339" s="24"/>
      <c r="AB339" s="24"/>
      <c r="AC339" s="24"/>
      <c r="AD339" s="24"/>
      <c r="AE339" s="24"/>
    </row>
    <row r="340" spans="2:31" s="3" customFormat="1">
      <c r="B340" s="22"/>
      <c r="C340" s="22"/>
      <c r="D340" s="22"/>
      <c r="E340" s="22"/>
      <c r="G340" s="24"/>
      <c r="H340" s="24"/>
      <c r="I340" s="24"/>
      <c r="J340" s="24"/>
      <c r="K340" s="24"/>
      <c r="L340" s="24"/>
      <c r="M340" s="24"/>
      <c r="N340" s="24"/>
      <c r="O340" s="24"/>
      <c r="P340" s="24"/>
      <c r="Q340" s="24"/>
      <c r="R340" s="24"/>
      <c r="S340" s="24"/>
      <c r="T340" s="930"/>
      <c r="U340" s="24"/>
      <c r="V340" s="24"/>
      <c r="W340" s="24"/>
      <c r="X340" s="24"/>
      <c r="Y340" s="24"/>
      <c r="Z340" s="24"/>
      <c r="AA340" s="24"/>
      <c r="AB340" s="24"/>
      <c r="AC340" s="24"/>
      <c r="AD340" s="24"/>
      <c r="AE340" s="24"/>
    </row>
    <row r="341" spans="2:31" s="3" customFormat="1">
      <c r="B341" s="22"/>
      <c r="C341" s="22"/>
      <c r="D341" s="22"/>
      <c r="E341" s="22"/>
      <c r="G341" s="24"/>
      <c r="H341" s="24"/>
      <c r="I341" s="24"/>
      <c r="J341" s="24"/>
      <c r="K341" s="24"/>
      <c r="L341" s="24"/>
      <c r="M341" s="24"/>
      <c r="N341" s="24"/>
      <c r="O341" s="24"/>
      <c r="P341" s="24"/>
      <c r="Q341" s="24"/>
      <c r="R341" s="24"/>
      <c r="S341" s="24"/>
      <c r="T341" s="930"/>
      <c r="U341" s="24"/>
      <c r="V341" s="24"/>
      <c r="W341" s="24"/>
      <c r="X341" s="24"/>
      <c r="Y341" s="24"/>
      <c r="Z341" s="24"/>
      <c r="AA341" s="24"/>
      <c r="AB341" s="24"/>
      <c r="AC341" s="24"/>
      <c r="AD341" s="24"/>
      <c r="AE341" s="24"/>
    </row>
    <row r="342" spans="2:31" s="3" customFormat="1">
      <c r="B342" s="22"/>
      <c r="C342" s="22"/>
      <c r="D342" s="22"/>
      <c r="E342" s="22"/>
      <c r="G342" s="24"/>
      <c r="H342" s="24"/>
      <c r="I342" s="24"/>
      <c r="J342" s="24"/>
      <c r="K342" s="24"/>
      <c r="L342" s="24"/>
      <c r="M342" s="24"/>
      <c r="N342" s="24"/>
      <c r="O342" s="24"/>
      <c r="P342" s="24"/>
      <c r="Q342" s="24"/>
      <c r="R342" s="24"/>
      <c r="S342" s="24"/>
      <c r="T342" s="930"/>
      <c r="U342" s="24"/>
      <c r="V342" s="24"/>
      <c r="W342" s="24"/>
      <c r="X342" s="24"/>
      <c r="Y342" s="24"/>
      <c r="Z342" s="24"/>
      <c r="AA342" s="24"/>
      <c r="AB342" s="24"/>
      <c r="AC342" s="24"/>
      <c r="AD342" s="24"/>
      <c r="AE342" s="24"/>
    </row>
    <row r="343" spans="2:31" s="3" customFormat="1">
      <c r="B343" s="22"/>
      <c r="C343" s="22"/>
      <c r="D343" s="22"/>
      <c r="E343" s="22"/>
      <c r="G343" s="24"/>
      <c r="H343" s="24"/>
      <c r="I343" s="24"/>
      <c r="J343" s="24"/>
      <c r="K343" s="24"/>
      <c r="L343" s="24"/>
      <c r="M343" s="24"/>
      <c r="N343" s="24"/>
      <c r="O343" s="24"/>
      <c r="P343" s="24"/>
      <c r="Q343" s="24"/>
      <c r="R343" s="24"/>
      <c r="S343" s="24"/>
      <c r="T343" s="930"/>
      <c r="U343" s="24"/>
      <c r="V343" s="24"/>
      <c r="W343" s="24"/>
      <c r="X343" s="24"/>
      <c r="Y343" s="24"/>
      <c r="Z343" s="24"/>
      <c r="AA343" s="24"/>
      <c r="AB343" s="24"/>
      <c r="AC343" s="24"/>
      <c r="AD343" s="24"/>
      <c r="AE343" s="24"/>
    </row>
    <row r="344" spans="2:31" s="3" customFormat="1">
      <c r="B344" s="22"/>
      <c r="C344" s="22"/>
      <c r="D344" s="22"/>
      <c r="E344" s="22"/>
      <c r="G344" s="24"/>
      <c r="H344" s="24"/>
      <c r="I344" s="24"/>
      <c r="J344" s="24"/>
      <c r="K344" s="24"/>
      <c r="L344" s="24"/>
      <c r="M344" s="24"/>
      <c r="N344" s="24"/>
      <c r="O344" s="24"/>
      <c r="P344" s="24"/>
      <c r="Q344" s="24"/>
      <c r="R344" s="24"/>
      <c r="S344" s="24"/>
      <c r="T344" s="930"/>
      <c r="U344" s="24"/>
      <c r="V344" s="24"/>
      <c r="W344" s="24"/>
      <c r="X344" s="24"/>
      <c r="Y344" s="24"/>
      <c r="Z344" s="24"/>
      <c r="AA344" s="24"/>
      <c r="AB344" s="24"/>
      <c r="AC344" s="24"/>
      <c r="AD344" s="24"/>
      <c r="AE344" s="24"/>
    </row>
    <row r="345" spans="2:31" s="3" customFormat="1">
      <c r="B345" s="22"/>
      <c r="C345" s="22"/>
      <c r="D345" s="22"/>
      <c r="E345" s="22"/>
      <c r="G345" s="24"/>
      <c r="H345" s="24"/>
      <c r="I345" s="24"/>
      <c r="J345" s="24"/>
      <c r="K345" s="24"/>
      <c r="L345" s="24"/>
      <c r="M345" s="24"/>
      <c r="N345" s="24"/>
      <c r="O345" s="24"/>
      <c r="P345" s="24"/>
      <c r="Q345" s="24"/>
      <c r="R345" s="24"/>
      <c r="S345" s="24"/>
      <c r="T345" s="930"/>
      <c r="U345" s="24"/>
      <c r="V345" s="24"/>
      <c r="W345" s="24"/>
      <c r="X345" s="24"/>
      <c r="Y345" s="24"/>
      <c r="Z345" s="24"/>
      <c r="AA345" s="24"/>
      <c r="AB345" s="24"/>
      <c r="AC345" s="24"/>
      <c r="AD345" s="24"/>
      <c r="AE345" s="24"/>
    </row>
    <row r="346" spans="2:31" s="3" customFormat="1">
      <c r="B346" s="22"/>
      <c r="C346" s="22"/>
      <c r="D346" s="22"/>
      <c r="E346" s="22"/>
      <c r="G346" s="24"/>
      <c r="H346" s="24"/>
      <c r="I346" s="24"/>
      <c r="J346" s="24"/>
      <c r="K346" s="24"/>
      <c r="L346" s="24"/>
      <c r="M346" s="24"/>
      <c r="N346" s="24"/>
      <c r="O346" s="24"/>
      <c r="P346" s="24"/>
      <c r="Q346" s="24"/>
      <c r="R346" s="24"/>
      <c r="S346" s="24"/>
      <c r="T346" s="930"/>
      <c r="U346" s="24"/>
      <c r="V346" s="24"/>
      <c r="W346" s="24"/>
      <c r="X346" s="24"/>
      <c r="Y346" s="24"/>
      <c r="Z346" s="24"/>
      <c r="AA346" s="24"/>
      <c r="AB346" s="24"/>
      <c r="AC346" s="24"/>
      <c r="AD346" s="24"/>
      <c r="AE346" s="24"/>
    </row>
    <row r="347" spans="2:31" s="3" customFormat="1">
      <c r="B347" s="22"/>
      <c r="C347" s="22"/>
      <c r="D347" s="22"/>
      <c r="E347" s="22"/>
      <c r="G347" s="24"/>
      <c r="H347" s="24"/>
      <c r="I347" s="24"/>
      <c r="J347" s="24"/>
      <c r="K347" s="24"/>
      <c r="L347" s="24"/>
      <c r="M347" s="24"/>
      <c r="N347" s="24"/>
      <c r="O347" s="24"/>
      <c r="P347" s="24"/>
      <c r="Q347" s="24"/>
      <c r="R347" s="24"/>
      <c r="S347" s="24"/>
      <c r="T347" s="930"/>
      <c r="U347" s="24"/>
      <c r="V347" s="24"/>
      <c r="W347" s="24"/>
      <c r="X347" s="24"/>
      <c r="Y347" s="24"/>
      <c r="Z347" s="24"/>
      <c r="AA347" s="24"/>
      <c r="AB347" s="24"/>
      <c r="AC347" s="24"/>
      <c r="AD347" s="24"/>
      <c r="AE347" s="24"/>
    </row>
    <row r="348" spans="2:31" s="3" customFormat="1">
      <c r="B348" s="22"/>
      <c r="C348" s="22"/>
      <c r="D348" s="22"/>
      <c r="E348" s="22"/>
      <c r="G348" s="24"/>
      <c r="H348" s="24"/>
      <c r="I348" s="24"/>
      <c r="J348" s="24"/>
      <c r="K348" s="24"/>
      <c r="L348" s="24"/>
      <c r="M348" s="24"/>
      <c r="N348" s="24"/>
      <c r="O348" s="24"/>
      <c r="P348" s="24"/>
      <c r="Q348" s="24"/>
      <c r="R348" s="24"/>
      <c r="S348" s="24"/>
      <c r="T348" s="930"/>
      <c r="U348" s="24"/>
      <c r="V348" s="24"/>
      <c r="W348" s="24"/>
      <c r="X348" s="24"/>
      <c r="Y348" s="24"/>
      <c r="Z348" s="24"/>
      <c r="AA348" s="24"/>
      <c r="AB348" s="24"/>
      <c r="AC348" s="24"/>
      <c r="AD348" s="24"/>
      <c r="AE348" s="24"/>
    </row>
    <row r="349" spans="2:31" s="3" customFormat="1">
      <c r="B349" s="22"/>
      <c r="C349" s="22"/>
      <c r="D349" s="22"/>
      <c r="E349" s="22"/>
      <c r="G349" s="24"/>
      <c r="H349" s="24"/>
      <c r="I349" s="24"/>
      <c r="J349" s="24"/>
      <c r="K349" s="24"/>
      <c r="L349" s="24"/>
      <c r="M349" s="24"/>
      <c r="N349" s="24"/>
      <c r="O349" s="24"/>
      <c r="P349" s="24"/>
      <c r="Q349" s="24"/>
      <c r="R349" s="24"/>
      <c r="S349" s="24"/>
      <c r="T349" s="930"/>
      <c r="U349" s="24"/>
      <c r="V349" s="24"/>
      <c r="W349" s="24"/>
      <c r="X349" s="24"/>
      <c r="Y349" s="24"/>
      <c r="Z349" s="24"/>
      <c r="AA349" s="24"/>
      <c r="AB349" s="24"/>
      <c r="AC349" s="24"/>
      <c r="AD349" s="24"/>
      <c r="AE349" s="24"/>
    </row>
    <row r="350" spans="2:31" s="3" customFormat="1">
      <c r="B350" s="22"/>
      <c r="C350" s="22"/>
      <c r="D350" s="22"/>
      <c r="E350" s="22"/>
      <c r="G350" s="24"/>
      <c r="H350" s="24"/>
      <c r="I350" s="24"/>
      <c r="J350" s="24"/>
      <c r="K350" s="24"/>
      <c r="L350" s="24"/>
      <c r="M350" s="24"/>
      <c r="N350" s="24"/>
      <c r="O350" s="24"/>
      <c r="P350" s="24"/>
      <c r="Q350" s="24"/>
      <c r="R350" s="24"/>
      <c r="S350" s="24"/>
      <c r="T350" s="930"/>
      <c r="U350" s="24"/>
      <c r="V350" s="24"/>
      <c r="W350" s="24"/>
      <c r="X350" s="24"/>
      <c r="Y350" s="24"/>
      <c r="Z350" s="24"/>
      <c r="AA350" s="24"/>
      <c r="AB350" s="24"/>
      <c r="AC350" s="24"/>
      <c r="AD350" s="24"/>
      <c r="AE350" s="24"/>
    </row>
    <row r="351" spans="2:31" s="3" customFormat="1">
      <c r="B351" s="22"/>
      <c r="C351" s="22"/>
      <c r="D351" s="22"/>
      <c r="E351" s="22"/>
      <c r="G351" s="24"/>
      <c r="H351" s="24"/>
      <c r="I351" s="24"/>
      <c r="J351" s="24"/>
      <c r="K351" s="24"/>
      <c r="L351" s="24"/>
      <c r="M351" s="24"/>
      <c r="N351" s="24"/>
      <c r="O351" s="24"/>
      <c r="P351" s="24"/>
      <c r="Q351" s="24"/>
      <c r="R351" s="24"/>
      <c r="S351" s="24"/>
      <c r="T351" s="930"/>
      <c r="U351" s="24"/>
      <c r="V351" s="24"/>
      <c r="W351" s="24"/>
      <c r="X351" s="24"/>
      <c r="Y351" s="24"/>
      <c r="Z351" s="24"/>
      <c r="AA351" s="24"/>
      <c r="AB351" s="24"/>
      <c r="AC351" s="24"/>
      <c r="AD351" s="24"/>
      <c r="AE351" s="24"/>
    </row>
    <row r="352" spans="2:31" s="3" customFormat="1">
      <c r="B352" s="22"/>
      <c r="C352" s="22"/>
      <c r="D352" s="22"/>
      <c r="E352" s="22"/>
      <c r="G352" s="24"/>
      <c r="H352" s="24"/>
      <c r="I352" s="24"/>
      <c r="J352" s="24"/>
      <c r="K352" s="24"/>
      <c r="L352" s="24"/>
      <c r="M352" s="24"/>
      <c r="N352" s="24"/>
      <c r="O352" s="24"/>
      <c r="P352" s="24"/>
      <c r="Q352" s="24"/>
      <c r="R352" s="24"/>
      <c r="S352" s="24"/>
      <c r="T352" s="930"/>
      <c r="U352" s="24"/>
      <c r="V352" s="24"/>
      <c r="W352" s="24"/>
      <c r="X352" s="24"/>
      <c r="Y352" s="24"/>
      <c r="Z352" s="24"/>
      <c r="AA352" s="24"/>
      <c r="AB352" s="24"/>
      <c r="AC352" s="24"/>
      <c r="AD352" s="24"/>
      <c r="AE352" s="24"/>
    </row>
    <row r="353" spans="2:31" s="3" customFormat="1">
      <c r="B353" s="22"/>
      <c r="C353" s="22"/>
      <c r="D353" s="22"/>
      <c r="E353" s="22"/>
      <c r="G353" s="24"/>
      <c r="H353" s="24"/>
      <c r="I353" s="24"/>
      <c r="J353" s="24"/>
      <c r="K353" s="24"/>
      <c r="L353" s="24"/>
      <c r="M353" s="24"/>
      <c r="N353" s="24"/>
      <c r="O353" s="24"/>
      <c r="P353" s="24"/>
      <c r="Q353" s="24"/>
      <c r="R353" s="24"/>
      <c r="S353" s="24"/>
      <c r="T353" s="930"/>
      <c r="U353" s="24"/>
      <c r="V353" s="24"/>
      <c r="W353" s="24"/>
      <c r="X353" s="24"/>
      <c r="Y353" s="24"/>
      <c r="Z353" s="24"/>
      <c r="AA353" s="24"/>
      <c r="AB353" s="24"/>
      <c r="AC353" s="24"/>
      <c r="AD353" s="24"/>
      <c r="AE353" s="24"/>
    </row>
    <row r="354" spans="2:31" s="3" customFormat="1">
      <c r="B354" s="22"/>
      <c r="C354" s="22"/>
      <c r="D354" s="22"/>
      <c r="E354" s="22"/>
      <c r="G354" s="24"/>
      <c r="H354" s="24"/>
      <c r="I354" s="24"/>
      <c r="J354" s="24"/>
      <c r="K354" s="24"/>
      <c r="L354" s="24"/>
      <c r="M354" s="24"/>
      <c r="N354" s="24"/>
      <c r="O354" s="24"/>
      <c r="P354" s="24"/>
      <c r="Q354" s="24"/>
      <c r="R354" s="24"/>
      <c r="S354" s="24"/>
      <c r="T354" s="930"/>
      <c r="U354" s="24"/>
      <c r="V354" s="24"/>
      <c r="W354" s="24"/>
      <c r="X354" s="24"/>
      <c r="Y354" s="24"/>
      <c r="Z354" s="24"/>
      <c r="AA354" s="24"/>
      <c r="AB354" s="24"/>
      <c r="AC354" s="24"/>
      <c r="AD354" s="24"/>
      <c r="AE354" s="24"/>
    </row>
    <row r="355" spans="2:31" s="3" customFormat="1">
      <c r="B355" s="22"/>
      <c r="C355" s="22"/>
      <c r="D355" s="22"/>
      <c r="E355" s="22"/>
      <c r="G355" s="24"/>
      <c r="H355" s="24"/>
      <c r="I355" s="24"/>
      <c r="J355" s="24"/>
      <c r="K355" s="24"/>
      <c r="L355" s="24"/>
      <c r="M355" s="24"/>
      <c r="N355" s="24"/>
      <c r="O355" s="24"/>
      <c r="P355" s="24"/>
      <c r="Q355" s="24"/>
      <c r="R355" s="24"/>
      <c r="S355" s="24"/>
      <c r="T355" s="930"/>
      <c r="U355" s="24"/>
      <c r="V355" s="24"/>
      <c r="W355" s="24"/>
      <c r="X355" s="24"/>
      <c r="Y355" s="24"/>
      <c r="Z355" s="24"/>
      <c r="AA355" s="24"/>
      <c r="AB355" s="24"/>
      <c r="AC355" s="24"/>
      <c r="AD355" s="24"/>
      <c r="AE355" s="24"/>
    </row>
    <row r="356" spans="2:31" s="3" customFormat="1">
      <c r="B356" s="22"/>
      <c r="C356" s="22"/>
      <c r="D356" s="22"/>
      <c r="E356" s="22"/>
      <c r="G356" s="24"/>
      <c r="H356" s="24"/>
      <c r="I356" s="24"/>
      <c r="J356" s="24"/>
      <c r="K356" s="24"/>
      <c r="L356" s="24"/>
      <c r="M356" s="24"/>
      <c r="N356" s="24"/>
      <c r="O356" s="24"/>
      <c r="P356" s="24"/>
      <c r="Q356" s="24"/>
      <c r="R356" s="24"/>
      <c r="S356" s="24"/>
      <c r="T356" s="930"/>
      <c r="U356" s="24"/>
      <c r="V356" s="24"/>
      <c r="W356" s="24"/>
      <c r="X356" s="24"/>
      <c r="Y356" s="24"/>
      <c r="Z356" s="24"/>
      <c r="AA356" s="24"/>
      <c r="AB356" s="24"/>
      <c r="AC356" s="24"/>
      <c r="AD356" s="24"/>
      <c r="AE356" s="24"/>
    </row>
    <row r="357" spans="2:31" s="3" customFormat="1">
      <c r="B357" s="22"/>
      <c r="C357" s="22"/>
      <c r="D357" s="22"/>
      <c r="E357" s="22"/>
      <c r="G357" s="24"/>
      <c r="H357" s="24"/>
      <c r="I357" s="24"/>
      <c r="J357" s="24"/>
      <c r="K357" s="24"/>
      <c r="L357" s="24"/>
      <c r="M357" s="24"/>
      <c r="N357" s="24"/>
      <c r="O357" s="24"/>
      <c r="P357" s="24"/>
      <c r="Q357" s="24"/>
      <c r="R357" s="24"/>
      <c r="S357" s="24"/>
      <c r="T357" s="930"/>
      <c r="U357" s="24"/>
      <c r="V357" s="24"/>
      <c r="W357" s="24"/>
      <c r="X357" s="24"/>
      <c r="Y357" s="24"/>
      <c r="Z357" s="24"/>
      <c r="AA357" s="24"/>
      <c r="AB357" s="24"/>
      <c r="AC357" s="24"/>
      <c r="AD357" s="24"/>
      <c r="AE357" s="24"/>
    </row>
  </sheetData>
  <sheetProtection sheet="1" formatCells="0" formatColumns="0" formatRows="0"/>
  <mergeCells count="6">
    <mergeCell ref="C1:C3"/>
    <mergeCell ref="D1:D3"/>
    <mergeCell ref="E1:E3"/>
    <mergeCell ref="A3:A51"/>
    <mergeCell ref="C30:C32"/>
    <mergeCell ref="C49:E51"/>
  </mergeCells>
  <dataValidations count="7">
    <dataValidation type="whole" allowBlank="1" showInputMessage="1" showErrorMessage="1" sqref="G28" xr:uid="{9DAF572A-B942-2F44-B676-C5832B9B7ACE}">
      <formula1>0</formula1>
      <formula2>20</formula2>
    </dataValidation>
    <dataValidation type="decimal" allowBlank="1" showInputMessage="1" showErrorMessage="1" sqref="G25:S25" xr:uid="{C15BC202-82DA-8541-8845-37EFBCFFE0AA}">
      <formula1>0</formula1>
      <formula2>G24</formula2>
    </dataValidation>
    <dataValidation type="whole" allowBlank="1" showInputMessage="1" showErrorMessage="1" sqref="G29" xr:uid="{1537E528-447E-FF4A-B28A-913C5C0AD3F5}">
      <formula1>0</formula1>
      <formula2>60</formula2>
    </dataValidation>
    <dataValidation type="whole" allowBlank="1" showInputMessage="1" showErrorMessage="1" sqref="G30" xr:uid="{1D23007A-5408-5541-A526-85A39D6F8D84}">
      <formula1>0</formula1>
      <formula2>20000</formula2>
    </dataValidation>
    <dataValidation type="decimal" allowBlank="1" showInputMessage="1" showErrorMessage="1" sqref="G12:S12" xr:uid="{9E2770C2-4C8D-E548-8DF8-56DFAB3DC30F}">
      <formula1>0</formula1>
      <formula2>1100</formula2>
    </dataValidation>
    <dataValidation type="decimal" allowBlank="1" showInputMessage="1" showErrorMessage="1" sqref="G10:G11 H11:S11" xr:uid="{90C08784-8457-3F4A-A48F-4B30BDA66400}">
      <formula1>0</formula1>
      <formula2>1.136</formula2>
    </dataValidation>
    <dataValidation type="list" allowBlank="1" showInputMessage="1" showErrorMessage="1" sqref="G8:S9 T9:AE9" xr:uid="{A9ED2F64-A25B-5742-91AC-F0A3760BF627}">
      <formula1>$AG$8:$AG$10</formula1>
    </dataValidation>
  </dataValidations>
  <pageMargins left="0.35000000000000003" right="0.35000000000000003" top="0.98" bottom="0.25" header="0.31" footer="0.31"/>
  <pageSetup paperSize="9" scale="35" fitToHeight="4" orientation="portrait" horizontalDpi="0" verticalDpi="0"/>
  <headerFooter>
    <oddHeader>&amp;C&amp;"Helvetica,Normal"&amp;14Lønberegning for &amp;A på XX Friskole</oddHeader>
    <oddFooter>&amp;LFriskolernes Kontor&amp;RUdskrevet den &amp;D kl. &amp;T</oddFooter>
  </headerFooter>
  <rowBreaks count="1" manualBreakCount="1">
    <brk id="51" max="16383" man="1"/>
  </rowBreaks>
  <drawing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5318DB92-22A9-9947-916F-27939A8B5D5B}">
          <x14:formula1>
            <xm:f>Grundlon12!$B$124:$B$157</xm:f>
          </x14:formula1>
          <xm:sqref>G5 T13:AE51 T11:AE11 T5:AE8</xm:sqref>
        </x14:dataValidation>
        <x14:dataValidation type="list" allowBlank="1" showInputMessage="1" showErrorMessage="1" xr:uid="{FB673885-AEBD-2D4C-8DAD-16DDD3DC9731}">
          <x14:formula1>
            <xm:f>Grundlon12!$C$124:$C$125</xm:f>
          </x14:formula1>
          <xm:sqref>G13</xm:sqref>
        </x14:dataValidation>
        <x14:dataValidation type="list" allowBlank="1" showInputMessage="1" showErrorMessage="1" xr:uid="{6E7CB380-0A80-2C48-B8A0-D55773FA58CF}">
          <x14:formula1>
            <xm:f>Grundlon12!$D$124:$D$125</xm:f>
          </x14:formula1>
          <xm:sqref>G22</xm:sqref>
        </x14:dataValidation>
        <x14:dataValidation type="list" allowBlank="1" showInputMessage="1" showErrorMessage="1" xr:uid="{15C4DFC3-F00D-FB44-BC09-CFA01D42EE2A}">
          <x14:formula1>
            <xm:f>Grundlon12!$E$124:$E$125</xm:f>
          </x14:formula1>
          <xm:sqref>C23:E23 C45:C46 D14:E19</xm:sqref>
        </x14:dataValidation>
        <x14:dataValidation type="list" allowBlank="1" showInputMessage="1" showErrorMessage="1" xr:uid="{3A200C92-A07C-0640-9113-23A1B29FEFA1}">
          <x14:formula1>
            <xm:f>Grundlon12!$F$124:$F$127</xm:f>
          </x14:formula1>
          <xm:sqref>G34:S34</xm:sqref>
        </x14:dataValidation>
        <x14:dataValidation type="list" allowBlank="1" showInputMessage="1" showErrorMessage="1" xr:uid="{1FDDE6CE-BBE7-7645-AB5F-15169C2014F1}">
          <x14:formula1>
            <xm:f>Grundlon12!A124:A131</xm:f>
          </x14:formula1>
          <xm:sqref>G4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pageSetUpPr fitToPage="1"/>
  </sheetPr>
  <dimension ref="A1:B26"/>
  <sheetViews>
    <sheetView workbookViewId="0">
      <selection activeCell="B3" sqref="B3"/>
    </sheetView>
  </sheetViews>
  <sheetFormatPr baseColWidth="10" defaultColWidth="10.7109375" defaultRowHeight="13"/>
  <cols>
    <col min="1" max="1" width="6" style="101" customWidth="1"/>
    <col min="2" max="2" width="53.5703125" style="99" customWidth="1"/>
    <col min="3" max="16384" width="10.7109375" style="90"/>
  </cols>
  <sheetData>
    <row r="1" spans="1:2">
      <c r="A1" s="98" t="s">
        <v>52</v>
      </c>
    </row>
    <row r="2" spans="1:2" ht="27.75" customHeight="1">
      <c r="A2" s="100">
        <v>1</v>
      </c>
      <c r="B2" s="92" t="s">
        <v>168</v>
      </c>
    </row>
    <row r="3" spans="1:2" ht="63.75" customHeight="1">
      <c r="A3" s="100">
        <v>2</v>
      </c>
      <c r="B3" s="92" t="s">
        <v>64</v>
      </c>
    </row>
    <row r="4" spans="1:2" ht="52.5" customHeight="1">
      <c r="A4" s="100">
        <v>3</v>
      </c>
      <c r="B4" s="92" t="s">
        <v>705</v>
      </c>
    </row>
    <row r="5" spans="1:2">
      <c r="A5" s="98"/>
    </row>
    <row r="6" spans="1:2">
      <c r="A6" s="101" t="s">
        <v>65</v>
      </c>
    </row>
    <row r="7" spans="1:2" ht="24" customHeight="1">
      <c r="A7" s="100">
        <v>4</v>
      </c>
      <c r="B7" s="102" t="s">
        <v>82</v>
      </c>
    </row>
    <row r="8" spans="1:2" ht="27.75" customHeight="1">
      <c r="A8" s="100">
        <v>5</v>
      </c>
      <c r="B8" s="92" t="s">
        <v>222</v>
      </c>
    </row>
    <row r="9" spans="1:2" ht="39" customHeight="1">
      <c r="A9" s="100">
        <v>6</v>
      </c>
      <c r="B9" s="92" t="s">
        <v>169</v>
      </c>
    </row>
    <row r="10" spans="1:2" ht="40.5" customHeight="1">
      <c r="A10" s="100">
        <v>7</v>
      </c>
      <c r="B10" s="92" t="s">
        <v>126</v>
      </c>
    </row>
    <row r="11" spans="1:2" ht="40.5" customHeight="1">
      <c r="A11" s="100">
        <v>8</v>
      </c>
      <c r="B11" s="92" t="s">
        <v>149</v>
      </c>
    </row>
    <row r="12" spans="1:2">
      <c r="A12" s="98"/>
    </row>
    <row r="13" spans="1:2">
      <c r="A13" s="101" t="s">
        <v>66</v>
      </c>
    </row>
    <row r="14" spans="1:2" ht="50" customHeight="1">
      <c r="A14" s="100">
        <v>9</v>
      </c>
      <c r="B14" s="92" t="s">
        <v>115</v>
      </c>
    </row>
    <row r="15" spans="1:2" ht="27.75" customHeight="1">
      <c r="A15" s="100">
        <v>10</v>
      </c>
      <c r="B15" s="92" t="s">
        <v>90</v>
      </c>
    </row>
    <row r="16" spans="1:2" ht="39" customHeight="1">
      <c r="A16" s="100">
        <v>11</v>
      </c>
      <c r="B16" s="92" t="s">
        <v>158</v>
      </c>
    </row>
    <row r="17" spans="1:2">
      <c r="A17" s="98"/>
    </row>
    <row r="18" spans="1:2">
      <c r="A18" s="101" t="s">
        <v>165</v>
      </c>
    </row>
    <row r="19" spans="1:2" ht="39.75" customHeight="1">
      <c r="A19" s="100">
        <v>12</v>
      </c>
      <c r="B19" s="92" t="s">
        <v>706</v>
      </c>
    </row>
    <row r="20" spans="1:2">
      <c r="A20" s="98"/>
    </row>
    <row r="21" spans="1:2">
      <c r="A21" s="101" t="s">
        <v>354</v>
      </c>
    </row>
    <row r="22" spans="1:2" ht="131" customHeight="1">
      <c r="A22" s="100">
        <v>13</v>
      </c>
      <c r="B22" s="92" t="s">
        <v>368</v>
      </c>
    </row>
    <row r="23" spans="1:2">
      <c r="A23" s="98"/>
    </row>
    <row r="24" spans="1:2" ht="20" customHeight="1">
      <c r="B24" s="92"/>
    </row>
    <row r="25" spans="1:2" ht="20" customHeight="1">
      <c r="B25" s="92"/>
    </row>
    <row r="26" spans="1:2" ht="20" customHeight="1">
      <c r="B26" s="92"/>
    </row>
  </sheetData>
  <sheetProtection sheet="1" objects="1" scenarios="1"/>
  <phoneticPr fontId="21" type="noConversion"/>
  <pageMargins left="0.74803149606299213" right="0.15748031496062992" top="0.98425196850393704" bottom="0.19685039370078741" header="0.51181102362204722" footer="0.51181102362204722"/>
  <pageSetup paperSize="9"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25">
    <tabColor theme="5" tint="0.59999389629810485"/>
    <pageSetUpPr fitToPage="1"/>
  </sheetPr>
  <dimension ref="A1:J52"/>
  <sheetViews>
    <sheetView showZeros="0" workbookViewId="0">
      <selection activeCell="E37" sqref="E37"/>
    </sheetView>
  </sheetViews>
  <sheetFormatPr baseColWidth="10" defaultColWidth="11.42578125" defaultRowHeight="14"/>
  <cols>
    <col min="2" max="2" width="38" customWidth="1"/>
    <col min="3" max="3" width="13.5703125" customWidth="1"/>
    <col min="4" max="4" width="10.7109375" customWidth="1"/>
    <col min="9" max="9" width="4.7109375" customWidth="1"/>
    <col min="10" max="10" width="4" customWidth="1"/>
  </cols>
  <sheetData>
    <row r="1" spans="1:10">
      <c r="A1" t="s">
        <v>268</v>
      </c>
      <c r="B1" s="840" t="s">
        <v>628</v>
      </c>
      <c r="C1" t="s">
        <v>277</v>
      </c>
      <c r="D1" s="335" t="s">
        <v>491</v>
      </c>
      <c r="E1" s="335"/>
    </row>
    <row r="2" spans="1:10">
      <c r="A2" t="s">
        <v>270</v>
      </c>
      <c r="B2" s="841" t="s">
        <v>654</v>
      </c>
      <c r="C2" t="s">
        <v>271</v>
      </c>
      <c r="D2" s="335" t="s">
        <v>493</v>
      </c>
      <c r="E2" s="335"/>
    </row>
    <row r="3" spans="1:10">
      <c r="D3" s="335" t="s">
        <v>494</v>
      </c>
      <c r="E3" s="335"/>
    </row>
    <row r="4" spans="1:10" ht="25" customHeight="1">
      <c r="A4">
        <v>1</v>
      </c>
      <c r="B4" s="261" t="s">
        <v>272</v>
      </c>
      <c r="C4" s="262" t="str">
        <f ca="1">INDIRECT($B$1&amp;"!"&amp;VLOOKUP($B$2,lmdr,2,0)&amp;A4)</f>
        <v>Leder</v>
      </c>
      <c r="D4" s="490"/>
      <c r="E4" s="491"/>
    </row>
    <row r="5" spans="1:10" ht="15">
      <c r="A5">
        <v>2</v>
      </c>
      <c r="B5" s="263" t="s">
        <v>273</v>
      </c>
      <c r="C5" s="264" t="str">
        <f ca="1">INDIRECT($B$1&amp;"!"&amp;VLOOKUP($B$2,lmdr,2,0)&amp;A5)</f>
        <v>AUG 25</v>
      </c>
      <c r="D5" s="492"/>
      <c r="E5" s="493"/>
      <c r="I5" s="571" t="s">
        <v>278</v>
      </c>
      <c r="J5" s="572" t="s">
        <v>293</v>
      </c>
    </row>
    <row r="6" spans="1:10" ht="15">
      <c r="A6">
        <v>3</v>
      </c>
      <c r="B6" s="265" t="s">
        <v>274</v>
      </c>
      <c r="C6" s="266">
        <f ca="1">INDIRECT($B$1&amp;"!"&amp;VLOOKUP($B$2,lmdr,2,0)&amp;A6)</f>
        <v>1</v>
      </c>
      <c r="D6" s="490"/>
      <c r="E6" s="491"/>
      <c r="I6" s="573" t="s">
        <v>292</v>
      </c>
      <c r="J6" s="574" t="s">
        <v>264</v>
      </c>
    </row>
    <row r="7" spans="1:10" ht="15">
      <c r="A7">
        <v>3</v>
      </c>
      <c r="B7" s="263" t="s">
        <v>275</v>
      </c>
      <c r="C7" s="267">
        <f ca="1">INDIRECT($B$1&amp;"!"&amp;VLOOKUP($B$2,lmdr,2,0)&amp;A7)</f>
        <v>1</v>
      </c>
      <c r="D7" s="492"/>
      <c r="E7" s="493"/>
      <c r="I7" s="573" t="s">
        <v>294</v>
      </c>
      <c r="J7" s="574" t="s">
        <v>465</v>
      </c>
    </row>
    <row r="8" spans="1:10" ht="15">
      <c r="A8">
        <v>4</v>
      </c>
      <c r="B8" s="265" t="s">
        <v>328</v>
      </c>
      <c r="C8" s="497">
        <f ca="1">INDIRECT($B$1&amp;"!"&amp;VLOOKUP($B$2,lmdr,2,0)&amp;A8)</f>
        <v>0</v>
      </c>
      <c r="D8" s="492"/>
      <c r="E8" s="493"/>
      <c r="I8" s="573" t="s">
        <v>296</v>
      </c>
      <c r="J8" s="574" t="s">
        <v>466</v>
      </c>
    </row>
    <row r="9" spans="1:10" ht="16">
      <c r="A9">
        <v>7</v>
      </c>
      <c r="B9" s="499" t="s">
        <v>429</v>
      </c>
      <c r="C9" s="498" t="str">
        <f ca="1">IF(LEFT(INDIRECT($B$1&amp;"!E7"))="L","LP","Tjm., trin "&amp;RIGHT(INDIRECT($B$1&amp;"!E7"),2))</f>
        <v xml:space="preserve">Tjm., trin </v>
      </c>
      <c r="D9" s="490"/>
      <c r="E9" s="491"/>
      <c r="G9" s="570"/>
      <c r="I9" s="573" t="s">
        <v>298</v>
      </c>
      <c r="J9" s="574" t="s">
        <v>467</v>
      </c>
    </row>
    <row r="10" spans="1:10" ht="15">
      <c r="A10" s="268">
        <v>34</v>
      </c>
      <c r="B10" s="269" t="str">
        <f t="shared" ref="B10:B13" ca="1" si="0">IF(C10&lt;&gt;0,INDIRECT($B$1&amp;"!b"&amp;A10),"")</f>
        <v/>
      </c>
      <c r="C10" s="270">
        <f t="shared" ref="C10:C47" ca="1" si="1">INDIRECT($B$1&amp;"!"&amp;VLOOKUP($B$2,lmdr,2,0)&amp;A10)</f>
        <v>0</v>
      </c>
      <c r="D10" s="818"/>
      <c r="E10" s="819"/>
      <c r="G10" s="570"/>
      <c r="I10" s="573"/>
      <c r="J10" s="574"/>
    </row>
    <row r="11" spans="1:10" ht="15">
      <c r="A11" s="268">
        <f>A10+1</f>
        <v>35</v>
      </c>
      <c r="B11" s="280" t="str">
        <f t="shared" ca="1" si="0"/>
        <v/>
      </c>
      <c r="C11" s="281">
        <f t="shared" ca="1" si="1"/>
        <v>0</v>
      </c>
      <c r="D11" s="818"/>
      <c r="E11" s="819"/>
      <c r="G11" s="570"/>
      <c r="I11" s="573"/>
      <c r="J11" s="574"/>
    </row>
    <row r="12" spans="1:10" ht="15">
      <c r="A12" s="268">
        <f t="shared" ref="A12:A45" si="2">A11+1</f>
        <v>36</v>
      </c>
      <c r="B12" s="269" t="str">
        <f t="shared" ca="1" si="0"/>
        <v/>
      </c>
      <c r="C12" s="270">
        <f t="shared" ca="1" si="1"/>
        <v>0</v>
      </c>
      <c r="D12" s="492"/>
      <c r="E12" s="493"/>
      <c r="I12" s="573" t="s">
        <v>300</v>
      </c>
      <c r="J12" s="574" t="s">
        <v>468</v>
      </c>
    </row>
    <row r="13" spans="1:10" ht="15">
      <c r="A13" s="268">
        <f t="shared" si="2"/>
        <v>37</v>
      </c>
      <c r="B13" s="280" t="str">
        <f t="shared" ca="1" si="0"/>
        <v/>
      </c>
      <c r="C13" s="281">
        <f t="shared" ca="1" si="1"/>
        <v>0</v>
      </c>
      <c r="D13" s="492"/>
      <c r="E13" s="493"/>
      <c r="I13" s="573"/>
      <c r="J13" s="574"/>
    </row>
    <row r="14" spans="1:10" ht="15">
      <c r="A14" s="268">
        <f t="shared" si="2"/>
        <v>38</v>
      </c>
      <c r="B14" s="269" t="str">
        <f ca="1">IF(C14&lt;&gt;0,INDIRECT($B$1&amp;"!b"&amp;A14),"")</f>
        <v/>
      </c>
      <c r="C14" s="270">
        <f t="shared" ca="1" si="1"/>
        <v>0</v>
      </c>
      <c r="D14" s="490"/>
      <c r="E14" s="491"/>
      <c r="I14" s="573" t="s">
        <v>302</v>
      </c>
      <c r="J14" s="574" t="s">
        <v>469</v>
      </c>
    </row>
    <row r="15" spans="1:10" ht="15">
      <c r="A15" s="268">
        <f t="shared" si="2"/>
        <v>39</v>
      </c>
      <c r="B15" s="280" t="str">
        <f t="shared" ref="B15:B47" ca="1" si="3">IF(C15&lt;&gt;0,INDIRECT($B$1&amp;"!b"&amp;A15),"")</f>
        <v/>
      </c>
      <c r="C15" s="281">
        <f t="shared" ca="1" si="1"/>
        <v>0</v>
      </c>
      <c r="D15" s="492"/>
      <c r="E15" s="493"/>
      <c r="I15" s="573" t="s">
        <v>304</v>
      </c>
      <c r="J15" s="574" t="s">
        <v>265</v>
      </c>
    </row>
    <row r="16" spans="1:10" ht="15">
      <c r="A16" s="268">
        <f t="shared" si="2"/>
        <v>40</v>
      </c>
      <c r="B16" s="269" t="str">
        <f t="shared" ca="1" si="3"/>
        <v/>
      </c>
      <c r="C16" s="270">
        <f t="shared" ca="1" si="1"/>
        <v>0</v>
      </c>
      <c r="D16" s="490"/>
      <c r="E16" s="491"/>
      <c r="I16" s="573" t="s">
        <v>306</v>
      </c>
      <c r="J16" s="574" t="s">
        <v>470</v>
      </c>
    </row>
    <row r="17" spans="1:10" ht="15">
      <c r="A17" s="268">
        <f t="shared" si="2"/>
        <v>41</v>
      </c>
      <c r="B17" s="280" t="str">
        <f t="shared" ca="1" si="3"/>
        <v/>
      </c>
      <c r="C17" s="281">
        <f t="shared" ca="1" si="1"/>
        <v>0</v>
      </c>
      <c r="D17" s="492"/>
      <c r="E17" s="493"/>
      <c r="I17" s="573" t="s">
        <v>308</v>
      </c>
      <c r="J17" s="574" t="s">
        <v>471</v>
      </c>
    </row>
    <row r="18" spans="1:10" ht="15">
      <c r="A18" s="268">
        <f t="shared" si="2"/>
        <v>42</v>
      </c>
      <c r="B18" s="1139" t="str">
        <f t="shared" ca="1" si="3"/>
        <v/>
      </c>
      <c r="C18" s="1140">
        <f t="shared" ca="1" si="1"/>
        <v>0</v>
      </c>
      <c r="D18" s="490"/>
      <c r="E18" s="491"/>
      <c r="I18" s="573" t="s">
        <v>310</v>
      </c>
      <c r="J18" s="574" t="s">
        <v>472</v>
      </c>
    </row>
    <row r="19" spans="1:10" ht="15">
      <c r="A19" s="268">
        <f t="shared" si="2"/>
        <v>43</v>
      </c>
      <c r="B19" s="1141" t="str">
        <f t="shared" ca="1" si="3"/>
        <v/>
      </c>
      <c r="C19" s="1142">
        <f t="shared" ca="1" si="1"/>
        <v>0</v>
      </c>
      <c r="D19" s="492"/>
      <c r="E19" s="493"/>
      <c r="I19" s="575" t="s">
        <v>312</v>
      </c>
      <c r="J19" s="576" t="s">
        <v>473</v>
      </c>
    </row>
    <row r="20" spans="1:10" ht="15">
      <c r="A20" s="268">
        <f t="shared" si="2"/>
        <v>44</v>
      </c>
      <c r="B20" s="269" t="str">
        <f t="shared" ca="1" si="3"/>
        <v/>
      </c>
      <c r="C20" s="270">
        <f t="shared" ca="1" si="1"/>
        <v>0</v>
      </c>
      <c r="D20" s="490"/>
      <c r="E20" s="491"/>
    </row>
    <row r="21" spans="1:10" ht="15">
      <c r="A21" s="268">
        <f t="shared" si="2"/>
        <v>45</v>
      </c>
      <c r="B21" s="280" t="str">
        <f t="shared" ca="1" si="3"/>
        <v/>
      </c>
      <c r="C21" s="281">
        <f t="shared" ca="1" si="1"/>
        <v>0</v>
      </c>
      <c r="D21" s="492"/>
      <c r="E21" s="493"/>
    </row>
    <row r="22" spans="1:10" ht="15">
      <c r="A22" s="268">
        <f t="shared" si="2"/>
        <v>46</v>
      </c>
      <c r="B22" s="269" t="str">
        <f ca="1">IF(C22&lt;&gt;0,INDIRECT($B$1&amp;"!b"&amp;A22),"")</f>
        <v/>
      </c>
      <c r="C22" s="270">
        <f ca="1">INDIRECT($B$1&amp;"!"&amp;VLOOKUP($B$2,lmdr,2,0)&amp;A22)</f>
        <v>0</v>
      </c>
      <c r="D22" s="492"/>
      <c r="E22" s="493"/>
    </row>
    <row r="23" spans="1:10" ht="15">
      <c r="A23" s="268">
        <f t="shared" si="2"/>
        <v>47</v>
      </c>
      <c r="B23" s="1141" t="str">
        <f t="shared" ca="1" si="3"/>
        <v/>
      </c>
      <c r="C23" s="1142">
        <f t="shared" ca="1" si="1"/>
        <v>0</v>
      </c>
      <c r="D23" s="490"/>
      <c r="E23" s="491"/>
    </row>
    <row r="24" spans="1:10" ht="15">
      <c r="A24" s="268">
        <f t="shared" si="2"/>
        <v>48</v>
      </c>
      <c r="B24" s="1137" t="str">
        <f t="shared" ca="1" si="3"/>
        <v/>
      </c>
      <c r="C24" s="1138">
        <f t="shared" ca="1" si="1"/>
        <v>0</v>
      </c>
      <c r="D24" s="492"/>
      <c r="E24" s="493"/>
    </row>
    <row r="25" spans="1:10" ht="15">
      <c r="A25" s="268">
        <f t="shared" si="2"/>
        <v>49</v>
      </c>
      <c r="B25" s="1145" t="str">
        <f t="shared" ca="1" si="3"/>
        <v/>
      </c>
      <c r="C25" s="1146">
        <f t="shared" ca="1" si="1"/>
        <v>0</v>
      </c>
      <c r="D25" s="490"/>
      <c r="E25" s="491"/>
    </row>
    <row r="26" spans="1:10" ht="15">
      <c r="A26" s="268">
        <f t="shared" si="2"/>
        <v>50</v>
      </c>
      <c r="B26" s="271" t="str">
        <f t="shared" ca="1" si="3"/>
        <v/>
      </c>
      <c r="C26" s="272">
        <f t="shared" ca="1" si="1"/>
        <v>0</v>
      </c>
      <c r="D26" s="492"/>
      <c r="E26" s="493"/>
    </row>
    <row r="27" spans="1:10" ht="15">
      <c r="A27" s="268">
        <f t="shared" si="2"/>
        <v>51</v>
      </c>
      <c r="B27" s="273" t="str">
        <f t="shared" ca="1" si="3"/>
        <v/>
      </c>
      <c r="C27" s="274">
        <f t="shared" ca="1" si="1"/>
        <v>0</v>
      </c>
      <c r="D27" s="490"/>
      <c r="E27" s="491"/>
    </row>
    <row r="28" spans="1:10" ht="15">
      <c r="A28" s="268">
        <f t="shared" si="2"/>
        <v>52</v>
      </c>
      <c r="B28" s="271" t="str">
        <f t="shared" ca="1" si="3"/>
        <v/>
      </c>
      <c r="C28" s="272">
        <f t="shared" ca="1" si="1"/>
        <v>0</v>
      </c>
      <c r="D28" s="492"/>
      <c r="E28" s="493"/>
    </row>
    <row r="29" spans="1:10" ht="15">
      <c r="A29" s="268">
        <f t="shared" si="2"/>
        <v>53</v>
      </c>
      <c r="B29" s="1145" t="str">
        <f t="shared" ca="1" si="3"/>
        <v/>
      </c>
      <c r="C29" s="1146">
        <f t="shared" ca="1" si="1"/>
        <v>0</v>
      </c>
      <c r="D29" s="490"/>
      <c r="E29" s="491"/>
    </row>
    <row r="30" spans="1:10" ht="15">
      <c r="A30" s="268">
        <f t="shared" si="2"/>
        <v>54</v>
      </c>
      <c r="B30" s="1150" t="str">
        <f t="shared" ca="1" si="3"/>
        <v/>
      </c>
      <c r="C30" s="1151">
        <f t="shared" ca="1" si="1"/>
        <v>0</v>
      </c>
      <c r="D30" s="492"/>
      <c r="E30" s="493"/>
    </row>
    <row r="31" spans="1:10" ht="15">
      <c r="A31" s="268">
        <f>A30+1</f>
        <v>55</v>
      </c>
      <c r="B31" s="1002" t="str">
        <f t="shared" ca="1" si="3"/>
        <v/>
      </c>
      <c r="C31" s="1135">
        <f t="shared" ca="1" si="1"/>
        <v>0</v>
      </c>
      <c r="D31" s="490"/>
      <c r="E31" s="491"/>
    </row>
    <row r="32" spans="1:10" ht="15">
      <c r="A32" s="268">
        <f t="shared" si="2"/>
        <v>56</v>
      </c>
      <c r="B32" s="275" t="str">
        <f t="shared" ca="1" si="3"/>
        <v/>
      </c>
      <c r="C32" s="1136">
        <f t="shared" ca="1" si="1"/>
        <v>0</v>
      </c>
      <c r="D32" s="818"/>
      <c r="E32" s="819"/>
    </row>
    <row r="33" spans="1:5" ht="15">
      <c r="A33" s="268">
        <f t="shared" si="2"/>
        <v>57</v>
      </c>
      <c r="B33" s="277" t="str">
        <f t="shared" ca="1" si="3"/>
        <v/>
      </c>
      <c r="C33" s="278">
        <f t="shared" ca="1" si="1"/>
        <v>0</v>
      </c>
      <c r="D33" s="818"/>
      <c r="E33" s="819"/>
    </row>
    <row r="34" spans="1:5" ht="15">
      <c r="A34" s="268">
        <v>17</v>
      </c>
      <c r="B34" s="275" t="str">
        <f t="shared" ref="B34:B35" ca="1" si="4">IF(C34&lt;&gt;0,INDIRECT($B$1&amp;"!b"&amp;A34),"")</f>
        <v/>
      </c>
      <c r="C34" s="1003">
        <f t="shared" ref="C34:C35" ca="1" si="5">INDIRECT($B$1&amp;"!"&amp;VLOOKUP($B$2,lmdr,2,0)&amp;A34)</f>
        <v>0</v>
      </c>
      <c r="D34" s="818"/>
      <c r="E34" s="819"/>
    </row>
    <row r="35" spans="1:5" ht="15">
      <c r="A35" s="268">
        <v>18</v>
      </c>
      <c r="B35" s="277" t="str">
        <f t="shared" ca="1" si="4"/>
        <v/>
      </c>
      <c r="C35" s="1134">
        <f t="shared" ca="1" si="5"/>
        <v>0</v>
      </c>
      <c r="D35" s="818"/>
      <c r="E35" s="819"/>
    </row>
    <row r="36" spans="1:5" ht="15">
      <c r="A36" s="268">
        <f>A33+1</f>
        <v>58</v>
      </c>
      <c r="B36" s="275" t="str">
        <f t="shared" ca="1" si="3"/>
        <v/>
      </c>
      <c r="C36" s="276">
        <f t="shared" ca="1" si="1"/>
        <v>0</v>
      </c>
      <c r="D36" s="818"/>
      <c r="E36" s="819"/>
    </row>
    <row r="37" spans="1:5" ht="15">
      <c r="A37" s="268">
        <f t="shared" si="2"/>
        <v>59</v>
      </c>
      <c r="B37" s="277" t="str">
        <f t="shared" ca="1" si="3"/>
        <v/>
      </c>
      <c r="C37" s="278">
        <f t="shared" ca="1" si="1"/>
        <v>0</v>
      </c>
      <c r="D37" s="818"/>
      <c r="E37" s="819"/>
    </row>
    <row r="38" spans="1:5" ht="15">
      <c r="A38" s="268">
        <v>62</v>
      </c>
      <c r="B38" s="277"/>
      <c r="C38" s="278"/>
      <c r="D38" s="492"/>
      <c r="E38" s="493"/>
    </row>
    <row r="39" spans="1:5">
      <c r="A39" s="268">
        <f t="shared" si="2"/>
        <v>63</v>
      </c>
      <c r="B39" s="283" t="str">
        <f t="shared" ca="1" si="3"/>
        <v/>
      </c>
      <c r="C39" s="718">
        <f t="shared" ca="1" si="1"/>
        <v>0</v>
      </c>
      <c r="D39" s="490"/>
      <c r="E39" s="491"/>
    </row>
    <row r="40" spans="1:5">
      <c r="A40" s="268">
        <f t="shared" si="2"/>
        <v>64</v>
      </c>
      <c r="B40" s="282" t="str">
        <f t="shared" ca="1" si="3"/>
        <v/>
      </c>
      <c r="C40" s="817">
        <f t="shared" ca="1" si="1"/>
        <v>0</v>
      </c>
      <c r="D40" s="492"/>
      <c r="E40" s="493"/>
    </row>
    <row r="41" spans="1:5" ht="15">
      <c r="A41" s="268">
        <f t="shared" si="2"/>
        <v>65</v>
      </c>
      <c r="B41" s="275" t="str">
        <f t="shared" ca="1" si="3"/>
        <v/>
      </c>
      <c r="C41" s="276">
        <f t="shared" ca="1" si="1"/>
        <v>0</v>
      </c>
      <c r="D41" s="490"/>
      <c r="E41" s="491"/>
    </row>
    <row r="42" spans="1:5" ht="15">
      <c r="A42" s="268">
        <f t="shared" si="2"/>
        <v>66</v>
      </c>
      <c r="B42" s="277" t="str">
        <f t="shared" ca="1" si="3"/>
        <v/>
      </c>
      <c r="C42" s="278">
        <f t="shared" ca="1" si="1"/>
        <v>0</v>
      </c>
      <c r="D42" s="492"/>
      <c r="E42" s="493"/>
    </row>
    <row r="43" spans="1:5" ht="15">
      <c r="A43" s="268">
        <f t="shared" si="2"/>
        <v>67</v>
      </c>
      <c r="B43" s="275" t="str">
        <f t="shared" ca="1" si="3"/>
        <v/>
      </c>
      <c r="C43" s="276">
        <f t="shared" ca="1" si="1"/>
        <v>0</v>
      </c>
      <c r="D43" s="492"/>
      <c r="E43" s="493"/>
    </row>
    <row r="44" spans="1:5" ht="15">
      <c r="A44" s="268">
        <f t="shared" si="2"/>
        <v>68</v>
      </c>
      <c r="B44" s="277" t="str">
        <f t="shared" ca="1" si="3"/>
        <v/>
      </c>
      <c r="C44" s="278">
        <f t="shared" ca="1" si="1"/>
        <v>0</v>
      </c>
      <c r="D44" s="492"/>
      <c r="E44" s="493"/>
    </row>
    <row r="45" spans="1:5" ht="15">
      <c r="A45" s="268">
        <f t="shared" si="2"/>
        <v>69</v>
      </c>
      <c r="B45" s="275" t="str">
        <f t="shared" ca="1" si="3"/>
        <v/>
      </c>
      <c r="C45" s="276">
        <f t="shared" ca="1" si="1"/>
        <v>0</v>
      </c>
      <c r="D45" s="492"/>
      <c r="E45" s="493"/>
    </row>
    <row r="46" spans="1:5" ht="15">
      <c r="A46" s="268">
        <v>29</v>
      </c>
      <c r="B46" s="277" t="str">
        <f ca="1">IF(C46&lt;&gt;0,INDIRECT($B$1&amp;"!b"&amp;A46),"")</f>
        <v/>
      </c>
      <c r="C46" s="278">
        <f ca="1">INDIRECT($B$1&amp;"!"&amp;VLOOKUP($B$2,lmdr,2,0)&amp;A46)</f>
        <v>0</v>
      </c>
      <c r="D46" s="492"/>
      <c r="E46" s="493"/>
    </row>
    <row r="47" spans="1:5" ht="15">
      <c r="A47" s="268">
        <v>30</v>
      </c>
      <c r="B47" s="275" t="str">
        <f t="shared" ca="1" si="3"/>
        <v/>
      </c>
      <c r="C47" s="276">
        <f t="shared" ca="1" si="1"/>
        <v>0</v>
      </c>
      <c r="D47" s="492"/>
      <c r="E47" s="493"/>
    </row>
    <row r="48" spans="1:5" ht="15">
      <c r="A48" s="268">
        <v>31</v>
      </c>
      <c r="B48" s="277" t="str">
        <f ca="1">IF(C48&lt;&gt;0,INDIRECT($B$1&amp;"!b"&amp;A48),"")</f>
        <v/>
      </c>
      <c r="C48" s="278">
        <f ca="1">INDIRECT($B$1&amp;"!"&amp;VLOOKUP($B$2,lmdr,2,0)&amp;A48)</f>
        <v>0</v>
      </c>
      <c r="D48" s="492"/>
      <c r="E48" s="493"/>
    </row>
    <row r="49" spans="1:5" ht="15">
      <c r="A49" s="268">
        <v>32</v>
      </c>
      <c r="B49" s="275" t="str">
        <f ca="1">IF(C49&lt;&gt;0,INDIRECT($B$1&amp;"!b"&amp;A49),"")</f>
        <v/>
      </c>
      <c r="C49" s="276">
        <f ca="1">INDIRECT($B$1&amp;"!"&amp;VLOOKUP($B$2,lmdr,2,0)&amp;A49)</f>
        <v>0</v>
      </c>
      <c r="D49" s="492"/>
      <c r="E49" s="493"/>
    </row>
    <row r="50" spans="1:5" ht="15">
      <c r="A50" s="268">
        <v>70</v>
      </c>
      <c r="B50" s="976" t="str">
        <f t="shared" ref="B50" ca="1" si="6">IF(C50&lt;&gt;0,INDIRECT($B$1&amp;"!b"&amp;A50),"")</f>
        <v/>
      </c>
      <c r="C50" s="977">
        <f t="shared" ref="C50" ca="1" si="7">INDIRECT($B$1&amp;"!"&amp;VLOOKUP($B$2,lmdr,2,0)&amp;A50)</f>
        <v>0</v>
      </c>
      <c r="D50" s="494"/>
      <c r="E50" s="491"/>
    </row>
    <row r="51" spans="1:5">
      <c r="A51" s="492"/>
      <c r="B51" s="492"/>
      <c r="C51" s="492"/>
      <c r="D51" s="495"/>
      <c r="E51" s="493"/>
    </row>
    <row r="52" spans="1:5">
      <c r="A52" s="490"/>
      <c r="B52" s="490"/>
      <c r="C52" s="490"/>
      <c r="D52" s="494"/>
      <c r="E52" s="491"/>
    </row>
  </sheetData>
  <sheetProtection sheet="1" formatCells="0" formatColumns="0" formatRows="0"/>
  <printOptions horizontalCentered="1" verticalCentered="1"/>
  <pageMargins left="0.75000000000000011" right="0.75000000000000011" top="1" bottom="1" header="0.5" footer="0.5"/>
  <pageSetup paperSize="9" orientation="portrait" horizontalDpi="0" verticalDpi="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26">
    <tabColor rgb="FFFFFF00"/>
    <pageSetUpPr fitToPage="1"/>
  </sheetPr>
  <dimension ref="A1:W264"/>
  <sheetViews>
    <sheetView zoomScale="138" workbookViewId="0">
      <pane xSplit="3" ySplit="2" topLeftCell="D46" activePane="bottomRight" state="frozen"/>
      <selection activeCell="I69" sqref="D69:I69"/>
      <selection pane="topRight" activeCell="I69" sqref="D69:I69"/>
      <selection pane="bottomLeft" activeCell="I69" sqref="D69:I69"/>
      <selection pane="bottomRight" activeCell="M4" sqref="M4"/>
    </sheetView>
  </sheetViews>
  <sheetFormatPr baseColWidth="10" defaultColWidth="20.85546875" defaultRowHeight="13"/>
  <cols>
    <col min="1" max="1" width="3.5703125" style="22" customWidth="1"/>
    <col min="2" max="2" width="32.42578125" style="3" customWidth="1"/>
    <col min="3" max="3" width="6.85546875" style="3" customWidth="1"/>
    <col min="4" max="4" width="6.42578125" style="3" customWidth="1"/>
    <col min="5" max="5" width="13.85546875" style="24" customWidth="1"/>
    <col min="6" max="9" width="12.140625" style="24" bestFit="1" customWidth="1"/>
    <col min="10" max="10" width="12.85546875" style="24" customWidth="1"/>
    <col min="11" max="13" width="12.140625" style="24" bestFit="1" customWidth="1"/>
    <col min="14" max="16" width="12" style="24" customWidth="1"/>
    <col min="17" max="17" width="44.85546875" style="3" customWidth="1"/>
    <col min="18" max="18" width="9.7109375" style="3" customWidth="1"/>
    <col min="19" max="19" width="10.140625" style="3" customWidth="1"/>
    <col min="20" max="23" width="8.7109375" style="3" customWidth="1"/>
    <col min="24" max="16384" width="20.85546875" style="83"/>
  </cols>
  <sheetData>
    <row r="1" spans="1:23" ht="27" customHeight="1">
      <c r="A1" s="1">
        <v>1</v>
      </c>
      <c r="B1" s="970" t="s">
        <v>595</v>
      </c>
      <c r="C1" s="972" t="str">
        <f>A!A1</f>
        <v>2024/2025</v>
      </c>
      <c r="D1" s="973"/>
      <c r="E1" s="833" t="s">
        <v>628</v>
      </c>
      <c r="F1" s="77" t="str">
        <f>E1</f>
        <v>Leder</v>
      </c>
      <c r="G1" s="77" t="str">
        <f t="shared" ref="G1:P1" si="0">F1</f>
        <v>Leder</v>
      </c>
      <c r="H1" s="77" t="str">
        <f t="shared" si="0"/>
        <v>Leder</v>
      </c>
      <c r="I1" s="77" t="str">
        <f t="shared" si="0"/>
        <v>Leder</v>
      </c>
      <c r="J1" s="77" t="str">
        <f t="shared" si="0"/>
        <v>Leder</v>
      </c>
      <c r="K1" s="77" t="str">
        <f t="shared" si="0"/>
        <v>Leder</v>
      </c>
      <c r="L1" s="77" t="str">
        <f t="shared" si="0"/>
        <v>Leder</v>
      </c>
      <c r="M1" s="77" t="str">
        <f t="shared" si="0"/>
        <v>Leder</v>
      </c>
      <c r="N1" s="77" t="str">
        <f t="shared" si="0"/>
        <v>Leder</v>
      </c>
      <c r="O1" s="77" t="str">
        <f t="shared" si="0"/>
        <v>Leder</v>
      </c>
      <c r="P1" s="77" t="str">
        <f t="shared" si="0"/>
        <v>Leder</v>
      </c>
      <c r="Q1" s="3" t="s">
        <v>185</v>
      </c>
      <c r="R1" s="86"/>
      <c r="S1" s="86"/>
      <c r="T1" s="86"/>
      <c r="U1" s="86"/>
      <c r="V1" s="86"/>
      <c r="W1" s="86"/>
    </row>
    <row r="2" spans="1:23" ht="14" customHeight="1">
      <c r="A2" s="4">
        <f t="shared" ref="A2:A66" si="1">A1+1</f>
        <v>2</v>
      </c>
      <c r="B2" s="971" t="s">
        <v>36</v>
      </c>
      <c r="C2" s="1198"/>
      <c r="D2" s="1199"/>
      <c r="E2" s="859" t="str">
        <f>"AUG "&amp;MID($C$1,3,2)+1</f>
        <v>AUG 25</v>
      </c>
      <c r="F2" s="860" t="str">
        <f>"SEP "&amp;MID($C$1,3,2)+1</f>
        <v>SEP 25</v>
      </c>
      <c r="G2" s="860" t="str">
        <f>"OKT "&amp;MID($C$1,3,2)+1</f>
        <v>OKT 25</v>
      </c>
      <c r="H2" s="860" t="str">
        <f>"NOV "&amp;MID($C$1,3,2)+1</f>
        <v>NOV 25</v>
      </c>
      <c r="I2" s="860" t="str">
        <f>"DEC "&amp;MID($C$1,3,2)+1</f>
        <v>DEC 25</v>
      </c>
      <c r="J2" s="860" t="str">
        <f>"JAN "&amp;MID($C$1,3,2)+2</f>
        <v>JAN 26</v>
      </c>
      <c r="K2" s="860" t="str">
        <f>"FEB "&amp;MID($C$1,3,2)+2</f>
        <v>FEB 26</v>
      </c>
      <c r="L2" s="860" t="str">
        <f>"MAR "&amp;MID($C$1,3,2)+2</f>
        <v>MAR 26</v>
      </c>
      <c r="M2" s="860" t="str">
        <f>"APR "&amp;MID($C$1,3,2)+2</f>
        <v>APR 26</v>
      </c>
      <c r="N2" s="860" t="str">
        <f>"MAJ "&amp;MID($C$1,3,2)+2</f>
        <v>MAJ 26</v>
      </c>
      <c r="O2" s="860" t="str">
        <f>"JUN "&amp;MID($C$1,3,2)+2</f>
        <v>JUN 26</v>
      </c>
      <c r="P2" s="860" t="str">
        <f>"JUL "&amp;MID($C$1,3,2)+2</f>
        <v>JUL 26</v>
      </c>
      <c r="Q2" s="254" t="s">
        <v>164</v>
      </c>
      <c r="R2" s="86"/>
      <c r="S2" s="86"/>
      <c r="T2" s="86"/>
      <c r="U2" s="86"/>
      <c r="V2" s="86"/>
      <c r="W2" s="86"/>
    </row>
    <row r="3" spans="1:23" ht="27" customHeight="1">
      <c r="A3" s="398">
        <f t="shared" si="1"/>
        <v>3</v>
      </c>
      <c r="B3" s="1200" t="s">
        <v>37</v>
      </c>
      <c r="C3" s="1200"/>
      <c r="D3" s="1200"/>
      <c r="E3" s="658">
        <v>1</v>
      </c>
      <c r="F3" s="659">
        <v>1</v>
      </c>
      <c r="G3" s="660">
        <v>1</v>
      </c>
      <c r="H3" s="659">
        <v>1</v>
      </c>
      <c r="I3" s="660">
        <v>1</v>
      </c>
      <c r="J3" s="660">
        <v>1</v>
      </c>
      <c r="K3" s="752">
        <v>1</v>
      </c>
      <c r="L3" s="660">
        <v>1</v>
      </c>
      <c r="M3" s="659">
        <v>1</v>
      </c>
      <c r="N3" s="660">
        <v>1</v>
      </c>
      <c r="O3" s="659">
        <v>1</v>
      </c>
      <c r="P3" s="660">
        <v>1</v>
      </c>
      <c r="Q3" s="6" t="s">
        <v>369</v>
      </c>
      <c r="R3" s="86" t="s">
        <v>641</v>
      </c>
      <c r="S3" s="86"/>
      <c r="T3" s="86"/>
      <c r="U3" s="86"/>
      <c r="V3" s="86"/>
      <c r="W3" s="86"/>
    </row>
    <row r="4" spans="1:23" ht="14" customHeight="1">
      <c r="A4" s="398">
        <f t="shared" si="1"/>
        <v>4</v>
      </c>
      <c r="B4" s="1201" t="s">
        <v>327</v>
      </c>
      <c r="C4" s="1201"/>
      <c r="D4" s="1201"/>
      <c r="E4" s="345"/>
      <c r="F4" s="327">
        <f>E4</f>
        <v>0</v>
      </c>
      <c r="G4" s="327">
        <f t="shared" ref="G4:P8" si="2">F4</f>
        <v>0</v>
      </c>
      <c r="H4" s="327">
        <f t="shared" si="2"/>
        <v>0</v>
      </c>
      <c r="I4" s="327">
        <f t="shared" si="2"/>
        <v>0</v>
      </c>
      <c r="J4" s="327">
        <f t="shared" si="2"/>
        <v>0</v>
      </c>
      <c r="K4" s="327">
        <f t="shared" si="2"/>
        <v>0</v>
      </c>
      <c r="L4" s="327">
        <f t="shared" si="2"/>
        <v>0</v>
      </c>
      <c r="M4" s="1165">
        <f>L4</f>
        <v>0</v>
      </c>
      <c r="N4" s="241">
        <f t="shared" si="2"/>
        <v>0</v>
      </c>
      <c r="O4" s="241">
        <f t="shared" si="2"/>
        <v>0</v>
      </c>
      <c r="P4" s="241">
        <f t="shared" si="2"/>
        <v>0</v>
      </c>
      <c r="Q4" s="259" t="s">
        <v>12</v>
      </c>
      <c r="R4" s="86"/>
      <c r="S4" s="86"/>
      <c r="T4" s="86"/>
      <c r="U4" s="86"/>
      <c r="V4" s="86"/>
      <c r="W4" s="86"/>
    </row>
    <row r="5" spans="1:23" ht="28" hidden="1" customHeight="1">
      <c r="A5" s="398">
        <f t="shared" si="1"/>
        <v>5</v>
      </c>
      <c r="B5" s="1204" t="s">
        <v>3</v>
      </c>
      <c r="C5" s="1204"/>
      <c r="D5" s="1204"/>
      <c r="E5" s="367">
        <v>0</v>
      </c>
      <c r="F5" s="241">
        <f>E5</f>
        <v>0</v>
      </c>
      <c r="G5" s="241">
        <f t="shared" si="2"/>
        <v>0</v>
      </c>
      <c r="H5" s="241">
        <f t="shared" si="2"/>
        <v>0</v>
      </c>
      <c r="I5" s="241">
        <f t="shared" si="2"/>
        <v>0</v>
      </c>
      <c r="J5" s="241">
        <f t="shared" si="2"/>
        <v>0</v>
      </c>
      <c r="K5" s="241">
        <f t="shared" si="2"/>
        <v>0</v>
      </c>
      <c r="L5" s="241">
        <f t="shared" si="2"/>
        <v>0</v>
      </c>
      <c r="M5" s="241">
        <f>L5</f>
        <v>0</v>
      </c>
      <c r="N5" s="241">
        <f>M5</f>
        <v>0</v>
      </c>
      <c r="O5" s="241">
        <f t="shared" si="2"/>
        <v>0</v>
      </c>
      <c r="P5" s="241">
        <f t="shared" si="2"/>
        <v>0</v>
      </c>
      <c r="Q5" s="259" t="s">
        <v>4</v>
      </c>
      <c r="R5" s="86"/>
      <c r="S5" s="86"/>
      <c r="T5" s="86"/>
      <c r="U5" s="86"/>
      <c r="V5" s="86"/>
      <c r="W5" s="86"/>
    </row>
    <row r="6" spans="1:23" ht="20" customHeight="1">
      <c r="A6" s="398">
        <v>5</v>
      </c>
      <c r="B6" s="1195" t="str">
        <f>A!F9</f>
        <v>Vælg her om den ansatte har ret til seniorbonus.</v>
      </c>
      <c r="C6" s="1196"/>
      <c r="D6" s="1197"/>
      <c r="E6" s="367"/>
      <c r="F6" s="719">
        <f>E6</f>
        <v>0</v>
      </c>
      <c r="G6" s="719">
        <f t="shared" si="2"/>
        <v>0</v>
      </c>
      <c r="H6" s="719">
        <f t="shared" si="2"/>
        <v>0</v>
      </c>
      <c r="I6" s="719">
        <f t="shared" si="2"/>
        <v>0</v>
      </c>
      <c r="J6" s="719">
        <f t="shared" si="2"/>
        <v>0</v>
      </c>
      <c r="K6" s="719">
        <f t="shared" si="2"/>
        <v>0</v>
      </c>
      <c r="L6" s="719">
        <f t="shared" si="2"/>
        <v>0</v>
      </c>
      <c r="M6" s="719">
        <f t="shared" ref="M6:N6" si="3">L6</f>
        <v>0</v>
      </c>
      <c r="N6" s="719">
        <f t="shared" si="3"/>
        <v>0</v>
      </c>
      <c r="O6" s="719">
        <f t="shared" si="2"/>
        <v>0</v>
      </c>
      <c r="P6" s="719">
        <f t="shared" si="2"/>
        <v>0</v>
      </c>
      <c r="Q6" s="259"/>
      <c r="R6" s="86"/>
      <c r="S6" s="86"/>
      <c r="T6" s="86"/>
      <c r="U6" s="86"/>
      <c r="V6" s="86"/>
      <c r="W6" s="86"/>
    </row>
    <row r="7" spans="1:23" ht="24" customHeight="1">
      <c r="A7" s="398">
        <f>A5+1</f>
        <v>6</v>
      </c>
      <c r="B7" s="1201" t="s">
        <v>112</v>
      </c>
      <c r="C7" s="1201"/>
      <c r="D7" s="1201"/>
      <c r="E7" s="364"/>
      <c r="F7" s="754">
        <f>E7</f>
        <v>0</v>
      </c>
      <c r="G7" s="754">
        <f>F7</f>
        <v>0</v>
      </c>
      <c r="H7" s="754">
        <f t="shared" si="2"/>
        <v>0</v>
      </c>
      <c r="I7" s="754">
        <f t="shared" si="2"/>
        <v>0</v>
      </c>
      <c r="J7" s="754">
        <f t="shared" si="2"/>
        <v>0</v>
      </c>
      <c r="K7" s="754">
        <f t="shared" si="2"/>
        <v>0</v>
      </c>
      <c r="L7" s="754">
        <f t="shared" si="2"/>
        <v>0</v>
      </c>
      <c r="M7" s="754">
        <f>L7</f>
        <v>0</v>
      </c>
      <c r="N7" s="754">
        <f>M7</f>
        <v>0</v>
      </c>
      <c r="O7" s="754">
        <f t="shared" si="2"/>
        <v>0</v>
      </c>
      <c r="P7" s="754">
        <f t="shared" si="2"/>
        <v>0</v>
      </c>
      <c r="Q7" s="6" t="s">
        <v>10</v>
      </c>
      <c r="R7" s="86"/>
      <c r="S7" s="86"/>
      <c r="T7" s="86"/>
      <c r="U7" s="86"/>
      <c r="V7" s="86"/>
      <c r="W7" s="86"/>
    </row>
    <row r="8" spans="1:23" ht="14" customHeight="1">
      <c r="A8" s="398">
        <f t="shared" si="1"/>
        <v>7</v>
      </c>
      <c r="B8" s="1201" t="s">
        <v>210</v>
      </c>
      <c r="C8" s="1201"/>
      <c r="D8" s="1201"/>
      <c r="E8" s="687">
        <f>A!G6</f>
        <v>1.2330950000000001</v>
      </c>
      <c r="F8" s="687">
        <f>A!H6</f>
        <v>1.2330950000000001</v>
      </c>
      <c r="G8" s="687">
        <f>A!I6</f>
        <v>1.2330950000000001</v>
      </c>
      <c r="H8" s="1164"/>
      <c r="I8" s="687">
        <f>H8</f>
        <v>0</v>
      </c>
      <c r="J8" s="687">
        <f t="shared" si="2"/>
        <v>0</v>
      </c>
      <c r="K8" s="687">
        <f t="shared" si="2"/>
        <v>0</v>
      </c>
      <c r="L8" s="687">
        <f t="shared" si="2"/>
        <v>0</v>
      </c>
      <c r="M8" s="346">
        <v>0</v>
      </c>
      <c r="N8" s="69">
        <f>M8</f>
        <v>0</v>
      </c>
      <c r="O8" s="69">
        <f>N8</f>
        <v>0</v>
      </c>
      <c r="P8" s="69">
        <f>O8</f>
        <v>0</v>
      </c>
      <c r="Q8" s="372" t="str">
        <f>"se i løntabel for april "&amp;LEFT(C1,4)+2&amp;", når den udkommer"</f>
        <v>se i løntabel for april 2026, når den udkommer</v>
      </c>
      <c r="R8" s="86"/>
      <c r="S8" s="86"/>
      <c r="T8" s="86"/>
      <c r="U8" s="86"/>
      <c r="V8" s="86"/>
      <c r="W8" s="86"/>
    </row>
    <row r="9" spans="1:23" ht="14" hidden="1" customHeight="1">
      <c r="A9" s="398">
        <f>A8+1</f>
        <v>8</v>
      </c>
      <c r="B9" s="857" t="s">
        <v>127</v>
      </c>
      <c r="C9" s="858"/>
      <c r="D9" s="858"/>
      <c r="E9" s="345">
        <v>6</v>
      </c>
      <c r="F9" s="71">
        <f>$E9</f>
        <v>6</v>
      </c>
      <c r="G9" s="71">
        <f t="shared" ref="G9:P9" si="4">$E9</f>
        <v>6</v>
      </c>
      <c r="H9" s="71">
        <f t="shared" si="4"/>
        <v>6</v>
      </c>
      <c r="I9" s="71">
        <f t="shared" si="4"/>
        <v>6</v>
      </c>
      <c r="J9" s="71">
        <f t="shared" si="4"/>
        <v>6</v>
      </c>
      <c r="K9" s="71">
        <f t="shared" si="4"/>
        <v>6</v>
      </c>
      <c r="L9" s="71">
        <f t="shared" si="4"/>
        <v>6</v>
      </c>
      <c r="M9" s="71">
        <f t="shared" si="4"/>
        <v>6</v>
      </c>
      <c r="N9" s="71">
        <f t="shared" si="4"/>
        <v>6</v>
      </c>
      <c r="O9" s="71">
        <f t="shared" si="4"/>
        <v>6</v>
      </c>
      <c r="P9" s="71">
        <f t="shared" si="4"/>
        <v>6</v>
      </c>
      <c r="Q9" s="3" t="s">
        <v>99</v>
      </c>
      <c r="R9" s="86"/>
      <c r="S9" s="86"/>
      <c r="T9" s="86"/>
      <c r="U9" s="86"/>
      <c r="V9" s="86"/>
      <c r="W9" s="86"/>
    </row>
    <row r="10" spans="1:23" ht="24" customHeight="1">
      <c r="A10" s="398">
        <f t="shared" si="1"/>
        <v>9</v>
      </c>
      <c r="B10" s="1205" t="s">
        <v>34</v>
      </c>
      <c r="C10" s="1205"/>
      <c r="D10" s="1205"/>
      <c r="E10" s="365"/>
      <c r="F10" s="240">
        <f>E10</f>
        <v>0</v>
      </c>
      <c r="G10" s="240">
        <f t="shared" ref="G10:P10" si="5">F10</f>
        <v>0</v>
      </c>
      <c r="H10" s="240">
        <f t="shared" si="5"/>
        <v>0</v>
      </c>
      <c r="I10" s="240">
        <f t="shared" si="5"/>
        <v>0</v>
      </c>
      <c r="J10" s="240">
        <f t="shared" si="5"/>
        <v>0</v>
      </c>
      <c r="K10" s="240">
        <f t="shared" si="5"/>
        <v>0</v>
      </c>
      <c r="L10" s="240">
        <f t="shared" si="5"/>
        <v>0</v>
      </c>
      <c r="M10" s="240">
        <f t="shared" si="5"/>
        <v>0</v>
      </c>
      <c r="N10" s="240">
        <f t="shared" si="5"/>
        <v>0</v>
      </c>
      <c r="O10" s="240">
        <f t="shared" si="5"/>
        <v>0</v>
      </c>
      <c r="P10" s="240">
        <f t="shared" si="5"/>
        <v>0</v>
      </c>
      <c r="Q10" s="6" t="s">
        <v>11</v>
      </c>
      <c r="R10" s="86"/>
      <c r="S10" s="86"/>
      <c r="T10" s="86"/>
      <c r="U10" s="86"/>
      <c r="V10" s="86"/>
      <c r="W10" s="86"/>
    </row>
    <row r="11" spans="1:23" ht="24" customHeight="1">
      <c r="A11" s="398">
        <f t="shared" si="1"/>
        <v>10</v>
      </c>
      <c r="B11" s="1206" t="s">
        <v>205</v>
      </c>
      <c r="C11" s="1206"/>
      <c r="D11" s="1206"/>
      <c r="E11" s="464"/>
      <c r="F11" s="247">
        <f>E11</f>
        <v>0</v>
      </c>
      <c r="G11" s="247">
        <f t="shared" ref="G11:P11" si="6">F11</f>
        <v>0</v>
      </c>
      <c r="H11" s="247">
        <f t="shared" si="6"/>
        <v>0</v>
      </c>
      <c r="I11" s="247">
        <f t="shared" si="6"/>
        <v>0</v>
      </c>
      <c r="J11" s="247">
        <f t="shared" si="6"/>
        <v>0</v>
      </c>
      <c r="K11" s="247">
        <f t="shared" si="6"/>
        <v>0</v>
      </c>
      <c r="L11" s="247">
        <f t="shared" si="6"/>
        <v>0</v>
      </c>
      <c r="M11" s="247">
        <f t="shared" si="6"/>
        <v>0</v>
      </c>
      <c r="N11" s="247">
        <f t="shared" si="6"/>
        <v>0</v>
      </c>
      <c r="O11" s="247">
        <f t="shared" si="6"/>
        <v>0</v>
      </c>
      <c r="P11" s="247">
        <f t="shared" si="6"/>
        <v>0</v>
      </c>
      <c r="Q11" s="6" t="s">
        <v>6</v>
      </c>
      <c r="R11" s="86"/>
      <c r="S11" s="86"/>
      <c r="T11" s="86"/>
      <c r="U11" s="86"/>
      <c r="V11" s="86"/>
      <c r="W11" s="86"/>
    </row>
    <row r="12" spans="1:23" ht="24" customHeight="1">
      <c r="A12" s="398">
        <f t="shared" si="1"/>
        <v>11</v>
      </c>
      <c r="B12" s="1208" t="s">
        <v>33</v>
      </c>
      <c r="C12" s="1208"/>
      <c r="D12" s="1208"/>
      <c r="E12" s="468"/>
      <c r="F12" s="260">
        <f>E12</f>
        <v>0</v>
      </c>
      <c r="G12" s="260">
        <f t="shared" ref="G12:P12" si="7">F12</f>
        <v>0</v>
      </c>
      <c r="H12" s="260">
        <f t="shared" si="7"/>
        <v>0</v>
      </c>
      <c r="I12" s="260">
        <f t="shared" si="7"/>
        <v>0</v>
      </c>
      <c r="J12" s="260">
        <f t="shared" si="7"/>
        <v>0</v>
      </c>
      <c r="K12" s="260">
        <f t="shared" si="7"/>
        <v>0</v>
      </c>
      <c r="L12" s="260">
        <f t="shared" si="7"/>
        <v>0</v>
      </c>
      <c r="M12" s="260">
        <f t="shared" si="7"/>
        <v>0</v>
      </c>
      <c r="N12" s="260">
        <f t="shared" si="7"/>
        <v>0</v>
      </c>
      <c r="O12" s="260">
        <f t="shared" si="7"/>
        <v>0</v>
      </c>
      <c r="P12" s="260">
        <f t="shared" si="7"/>
        <v>0</v>
      </c>
      <c r="Q12" s="6" t="s">
        <v>5</v>
      </c>
      <c r="R12" s="86"/>
      <c r="S12" s="86"/>
      <c r="T12" s="86"/>
      <c r="U12" s="86"/>
      <c r="V12" s="86"/>
      <c r="W12" s="86"/>
    </row>
    <row r="13" spans="1:23" ht="14" customHeight="1">
      <c r="A13" s="398">
        <f t="shared" si="1"/>
        <v>12</v>
      </c>
      <c r="B13" s="1207" t="s">
        <v>218</v>
      </c>
      <c r="C13" s="1207"/>
      <c r="D13" s="1207"/>
      <c r="E13" s="466">
        <v>2</v>
      </c>
      <c r="F13" s="144"/>
      <c r="G13" s="144">
        <v>5</v>
      </c>
      <c r="H13" s="144"/>
      <c r="I13" s="144"/>
      <c r="J13" s="144"/>
      <c r="K13" s="144"/>
      <c r="L13" s="144"/>
      <c r="M13" s="144"/>
      <c r="N13" s="144"/>
      <c r="O13" s="144"/>
      <c r="P13" s="144">
        <v>18</v>
      </c>
      <c r="Q13" s="3" t="s">
        <v>611</v>
      </c>
      <c r="R13" s="86"/>
      <c r="S13" s="86"/>
      <c r="T13" s="86"/>
      <c r="U13" s="86"/>
      <c r="V13" s="86"/>
      <c r="W13" s="86"/>
    </row>
    <row r="14" spans="1:23" ht="27" customHeight="1">
      <c r="A14" s="398">
        <f t="shared" si="1"/>
        <v>13</v>
      </c>
      <c r="B14" s="1209" t="s">
        <v>224</v>
      </c>
      <c r="C14" s="1209"/>
      <c r="D14" s="1209"/>
      <c r="E14" s="467"/>
      <c r="F14" s="145"/>
      <c r="G14" s="145"/>
      <c r="H14" s="145"/>
      <c r="I14" s="145"/>
      <c r="J14" s="145"/>
      <c r="K14" s="145"/>
      <c r="L14" s="145"/>
      <c r="M14" s="145"/>
      <c r="N14" s="145"/>
      <c r="O14" s="145"/>
      <c r="P14" s="145"/>
      <c r="Q14" s="3" t="s">
        <v>497</v>
      </c>
      <c r="R14" s="86"/>
      <c r="S14" s="86"/>
      <c r="T14" s="86"/>
      <c r="U14" s="86"/>
      <c r="V14" s="86"/>
      <c r="W14" s="86"/>
    </row>
    <row r="15" spans="1:23" ht="14" customHeight="1">
      <c r="A15" s="398">
        <f t="shared" si="1"/>
        <v>14</v>
      </c>
      <c r="B15" s="1210" t="s">
        <v>610</v>
      </c>
      <c r="C15" s="1210"/>
      <c r="D15" s="1210"/>
      <c r="E15" s="847"/>
      <c r="F15" s="847">
        <v>0</v>
      </c>
      <c r="G15" s="847">
        <v>0</v>
      </c>
      <c r="H15" s="847">
        <v>0</v>
      </c>
      <c r="I15" s="847">
        <v>0</v>
      </c>
      <c r="J15" s="847">
        <v>0</v>
      </c>
      <c r="K15" s="847">
        <v>0</v>
      </c>
      <c r="L15" s="847">
        <v>0</v>
      </c>
      <c r="M15" s="847">
        <v>0</v>
      </c>
      <c r="N15" s="847">
        <v>0</v>
      </c>
      <c r="O15" s="847">
        <v>0</v>
      </c>
      <c r="P15" s="847">
        <v>0</v>
      </c>
      <c r="Q15" s="142"/>
      <c r="R15" s="86"/>
      <c r="S15" s="86"/>
      <c r="T15" s="86"/>
      <c r="U15" s="86"/>
      <c r="V15" s="86"/>
      <c r="W15" s="86"/>
    </row>
    <row r="16" spans="1:23" ht="14" customHeight="1">
      <c r="A16" s="398">
        <f t="shared" si="1"/>
        <v>15</v>
      </c>
      <c r="B16" s="1207" t="s">
        <v>198</v>
      </c>
      <c r="C16" s="1207"/>
      <c r="D16" s="1207"/>
      <c r="E16" s="468"/>
      <c r="F16" s="121"/>
      <c r="G16" s="121"/>
      <c r="H16" s="121"/>
      <c r="I16" s="121"/>
      <c r="J16" s="121"/>
      <c r="K16" s="121"/>
      <c r="L16" s="121"/>
      <c r="M16" s="121"/>
      <c r="N16" s="121"/>
      <c r="O16" s="121"/>
      <c r="P16" s="121"/>
      <c r="Q16" s="140" t="s">
        <v>496</v>
      </c>
      <c r="R16" s="86"/>
      <c r="S16" s="86"/>
      <c r="T16" s="86"/>
      <c r="U16" s="86"/>
      <c r="V16" s="86"/>
      <c r="W16" s="86"/>
    </row>
    <row r="17" spans="1:23" ht="14" customHeight="1">
      <c r="A17" s="398">
        <f t="shared" si="1"/>
        <v>16</v>
      </c>
      <c r="B17" s="1207" t="s">
        <v>199</v>
      </c>
      <c r="C17" s="1207"/>
      <c r="D17" s="1207"/>
      <c r="E17" s="469"/>
      <c r="F17" s="251">
        <f>E17</f>
        <v>0</v>
      </c>
      <c r="G17" s="251">
        <f t="shared" ref="G17:P18" si="8">F17</f>
        <v>0</v>
      </c>
      <c r="H17" s="251">
        <f t="shared" si="8"/>
        <v>0</v>
      </c>
      <c r="I17" s="251">
        <f t="shared" si="8"/>
        <v>0</v>
      </c>
      <c r="J17" s="333"/>
      <c r="K17" s="251">
        <f t="shared" si="8"/>
        <v>0</v>
      </c>
      <c r="L17" s="251">
        <f t="shared" si="8"/>
        <v>0</v>
      </c>
      <c r="M17" s="251">
        <f t="shared" si="8"/>
        <v>0</v>
      </c>
      <c r="N17" s="251">
        <f t="shared" si="8"/>
        <v>0</v>
      </c>
      <c r="O17" s="251">
        <f t="shared" si="8"/>
        <v>0</v>
      </c>
      <c r="P17" s="251">
        <f t="shared" si="8"/>
        <v>0</v>
      </c>
      <c r="Q17" s="3" t="s">
        <v>17</v>
      </c>
      <c r="R17" s="86"/>
      <c r="S17" s="86"/>
      <c r="T17" s="86"/>
      <c r="U17" s="86"/>
      <c r="V17" s="86"/>
      <c r="W17" s="86"/>
    </row>
    <row r="18" spans="1:23" ht="14" customHeight="1">
      <c r="A18" s="398">
        <f t="shared" si="1"/>
        <v>17</v>
      </c>
      <c r="B18" s="1207" t="s">
        <v>200</v>
      </c>
      <c r="C18" s="1207"/>
      <c r="D18" s="1207"/>
      <c r="E18" s="470"/>
      <c r="F18" s="252">
        <f>E18</f>
        <v>0</v>
      </c>
      <c r="G18" s="252">
        <f t="shared" si="8"/>
        <v>0</v>
      </c>
      <c r="H18" s="252">
        <f t="shared" si="8"/>
        <v>0</v>
      </c>
      <c r="I18" s="252">
        <f t="shared" si="8"/>
        <v>0</v>
      </c>
      <c r="J18" s="334"/>
      <c r="K18" s="252">
        <f t="shared" si="8"/>
        <v>0</v>
      </c>
      <c r="L18" s="252">
        <f t="shared" si="8"/>
        <v>0</v>
      </c>
      <c r="M18" s="252">
        <f t="shared" si="8"/>
        <v>0</v>
      </c>
      <c r="N18" s="252">
        <f t="shared" si="8"/>
        <v>0</v>
      </c>
      <c r="O18" s="252">
        <f t="shared" si="8"/>
        <v>0</v>
      </c>
      <c r="P18" s="252">
        <f t="shared" si="8"/>
        <v>0</v>
      </c>
      <c r="Q18" s="140"/>
      <c r="R18" s="86"/>
      <c r="S18" s="86"/>
      <c r="T18" s="86"/>
      <c r="U18" s="86"/>
      <c r="V18" s="86"/>
      <c r="W18" s="86"/>
    </row>
    <row r="19" spans="1:23" ht="12" customHeight="1">
      <c r="A19" s="398">
        <f t="shared" si="1"/>
        <v>18</v>
      </c>
      <c r="B19" s="856" t="s">
        <v>622</v>
      </c>
      <c r="C19" s="883">
        <f>A!D31</f>
        <v>2.23</v>
      </c>
      <c r="D19" s="1026"/>
      <c r="E19" s="1133"/>
      <c r="F19" s="227"/>
      <c r="G19" s="227"/>
      <c r="H19" s="227"/>
      <c r="I19" s="227"/>
      <c r="J19" s="227"/>
      <c r="K19" s="227"/>
      <c r="L19" s="227"/>
      <c r="M19" s="227"/>
      <c r="N19" s="227"/>
      <c r="O19" s="227"/>
      <c r="P19" s="227"/>
      <c r="Q19" s="6" t="s">
        <v>266</v>
      </c>
      <c r="R19" s="86"/>
      <c r="S19" s="86"/>
      <c r="T19" s="86"/>
      <c r="U19" s="86"/>
      <c r="V19" s="86"/>
      <c r="W19" s="86"/>
    </row>
    <row r="20" spans="1:23" ht="12" customHeight="1">
      <c r="A20" s="398">
        <f t="shared" si="1"/>
        <v>19</v>
      </c>
      <c r="B20" s="721" t="s">
        <v>623</v>
      </c>
      <c r="C20" s="883">
        <f>A!D32</f>
        <v>3.81</v>
      </c>
      <c r="D20" s="1026"/>
      <c r="E20" s="473"/>
      <c r="F20" s="229"/>
      <c r="G20" s="229"/>
      <c r="H20" s="229"/>
      <c r="I20" s="229"/>
      <c r="J20" s="229"/>
      <c r="K20" s="229"/>
      <c r="L20" s="229"/>
      <c r="M20" s="229"/>
      <c r="N20" s="229"/>
      <c r="O20" s="229"/>
      <c r="P20" s="229"/>
      <c r="Q20" s="6" t="s">
        <v>266</v>
      </c>
      <c r="R20" s="86"/>
      <c r="S20" s="86"/>
      <c r="T20" s="86"/>
      <c r="U20" s="86"/>
      <c r="V20" s="86"/>
      <c r="W20" s="86"/>
    </row>
    <row r="21" spans="1:23" ht="12" customHeight="1">
      <c r="A21" s="398">
        <f t="shared" si="1"/>
        <v>20</v>
      </c>
      <c r="B21" s="1228" t="s">
        <v>567</v>
      </c>
      <c r="C21" s="1229"/>
      <c r="D21" s="1230"/>
      <c r="E21" s="473"/>
      <c r="F21" s="229"/>
      <c r="G21" s="229"/>
      <c r="H21" s="229"/>
      <c r="I21" s="229"/>
      <c r="J21" s="229"/>
      <c r="K21" s="229"/>
      <c r="L21" s="229"/>
      <c r="M21" s="229"/>
      <c r="N21" s="229"/>
      <c r="O21" s="229"/>
      <c r="P21" s="229"/>
      <c r="Q21" s="6" t="s">
        <v>266</v>
      </c>
      <c r="R21" s="86"/>
      <c r="S21" s="86"/>
      <c r="T21" s="86"/>
      <c r="U21" s="86"/>
      <c r="V21" s="86"/>
      <c r="W21" s="86"/>
    </row>
    <row r="22" spans="1:23" ht="12" customHeight="1">
      <c r="A22" s="398">
        <f t="shared" si="1"/>
        <v>21</v>
      </c>
      <c r="B22" s="1231" t="s">
        <v>128</v>
      </c>
      <c r="C22" s="1232"/>
      <c r="D22" s="1233"/>
      <c r="E22" s="473"/>
      <c r="F22" s="753"/>
      <c r="G22" s="753"/>
      <c r="H22" s="753"/>
      <c r="I22" s="753"/>
      <c r="J22" s="753"/>
      <c r="K22" s="753"/>
      <c r="L22" s="753"/>
      <c r="M22" s="753"/>
      <c r="N22" s="753"/>
      <c r="O22" s="753"/>
      <c r="P22" s="753"/>
      <c r="Q22" s="6" t="s">
        <v>266</v>
      </c>
      <c r="R22" s="86"/>
      <c r="S22" s="86"/>
      <c r="T22" s="86"/>
      <c r="U22" s="86"/>
      <c r="V22" s="86"/>
      <c r="W22" s="86"/>
    </row>
    <row r="23" spans="1:23" ht="12" customHeight="1">
      <c r="A23" s="398">
        <f t="shared" si="1"/>
        <v>22</v>
      </c>
      <c r="B23" s="1231" t="s">
        <v>147</v>
      </c>
      <c r="C23" s="1232"/>
      <c r="D23" s="1233"/>
      <c r="E23" s="884"/>
      <c r="F23" s="229"/>
      <c r="G23" s="229"/>
      <c r="H23" s="229"/>
      <c r="I23" s="229"/>
      <c r="J23" s="229"/>
      <c r="K23" s="229"/>
      <c r="L23" s="229"/>
      <c r="M23" s="229"/>
      <c r="N23" s="885"/>
      <c r="O23" s="229"/>
      <c r="P23" s="229"/>
      <c r="Q23" s="6" t="s">
        <v>536</v>
      </c>
      <c r="R23" s="86"/>
      <c r="S23" s="86"/>
      <c r="T23" s="86"/>
      <c r="U23" s="86"/>
      <c r="V23" s="86"/>
      <c r="W23" s="86"/>
    </row>
    <row r="24" spans="1:23" ht="12" customHeight="1">
      <c r="A24" s="398">
        <f t="shared" si="1"/>
        <v>23</v>
      </c>
      <c r="B24" s="1234" t="s">
        <v>695</v>
      </c>
      <c r="C24" s="1235"/>
      <c r="D24" s="1236"/>
      <c r="E24" s="1024"/>
      <c r="F24" s="891"/>
      <c r="G24" s="892"/>
      <c r="H24" s="892"/>
      <c r="I24" s="892"/>
      <c r="J24" s="892"/>
      <c r="K24" s="892"/>
      <c r="L24" s="892"/>
      <c r="M24" s="893"/>
      <c r="N24" s="894"/>
      <c r="O24" s="893"/>
      <c r="P24" s="893"/>
      <c r="Q24" s="6" t="s">
        <v>614</v>
      </c>
      <c r="R24" s="86"/>
      <c r="S24" s="86"/>
      <c r="T24" s="86"/>
      <c r="U24" s="86"/>
      <c r="V24" s="86"/>
      <c r="W24" s="86"/>
    </row>
    <row r="25" spans="1:23" ht="12" customHeight="1">
      <c r="A25" s="398">
        <f t="shared" si="1"/>
        <v>24</v>
      </c>
      <c r="B25" s="1225" t="s">
        <v>612</v>
      </c>
      <c r="C25" s="1226"/>
      <c r="D25" s="1227"/>
      <c r="E25" s="864"/>
      <c r="F25" s="229"/>
      <c r="G25" s="229"/>
      <c r="H25" s="229"/>
      <c r="I25" s="229"/>
      <c r="J25" s="229"/>
      <c r="K25" s="229"/>
      <c r="L25" s="229"/>
      <c r="M25" s="229"/>
      <c r="N25" s="886"/>
      <c r="O25" s="229"/>
      <c r="P25" s="229"/>
      <c r="Q25" s="6" t="s">
        <v>8</v>
      </c>
      <c r="R25" s="86"/>
      <c r="S25" s="86"/>
      <c r="T25" s="86"/>
      <c r="U25" s="86"/>
      <c r="V25" s="86"/>
      <c r="W25" s="86"/>
    </row>
    <row r="26" spans="1:23" ht="12" customHeight="1">
      <c r="A26" s="398">
        <f t="shared" si="1"/>
        <v>25</v>
      </c>
      <c r="B26" s="1225" t="s">
        <v>613</v>
      </c>
      <c r="C26" s="1226"/>
      <c r="D26" s="1227"/>
      <c r="E26" s="473"/>
      <c r="F26" s="229"/>
      <c r="G26" s="229"/>
      <c r="H26" s="229"/>
      <c r="I26" s="229"/>
      <c r="J26" s="229"/>
      <c r="K26" s="229"/>
      <c r="L26" s="229"/>
      <c r="M26" s="229"/>
      <c r="N26" s="229"/>
      <c r="O26" s="229"/>
      <c r="P26" s="229"/>
      <c r="Q26" s="6" t="s">
        <v>615</v>
      </c>
      <c r="R26" s="86"/>
      <c r="S26" s="86"/>
      <c r="T26" s="86"/>
      <c r="U26" s="86"/>
      <c r="V26" s="86"/>
      <c r="W26" s="86"/>
    </row>
    <row r="27" spans="1:23" ht="12" customHeight="1">
      <c r="A27" s="398">
        <f t="shared" si="1"/>
        <v>26</v>
      </c>
      <c r="B27" s="178"/>
      <c r="C27" s="1219"/>
      <c r="D27" s="1220"/>
      <c r="E27" s="473"/>
      <c r="F27" s="229"/>
      <c r="G27" s="229"/>
      <c r="H27" s="229"/>
      <c r="I27" s="229"/>
      <c r="J27" s="229"/>
      <c r="K27" s="229"/>
      <c r="L27" s="229"/>
      <c r="M27" s="229"/>
      <c r="N27" s="229"/>
      <c r="O27" s="229"/>
      <c r="P27" s="229"/>
      <c r="Q27" s="85" t="s">
        <v>546</v>
      </c>
      <c r="R27" s="86"/>
      <c r="S27" s="86"/>
      <c r="T27" s="86"/>
      <c r="U27" s="86"/>
      <c r="V27" s="86"/>
      <c r="W27" s="86"/>
    </row>
    <row r="28" spans="1:23" ht="12" customHeight="1">
      <c r="A28" s="398">
        <f t="shared" si="1"/>
        <v>27</v>
      </c>
      <c r="B28" s="178"/>
      <c r="C28" s="1221"/>
      <c r="D28" s="1222"/>
      <c r="E28" s="473"/>
      <c r="F28" s="229"/>
      <c r="G28" s="229"/>
      <c r="H28" s="229"/>
      <c r="I28" s="229"/>
      <c r="J28" s="229"/>
      <c r="K28" s="229"/>
      <c r="L28" s="229"/>
      <c r="M28" s="229"/>
      <c r="N28" s="229"/>
      <c r="O28" s="229"/>
      <c r="P28" s="229"/>
      <c r="Q28" s="85" t="s">
        <v>546</v>
      </c>
      <c r="R28" s="86"/>
      <c r="S28" s="86"/>
      <c r="T28" s="86"/>
      <c r="U28" s="86"/>
      <c r="V28" s="86"/>
      <c r="W28" s="86"/>
    </row>
    <row r="29" spans="1:23" ht="12" customHeight="1">
      <c r="A29" s="398">
        <f t="shared" si="1"/>
        <v>28</v>
      </c>
      <c r="B29" s="755" t="s">
        <v>575</v>
      </c>
      <c r="C29" s="1223"/>
      <c r="D29" s="1224"/>
      <c r="E29" s="474"/>
      <c r="F29" s="233">
        <f>E29</f>
        <v>0</v>
      </c>
      <c r="G29" s="233">
        <f t="shared" ref="G29:P29" si="9">F29</f>
        <v>0</v>
      </c>
      <c r="H29" s="233">
        <f t="shared" si="9"/>
        <v>0</v>
      </c>
      <c r="I29" s="233">
        <f t="shared" si="9"/>
        <v>0</v>
      </c>
      <c r="J29" s="233">
        <f t="shared" si="9"/>
        <v>0</v>
      </c>
      <c r="K29" s="233">
        <f t="shared" si="9"/>
        <v>0</v>
      </c>
      <c r="L29" s="233">
        <f t="shared" si="9"/>
        <v>0</v>
      </c>
      <c r="M29" s="233">
        <f t="shared" si="9"/>
        <v>0</v>
      </c>
      <c r="N29" s="233">
        <f t="shared" si="9"/>
        <v>0</v>
      </c>
      <c r="O29" s="233">
        <f t="shared" si="9"/>
        <v>0</v>
      </c>
      <c r="P29" s="233">
        <f t="shared" si="9"/>
        <v>0</v>
      </c>
      <c r="Q29" s="141" t="s">
        <v>546</v>
      </c>
      <c r="R29" s="86"/>
      <c r="S29" s="86"/>
      <c r="T29" s="86"/>
      <c r="U29" s="86"/>
      <c r="V29" s="86"/>
      <c r="W29" s="86"/>
    </row>
    <row r="30" spans="1:23" ht="12" customHeight="1">
      <c r="A30" s="398">
        <f t="shared" si="1"/>
        <v>29</v>
      </c>
      <c r="B30" s="560" t="s">
        <v>538</v>
      </c>
      <c r="C30" s="1213" t="s">
        <v>544</v>
      </c>
      <c r="D30" s="1214"/>
      <c r="E30" s="473"/>
      <c r="F30" s="229">
        <f>E30</f>
        <v>0</v>
      </c>
      <c r="G30" s="229">
        <f t="shared" ref="G30:P30" si="10">F30</f>
        <v>0</v>
      </c>
      <c r="H30" s="229">
        <f t="shared" si="10"/>
        <v>0</v>
      </c>
      <c r="I30" s="229">
        <f t="shared" si="10"/>
        <v>0</v>
      </c>
      <c r="J30" s="229">
        <f t="shared" si="10"/>
        <v>0</v>
      </c>
      <c r="K30" s="229">
        <f t="shared" si="10"/>
        <v>0</v>
      </c>
      <c r="L30" s="229">
        <f t="shared" si="10"/>
        <v>0</v>
      </c>
      <c r="M30" s="229">
        <f t="shared" si="10"/>
        <v>0</v>
      </c>
      <c r="N30" s="229">
        <f t="shared" si="10"/>
        <v>0</v>
      </c>
      <c r="O30" s="229">
        <f t="shared" si="10"/>
        <v>0</v>
      </c>
      <c r="P30" s="229">
        <f t="shared" si="10"/>
        <v>0</v>
      </c>
      <c r="Q30" s="564" t="s">
        <v>542</v>
      </c>
      <c r="R30" s="86"/>
      <c r="S30" s="86"/>
      <c r="T30" s="86"/>
      <c r="U30" s="86"/>
      <c r="V30" s="86"/>
      <c r="W30" s="86"/>
    </row>
    <row r="31" spans="1:23" ht="12" customHeight="1">
      <c r="A31" s="398">
        <f t="shared" si="1"/>
        <v>30</v>
      </c>
      <c r="B31" s="561" t="s">
        <v>537</v>
      </c>
      <c r="C31" s="1215"/>
      <c r="D31" s="1216"/>
      <c r="E31" s="473"/>
      <c r="F31" s="229">
        <f t="shared" ref="F31:P32" si="11">E31</f>
        <v>0</v>
      </c>
      <c r="G31" s="229">
        <f t="shared" si="11"/>
        <v>0</v>
      </c>
      <c r="H31" s="229">
        <f t="shared" si="11"/>
        <v>0</v>
      </c>
      <c r="I31" s="229">
        <f t="shared" si="11"/>
        <v>0</v>
      </c>
      <c r="J31" s="229">
        <f t="shared" si="11"/>
        <v>0</v>
      </c>
      <c r="K31" s="229">
        <f t="shared" si="11"/>
        <v>0</v>
      </c>
      <c r="L31" s="229">
        <f t="shared" si="11"/>
        <v>0</v>
      </c>
      <c r="M31" s="229">
        <f t="shared" si="11"/>
        <v>0</v>
      </c>
      <c r="N31" s="229">
        <f t="shared" si="11"/>
        <v>0</v>
      </c>
      <c r="O31" s="229">
        <f t="shared" si="11"/>
        <v>0</v>
      </c>
      <c r="P31" s="229">
        <f t="shared" si="11"/>
        <v>0</v>
      </c>
      <c r="Q31" s="566" t="s">
        <v>541</v>
      </c>
      <c r="R31" s="86"/>
      <c r="S31" s="86"/>
      <c r="T31" s="86"/>
      <c r="U31" s="86"/>
      <c r="V31" s="86"/>
      <c r="W31" s="86"/>
    </row>
    <row r="32" spans="1:23" ht="12" customHeight="1">
      <c r="A32" s="398">
        <f t="shared" si="1"/>
        <v>31</v>
      </c>
      <c r="B32" s="562" t="s">
        <v>539</v>
      </c>
      <c r="C32" s="1217"/>
      <c r="D32" s="1218"/>
      <c r="E32" s="474"/>
      <c r="F32" s="233">
        <f t="shared" si="11"/>
        <v>0</v>
      </c>
      <c r="G32" s="233">
        <f t="shared" si="11"/>
        <v>0</v>
      </c>
      <c r="H32" s="233">
        <f t="shared" si="11"/>
        <v>0</v>
      </c>
      <c r="I32" s="233">
        <f t="shared" si="11"/>
        <v>0</v>
      </c>
      <c r="J32" s="233">
        <f t="shared" si="11"/>
        <v>0</v>
      </c>
      <c r="K32" s="233">
        <f t="shared" si="11"/>
        <v>0</v>
      </c>
      <c r="L32" s="233">
        <f t="shared" si="11"/>
        <v>0</v>
      </c>
      <c r="M32" s="233">
        <f t="shared" si="11"/>
        <v>0</v>
      </c>
      <c r="N32" s="233">
        <f t="shared" si="11"/>
        <v>0</v>
      </c>
      <c r="O32" s="233">
        <f t="shared" si="11"/>
        <v>0</v>
      </c>
      <c r="P32" s="233">
        <f t="shared" si="11"/>
        <v>0</v>
      </c>
      <c r="Q32" s="568" t="s">
        <v>543</v>
      </c>
      <c r="R32" s="86"/>
      <c r="S32" s="86"/>
      <c r="T32" s="86"/>
      <c r="U32" s="86"/>
      <c r="V32" s="86"/>
      <c r="W32" s="86"/>
    </row>
    <row r="33" spans="1:23" ht="32" customHeight="1">
      <c r="A33" s="398">
        <f t="shared" si="1"/>
        <v>32</v>
      </c>
      <c r="B33" s="180" t="s">
        <v>214</v>
      </c>
      <c r="C33" s="1202"/>
      <c r="D33" s="1203"/>
      <c r="E33" s="206" t="str">
        <f t="shared" ref="E33:P33" si="12">E2</f>
        <v>AUG 25</v>
      </c>
      <c r="F33" s="76" t="str">
        <f t="shared" si="12"/>
        <v>SEP 25</v>
      </c>
      <c r="G33" s="76" t="str">
        <f t="shared" si="12"/>
        <v>OKT 25</v>
      </c>
      <c r="H33" s="76" t="str">
        <f t="shared" si="12"/>
        <v>NOV 25</v>
      </c>
      <c r="I33" s="76" t="str">
        <f t="shared" si="12"/>
        <v>DEC 25</v>
      </c>
      <c r="J33" s="76" t="str">
        <f t="shared" si="12"/>
        <v>JAN 26</v>
      </c>
      <c r="K33" s="76" t="str">
        <f t="shared" si="12"/>
        <v>FEB 26</v>
      </c>
      <c r="L33" s="76" t="str">
        <f t="shared" si="12"/>
        <v>MAR 26</v>
      </c>
      <c r="M33" s="76" t="str">
        <f t="shared" si="12"/>
        <v>APR 26</v>
      </c>
      <c r="N33" s="76" t="str">
        <f t="shared" si="12"/>
        <v>MAJ 26</v>
      </c>
      <c r="O33" s="76" t="str">
        <f t="shared" si="12"/>
        <v>JUN 26</v>
      </c>
      <c r="P33" s="76" t="str">
        <f t="shared" si="12"/>
        <v>JUL 26</v>
      </c>
      <c r="Q33" s="80" t="s">
        <v>111</v>
      </c>
      <c r="R33" s="86"/>
      <c r="S33" s="86"/>
      <c r="T33" s="86"/>
      <c r="U33" s="86"/>
      <c r="V33" s="86"/>
      <c r="W33" s="86"/>
    </row>
    <row r="34" spans="1:23">
      <c r="A34" s="398">
        <f t="shared" si="1"/>
        <v>33</v>
      </c>
      <c r="B34" s="154" t="s">
        <v>0</v>
      </c>
      <c r="C34" s="220"/>
      <c r="D34" s="834"/>
      <c r="E34" s="207">
        <f>ROUND(IF(E10&gt;0,E4*E8/12,0)*E10*E3,2)</f>
        <v>0</v>
      </c>
      <c r="F34" s="207">
        <f t="shared" ref="F34:P34" si="13">ROUND(IF(F10&gt;0,F4*F8/12,0)*F10*F3,2)</f>
        <v>0</v>
      </c>
      <c r="G34" s="207">
        <f t="shared" si="13"/>
        <v>0</v>
      </c>
      <c r="H34" s="207">
        <f t="shared" si="13"/>
        <v>0</v>
      </c>
      <c r="I34" s="207">
        <f t="shared" si="13"/>
        <v>0</v>
      </c>
      <c r="J34" s="207">
        <f t="shared" si="13"/>
        <v>0</v>
      </c>
      <c r="K34" s="207">
        <f t="shared" si="13"/>
        <v>0</v>
      </c>
      <c r="L34" s="207">
        <f t="shared" si="13"/>
        <v>0</v>
      </c>
      <c r="M34" s="207">
        <f t="shared" si="13"/>
        <v>0</v>
      </c>
      <c r="N34" s="207">
        <f t="shared" si="13"/>
        <v>0</v>
      </c>
      <c r="O34" s="207">
        <f t="shared" si="13"/>
        <v>0</v>
      </c>
      <c r="P34" s="207">
        <f t="shared" si="13"/>
        <v>0</v>
      </c>
      <c r="Q34" s="117">
        <f t="shared" ref="Q34:Q54" si="14">SUM(E34:P34)</f>
        <v>0</v>
      </c>
      <c r="R34" s="86"/>
      <c r="S34" s="86"/>
      <c r="T34" s="86"/>
      <c r="U34" s="86"/>
      <c r="V34" s="86"/>
      <c r="W34" s="86"/>
    </row>
    <row r="35" spans="1:23">
      <c r="A35" s="398">
        <f t="shared" si="1"/>
        <v>34</v>
      </c>
      <c r="B35" s="154" t="s">
        <v>632</v>
      </c>
      <c r="C35" s="220"/>
      <c r="D35" s="834"/>
      <c r="E35" s="207">
        <f>E24</f>
        <v>0</v>
      </c>
      <c r="F35" s="207">
        <f t="shared" ref="F35:P35" si="15">IF(F24&gt;0,F24,0)</f>
        <v>0</v>
      </c>
      <c r="G35" s="207">
        <f t="shared" si="15"/>
        <v>0</v>
      </c>
      <c r="H35" s="207">
        <f t="shared" si="15"/>
        <v>0</v>
      </c>
      <c r="I35" s="207">
        <f t="shared" si="15"/>
        <v>0</v>
      </c>
      <c r="J35" s="207">
        <f t="shared" si="15"/>
        <v>0</v>
      </c>
      <c r="K35" s="207">
        <f t="shared" si="15"/>
        <v>0</v>
      </c>
      <c r="L35" s="207">
        <f t="shared" si="15"/>
        <v>0</v>
      </c>
      <c r="M35" s="207">
        <f t="shared" si="15"/>
        <v>0</v>
      </c>
      <c r="N35" s="207">
        <f t="shared" si="15"/>
        <v>0</v>
      </c>
      <c r="O35" s="207">
        <f t="shared" si="15"/>
        <v>0</v>
      </c>
      <c r="P35" s="207">
        <f t="shared" si="15"/>
        <v>0</v>
      </c>
      <c r="Q35" s="106">
        <f t="shared" si="14"/>
        <v>0</v>
      </c>
      <c r="R35" s="86"/>
      <c r="S35" s="86"/>
      <c r="T35" s="86"/>
      <c r="U35" s="86"/>
      <c r="V35" s="86"/>
      <c r="W35" s="86"/>
    </row>
    <row r="36" spans="1:23">
      <c r="A36" s="398">
        <f t="shared" si="1"/>
        <v>35</v>
      </c>
      <c r="B36" s="154" t="s">
        <v>691</v>
      </c>
      <c r="C36" s="220"/>
      <c r="D36" s="834"/>
      <c r="E36" s="207">
        <f>IF(E6="Ja",E34*0.8%,0)</f>
        <v>0</v>
      </c>
      <c r="F36" s="207">
        <f t="shared" ref="F36:P36" si="16">IF(F6="Ja",F34*0.8%,0)</f>
        <v>0</v>
      </c>
      <c r="G36" s="207">
        <f t="shared" si="16"/>
        <v>0</v>
      </c>
      <c r="H36" s="207">
        <f t="shared" si="16"/>
        <v>0</v>
      </c>
      <c r="I36" s="207">
        <f t="shared" si="16"/>
        <v>0</v>
      </c>
      <c r="J36" s="207">
        <f t="shared" si="16"/>
        <v>0</v>
      </c>
      <c r="K36" s="207">
        <f t="shared" si="16"/>
        <v>0</v>
      </c>
      <c r="L36" s="207">
        <f t="shared" si="16"/>
        <v>0</v>
      </c>
      <c r="M36" s="207">
        <f t="shared" si="16"/>
        <v>0</v>
      </c>
      <c r="N36" s="207">
        <f t="shared" si="16"/>
        <v>0</v>
      </c>
      <c r="O36" s="207">
        <f t="shared" si="16"/>
        <v>0</v>
      </c>
      <c r="P36" s="207">
        <f t="shared" si="16"/>
        <v>0</v>
      </c>
      <c r="Q36" s="106">
        <f t="shared" si="14"/>
        <v>0</v>
      </c>
      <c r="R36" s="86"/>
      <c r="S36" s="86"/>
      <c r="T36" s="86"/>
      <c r="U36" s="86"/>
      <c r="V36" s="86"/>
      <c r="W36" s="86"/>
    </row>
    <row r="37" spans="1:23">
      <c r="A37" s="398">
        <f t="shared" si="1"/>
        <v>36</v>
      </c>
      <c r="B37" s="155" t="s">
        <v>160</v>
      </c>
      <c r="C37" s="220"/>
      <c r="D37" s="834"/>
      <c r="E37" s="208">
        <f t="shared" ref="E37:P37" si="17">IF(E10&gt;0,108.35*E3,0)</f>
        <v>0</v>
      </c>
      <c r="F37" s="208">
        <f t="shared" si="17"/>
        <v>0</v>
      </c>
      <c r="G37" s="208">
        <f t="shared" si="17"/>
        <v>0</v>
      </c>
      <c r="H37" s="208">
        <f t="shared" si="17"/>
        <v>0</v>
      </c>
      <c r="I37" s="208">
        <f t="shared" si="17"/>
        <v>0</v>
      </c>
      <c r="J37" s="208">
        <f t="shared" si="17"/>
        <v>0</v>
      </c>
      <c r="K37" s="208">
        <f t="shared" si="17"/>
        <v>0</v>
      </c>
      <c r="L37" s="208">
        <f t="shared" si="17"/>
        <v>0</v>
      </c>
      <c r="M37" s="208">
        <f t="shared" si="17"/>
        <v>0</v>
      </c>
      <c r="N37" s="208">
        <f t="shared" si="17"/>
        <v>0</v>
      </c>
      <c r="O37" s="208">
        <f t="shared" si="17"/>
        <v>0</v>
      </c>
      <c r="P37" s="208">
        <f t="shared" si="17"/>
        <v>0</v>
      </c>
      <c r="Q37" s="106">
        <f t="shared" si="14"/>
        <v>0</v>
      </c>
      <c r="R37" s="86"/>
      <c r="S37" s="86"/>
      <c r="T37" s="86"/>
      <c r="U37" s="86"/>
      <c r="V37" s="86"/>
      <c r="W37" s="86"/>
    </row>
    <row r="38" spans="1:23">
      <c r="A38" s="398">
        <f t="shared" si="1"/>
        <v>37</v>
      </c>
      <c r="B38" s="155" t="s">
        <v>250</v>
      </c>
      <c r="C38" s="220"/>
      <c r="D38" s="834"/>
      <c r="E38" s="208">
        <f>-(MAX(0,MIN(E13*1,E14*1))+E16)*4.62%*SUM(E34+E36)</f>
        <v>0</v>
      </c>
      <c r="F38" s="208">
        <f t="shared" ref="F38:P38" si="18">-(MAX(0,MIN(F13*1,F14*1))+F16)*4.62%*SUM(F34:F35)</f>
        <v>0</v>
      </c>
      <c r="G38" s="208">
        <f t="shared" si="18"/>
        <v>0</v>
      </c>
      <c r="H38" s="208">
        <f t="shared" si="18"/>
        <v>0</v>
      </c>
      <c r="I38" s="208">
        <f t="shared" si="18"/>
        <v>0</v>
      </c>
      <c r="J38" s="208">
        <f t="shared" si="18"/>
        <v>0</v>
      </c>
      <c r="K38" s="208">
        <f t="shared" si="18"/>
        <v>0</v>
      </c>
      <c r="L38" s="208">
        <f t="shared" si="18"/>
        <v>0</v>
      </c>
      <c r="M38" s="208">
        <f t="shared" si="18"/>
        <v>0</v>
      </c>
      <c r="N38" s="208">
        <f t="shared" si="18"/>
        <v>0</v>
      </c>
      <c r="O38" s="208">
        <f t="shared" si="18"/>
        <v>0</v>
      </c>
      <c r="P38" s="208">
        <f t="shared" si="18"/>
        <v>0</v>
      </c>
      <c r="Q38" s="106">
        <f t="shared" si="14"/>
        <v>0</v>
      </c>
      <c r="R38" s="86"/>
      <c r="S38" s="86"/>
      <c r="T38" s="86"/>
      <c r="U38" s="86"/>
      <c r="V38" s="86"/>
      <c r="W38" s="86"/>
    </row>
    <row r="39" spans="1:23">
      <c r="A39" s="398">
        <f t="shared" si="1"/>
        <v>38</v>
      </c>
      <c r="B39" s="155" t="s">
        <v>192</v>
      </c>
      <c r="C39" s="220"/>
      <c r="D39" s="834"/>
      <c r="E39" s="208">
        <f>E15</f>
        <v>0</v>
      </c>
      <c r="F39" s="208">
        <f t="shared" ref="F39:P39" si="19">F15</f>
        <v>0</v>
      </c>
      <c r="G39" s="208">
        <f t="shared" si="19"/>
        <v>0</v>
      </c>
      <c r="H39" s="208">
        <f t="shared" si="19"/>
        <v>0</v>
      </c>
      <c r="I39" s="208">
        <f t="shared" si="19"/>
        <v>0</v>
      </c>
      <c r="J39" s="208">
        <f t="shared" si="19"/>
        <v>0</v>
      </c>
      <c r="K39" s="208">
        <f t="shared" si="19"/>
        <v>0</v>
      </c>
      <c r="L39" s="208">
        <f t="shared" si="19"/>
        <v>0</v>
      </c>
      <c r="M39" s="208">
        <f t="shared" si="19"/>
        <v>0</v>
      </c>
      <c r="N39" s="208">
        <f t="shared" si="19"/>
        <v>0</v>
      </c>
      <c r="O39" s="208">
        <f t="shared" si="19"/>
        <v>0</v>
      </c>
      <c r="P39" s="208">
        <f t="shared" si="19"/>
        <v>0</v>
      </c>
      <c r="Q39" s="106">
        <f t="shared" si="14"/>
        <v>0</v>
      </c>
      <c r="R39" s="86"/>
      <c r="S39" s="86"/>
      <c r="T39" s="86"/>
      <c r="U39" s="86"/>
      <c r="V39" s="86"/>
      <c r="W39" s="86"/>
    </row>
    <row r="40" spans="1:23">
      <c r="A40" s="398">
        <f t="shared" si="1"/>
        <v>39</v>
      </c>
      <c r="B40" s="155" t="s">
        <v>612</v>
      </c>
      <c r="C40" s="220"/>
      <c r="D40" s="834"/>
      <c r="E40" s="208">
        <f>E25</f>
        <v>0</v>
      </c>
      <c r="F40" s="208">
        <f t="shared" ref="F40:P40" si="20">F25</f>
        <v>0</v>
      </c>
      <c r="G40" s="208">
        <f t="shared" si="20"/>
        <v>0</v>
      </c>
      <c r="H40" s="208">
        <f t="shared" si="20"/>
        <v>0</v>
      </c>
      <c r="I40" s="208">
        <f t="shared" si="20"/>
        <v>0</v>
      </c>
      <c r="J40" s="208">
        <f t="shared" si="20"/>
        <v>0</v>
      </c>
      <c r="K40" s="208">
        <f t="shared" si="20"/>
        <v>0</v>
      </c>
      <c r="L40" s="208">
        <f t="shared" si="20"/>
        <v>0</v>
      </c>
      <c r="M40" s="208">
        <f t="shared" si="20"/>
        <v>0</v>
      </c>
      <c r="N40" s="208">
        <f t="shared" si="20"/>
        <v>0</v>
      </c>
      <c r="O40" s="208">
        <f t="shared" si="20"/>
        <v>0</v>
      </c>
      <c r="P40" s="208">
        <f t="shared" si="20"/>
        <v>0</v>
      </c>
      <c r="Q40" s="106">
        <f t="shared" si="14"/>
        <v>0</v>
      </c>
      <c r="R40" s="86"/>
      <c r="S40" s="86"/>
      <c r="T40" s="86"/>
      <c r="U40" s="86"/>
      <c r="V40" s="86"/>
      <c r="W40" s="86"/>
    </row>
    <row r="41" spans="1:23">
      <c r="A41" s="398">
        <f t="shared" si="1"/>
        <v>40</v>
      </c>
      <c r="B41" s="156" t="s">
        <v>613</v>
      </c>
      <c r="C41" s="220"/>
      <c r="D41" s="834"/>
      <c r="E41" s="211">
        <f>E26</f>
        <v>0</v>
      </c>
      <c r="F41" s="211">
        <f t="shared" ref="F41:P41" si="21">F26</f>
        <v>0</v>
      </c>
      <c r="G41" s="211">
        <f t="shared" si="21"/>
        <v>0</v>
      </c>
      <c r="H41" s="211">
        <f t="shared" si="21"/>
        <v>0</v>
      </c>
      <c r="I41" s="211">
        <f t="shared" si="21"/>
        <v>0</v>
      </c>
      <c r="J41" s="211">
        <f t="shared" si="21"/>
        <v>0</v>
      </c>
      <c r="K41" s="211">
        <f t="shared" si="21"/>
        <v>0</v>
      </c>
      <c r="L41" s="211">
        <f t="shared" si="21"/>
        <v>0</v>
      </c>
      <c r="M41" s="211">
        <f t="shared" si="21"/>
        <v>0</v>
      </c>
      <c r="N41" s="211">
        <f t="shared" si="21"/>
        <v>0</v>
      </c>
      <c r="O41" s="211">
        <f t="shared" si="21"/>
        <v>0</v>
      </c>
      <c r="P41" s="211">
        <f t="shared" si="21"/>
        <v>0</v>
      </c>
      <c r="Q41" s="106">
        <f t="shared" si="14"/>
        <v>0</v>
      </c>
      <c r="R41" s="86"/>
      <c r="S41" s="86"/>
      <c r="T41" s="86"/>
      <c r="U41" s="86"/>
      <c r="V41" s="86"/>
      <c r="W41" s="86"/>
    </row>
    <row r="42" spans="1:23">
      <c r="A42" s="398">
        <f t="shared" si="1"/>
        <v>41</v>
      </c>
      <c r="B42" s="156" t="s">
        <v>701</v>
      </c>
      <c r="C42" s="220"/>
      <c r="D42" s="834"/>
      <c r="E42" s="211">
        <f>E23</f>
        <v>0</v>
      </c>
      <c r="F42" s="211">
        <f>F23</f>
        <v>0</v>
      </c>
      <c r="G42" s="211">
        <f t="shared" ref="G42:P42" si="22">G23</f>
        <v>0</v>
      </c>
      <c r="H42" s="211">
        <f t="shared" si="22"/>
        <v>0</v>
      </c>
      <c r="I42" s="211">
        <f t="shared" si="22"/>
        <v>0</v>
      </c>
      <c r="J42" s="211">
        <f t="shared" si="22"/>
        <v>0</v>
      </c>
      <c r="K42" s="211">
        <f t="shared" si="22"/>
        <v>0</v>
      </c>
      <c r="L42" s="211">
        <f t="shared" si="22"/>
        <v>0</v>
      </c>
      <c r="M42" s="211">
        <f t="shared" si="22"/>
        <v>0</v>
      </c>
      <c r="N42" s="211">
        <f t="shared" si="22"/>
        <v>0</v>
      </c>
      <c r="O42" s="211">
        <f t="shared" si="22"/>
        <v>0</v>
      </c>
      <c r="P42" s="211">
        <f t="shared" si="22"/>
        <v>0</v>
      </c>
      <c r="Q42" s="123"/>
      <c r="R42" s="86"/>
      <c r="S42" s="86"/>
      <c r="T42" s="86"/>
      <c r="U42" s="86"/>
      <c r="V42" s="86"/>
      <c r="W42" s="86"/>
    </row>
    <row r="43" spans="1:23">
      <c r="A43" s="398">
        <f t="shared" si="1"/>
        <v>42</v>
      </c>
      <c r="B43" s="156" t="s">
        <v>575</v>
      </c>
      <c r="C43" s="220"/>
      <c r="D43" s="834"/>
      <c r="E43" s="211">
        <f t="shared" ref="E43:P43" si="23">E29</f>
        <v>0</v>
      </c>
      <c r="F43" s="211">
        <f t="shared" si="23"/>
        <v>0</v>
      </c>
      <c r="G43" s="211">
        <f t="shared" si="23"/>
        <v>0</v>
      </c>
      <c r="H43" s="211">
        <f t="shared" si="23"/>
        <v>0</v>
      </c>
      <c r="I43" s="211">
        <f t="shared" si="23"/>
        <v>0</v>
      </c>
      <c r="J43" s="211">
        <f t="shared" si="23"/>
        <v>0</v>
      </c>
      <c r="K43" s="211">
        <f t="shared" si="23"/>
        <v>0</v>
      </c>
      <c r="L43" s="211">
        <f t="shared" si="23"/>
        <v>0</v>
      </c>
      <c r="M43" s="211">
        <f t="shared" si="23"/>
        <v>0</v>
      </c>
      <c r="N43" s="211">
        <f t="shared" si="23"/>
        <v>0</v>
      </c>
      <c r="O43" s="211">
        <f t="shared" si="23"/>
        <v>0</v>
      </c>
      <c r="P43" s="211">
        <f t="shared" si="23"/>
        <v>0</v>
      </c>
      <c r="Q43" s="107">
        <f t="shared" si="14"/>
        <v>0</v>
      </c>
      <c r="R43" s="86"/>
      <c r="S43" s="86"/>
      <c r="T43" s="86"/>
      <c r="U43" s="86"/>
      <c r="V43" s="86"/>
      <c r="W43" s="86"/>
    </row>
    <row r="44" spans="1:23">
      <c r="A44" s="398">
        <f t="shared" si="1"/>
        <v>43</v>
      </c>
      <c r="B44" s="156" t="s">
        <v>700</v>
      </c>
      <c r="C44" s="220"/>
      <c r="D44" s="834"/>
      <c r="E44" s="211">
        <f>IF(E19&gt;0,$C$19*E19,0)</f>
        <v>0</v>
      </c>
      <c r="F44" s="211">
        <f t="shared" ref="F44:I44" si="24">IF(F19&gt;0,$C$19*F19,0)</f>
        <v>0</v>
      </c>
      <c r="G44" s="211">
        <f t="shared" si="24"/>
        <v>0</v>
      </c>
      <c r="H44" s="211">
        <f t="shared" si="24"/>
        <v>0</v>
      </c>
      <c r="I44" s="211">
        <f t="shared" si="24"/>
        <v>0</v>
      </c>
      <c r="J44" s="211">
        <f>IF(J19&gt;0,$D$19*J19,0)</f>
        <v>0</v>
      </c>
      <c r="K44" s="211">
        <f t="shared" ref="K44:P44" si="25">IF(K19&gt;0,$D$19*K19,0)</f>
        <v>0</v>
      </c>
      <c r="L44" s="211">
        <f t="shared" si="25"/>
        <v>0</v>
      </c>
      <c r="M44" s="211">
        <f t="shared" si="25"/>
        <v>0</v>
      </c>
      <c r="N44" s="211">
        <f t="shared" si="25"/>
        <v>0</v>
      </c>
      <c r="O44" s="211">
        <f t="shared" si="25"/>
        <v>0</v>
      </c>
      <c r="P44" s="211">
        <f t="shared" si="25"/>
        <v>0</v>
      </c>
      <c r="Q44" s="107"/>
      <c r="R44" s="86"/>
      <c r="S44" s="86"/>
      <c r="T44" s="86"/>
      <c r="U44" s="86"/>
      <c r="V44" s="86"/>
      <c r="W44" s="86"/>
    </row>
    <row r="45" spans="1:23">
      <c r="A45" s="398">
        <f t="shared" si="1"/>
        <v>44</v>
      </c>
      <c r="B45" s="156" t="s">
        <v>699</v>
      </c>
      <c r="C45" s="220"/>
      <c r="D45" s="834"/>
      <c r="E45" s="211">
        <f>IF(E20&gt;0,$C$20*E20,0)</f>
        <v>0</v>
      </c>
      <c r="F45" s="211">
        <f t="shared" ref="F45:I45" si="26">IF(F20&gt;0,$C$20*F20,0)</f>
        <v>0</v>
      </c>
      <c r="G45" s="211">
        <f t="shared" si="26"/>
        <v>0</v>
      </c>
      <c r="H45" s="211">
        <f t="shared" si="26"/>
        <v>0</v>
      </c>
      <c r="I45" s="211">
        <f t="shared" si="26"/>
        <v>0</v>
      </c>
      <c r="J45" s="211">
        <f>IF(J20&gt;0,$D$20*J20,0)</f>
        <v>0</v>
      </c>
      <c r="K45" s="211">
        <f t="shared" ref="K45:P45" si="27">IF(K20&gt;0,$D$20*K20,0)</f>
        <v>0</v>
      </c>
      <c r="L45" s="211">
        <f t="shared" si="27"/>
        <v>0</v>
      </c>
      <c r="M45" s="211">
        <f t="shared" si="27"/>
        <v>0</v>
      </c>
      <c r="N45" s="211">
        <f t="shared" si="27"/>
        <v>0</v>
      </c>
      <c r="O45" s="211">
        <f t="shared" si="27"/>
        <v>0</v>
      </c>
      <c r="P45" s="211">
        <f t="shared" si="27"/>
        <v>0</v>
      </c>
      <c r="Q45" s="107"/>
      <c r="R45" s="86"/>
      <c r="S45" s="86"/>
      <c r="T45" s="86"/>
      <c r="U45" s="86"/>
      <c r="V45" s="86"/>
      <c r="W45" s="86"/>
    </row>
    <row r="46" spans="1:23">
      <c r="A46" s="398">
        <f t="shared" si="1"/>
        <v>45</v>
      </c>
      <c r="B46" s="155" t="s">
        <v>698</v>
      </c>
      <c r="C46" s="1147"/>
      <c r="D46" s="1148"/>
      <c r="E46" s="208">
        <f>E21+IF(E22&gt;0,MIN(E22*E8,8000),0)</f>
        <v>0</v>
      </c>
      <c r="F46" s="208">
        <f t="shared" ref="F46:P46" si="28">F21+IF(F22&gt;0,MIN(F22*F8,8000),0)</f>
        <v>0</v>
      </c>
      <c r="G46" s="208">
        <f t="shared" si="28"/>
        <v>0</v>
      </c>
      <c r="H46" s="208">
        <f t="shared" si="28"/>
        <v>0</v>
      </c>
      <c r="I46" s="208">
        <f t="shared" si="28"/>
        <v>0</v>
      </c>
      <c r="J46" s="208">
        <f t="shared" si="28"/>
        <v>0</v>
      </c>
      <c r="K46" s="208">
        <f t="shared" si="28"/>
        <v>0</v>
      </c>
      <c r="L46" s="208">
        <f t="shared" si="28"/>
        <v>0</v>
      </c>
      <c r="M46" s="208">
        <f t="shared" si="28"/>
        <v>0</v>
      </c>
      <c r="N46" s="208">
        <f t="shared" si="28"/>
        <v>0</v>
      </c>
      <c r="O46" s="208">
        <f t="shared" si="28"/>
        <v>0</v>
      </c>
      <c r="P46" s="208">
        <f t="shared" si="28"/>
        <v>0</v>
      </c>
      <c r="Q46" s="107">
        <f t="shared" si="14"/>
        <v>0</v>
      </c>
      <c r="R46" s="86"/>
      <c r="S46" s="86"/>
      <c r="T46" s="86"/>
      <c r="U46" s="86"/>
      <c r="V46" s="86"/>
      <c r="W46" s="86"/>
    </row>
    <row r="47" spans="1:23">
      <c r="A47" s="398">
        <f t="shared" si="1"/>
        <v>46</v>
      </c>
      <c r="B47" s="181" t="s">
        <v>579</v>
      </c>
      <c r="C47" s="843"/>
      <c r="D47" s="1149"/>
      <c r="E47" s="209">
        <f t="shared" ref="E47:P47" si="29">IF(E22&gt;0,MAX(E22*E8-8000,0),0)</f>
        <v>0</v>
      </c>
      <c r="F47" s="209">
        <f t="shared" si="29"/>
        <v>0</v>
      </c>
      <c r="G47" s="209">
        <f t="shared" si="29"/>
        <v>0</v>
      </c>
      <c r="H47" s="209">
        <f t="shared" si="29"/>
        <v>0</v>
      </c>
      <c r="I47" s="209">
        <f t="shared" si="29"/>
        <v>0</v>
      </c>
      <c r="J47" s="209">
        <f t="shared" si="29"/>
        <v>0</v>
      </c>
      <c r="K47" s="209">
        <f t="shared" si="29"/>
        <v>0</v>
      </c>
      <c r="L47" s="209">
        <f t="shared" si="29"/>
        <v>0</v>
      </c>
      <c r="M47" s="209">
        <f t="shared" si="29"/>
        <v>0</v>
      </c>
      <c r="N47" s="209">
        <f t="shared" si="29"/>
        <v>0</v>
      </c>
      <c r="O47" s="209">
        <f t="shared" si="29"/>
        <v>0</v>
      </c>
      <c r="P47" s="209">
        <f t="shared" si="29"/>
        <v>0</v>
      </c>
      <c r="Q47" s="107">
        <f t="shared" si="14"/>
        <v>0</v>
      </c>
      <c r="R47" s="86"/>
      <c r="S47" s="86"/>
      <c r="T47" s="86"/>
      <c r="U47" s="86"/>
      <c r="V47" s="86"/>
      <c r="W47" s="86"/>
    </row>
    <row r="48" spans="1:23">
      <c r="A48" s="398">
        <f t="shared" si="1"/>
        <v>47</v>
      </c>
      <c r="B48" s="75" t="s">
        <v>104</v>
      </c>
      <c r="C48" s="221"/>
      <c r="D48" s="835"/>
      <c r="E48" s="210">
        <f>SUM(E34:E47)</f>
        <v>0</v>
      </c>
      <c r="F48" s="210">
        <f t="shared" ref="F48:P48" si="30">SUM(F34:F47)</f>
        <v>0</v>
      </c>
      <c r="G48" s="210">
        <f t="shared" si="30"/>
        <v>0</v>
      </c>
      <c r="H48" s="210">
        <f t="shared" si="30"/>
        <v>0</v>
      </c>
      <c r="I48" s="210">
        <f t="shared" si="30"/>
        <v>0</v>
      </c>
      <c r="J48" s="210">
        <f t="shared" si="30"/>
        <v>0</v>
      </c>
      <c r="K48" s="210">
        <f t="shared" si="30"/>
        <v>0</v>
      </c>
      <c r="L48" s="210">
        <f t="shared" si="30"/>
        <v>0</v>
      </c>
      <c r="M48" s="210">
        <f t="shared" si="30"/>
        <v>0</v>
      </c>
      <c r="N48" s="210">
        <f t="shared" si="30"/>
        <v>0</v>
      </c>
      <c r="O48" s="210">
        <f t="shared" si="30"/>
        <v>0</v>
      </c>
      <c r="P48" s="210">
        <f t="shared" si="30"/>
        <v>0</v>
      </c>
      <c r="Q48" s="81">
        <f t="shared" si="14"/>
        <v>0</v>
      </c>
      <c r="R48" s="86"/>
      <c r="S48" s="86"/>
      <c r="T48" s="86"/>
      <c r="U48" s="86"/>
      <c r="V48" s="86"/>
      <c r="W48" s="86"/>
    </row>
    <row r="49" spans="1:23">
      <c r="A49" s="398">
        <f t="shared" si="1"/>
        <v>48</v>
      </c>
      <c r="B49" s="154" t="s">
        <v>7</v>
      </c>
      <c r="C49" s="220"/>
      <c r="D49" s="834"/>
      <c r="E49" s="207">
        <f>ROUND((E34)*17.3%/3,2)*(E$7="L")</f>
        <v>0</v>
      </c>
      <c r="F49" s="207">
        <f t="shared" ref="F49:P49" si="31">ROUND((F34+F36)*17.3%/3,2)*(F$7="L")</f>
        <v>0</v>
      </c>
      <c r="G49" s="207">
        <f t="shared" si="31"/>
        <v>0</v>
      </c>
      <c r="H49" s="207">
        <f t="shared" si="31"/>
        <v>0</v>
      </c>
      <c r="I49" s="207">
        <f t="shared" si="31"/>
        <v>0</v>
      </c>
      <c r="J49" s="207">
        <f t="shared" si="31"/>
        <v>0</v>
      </c>
      <c r="K49" s="207">
        <f t="shared" si="31"/>
        <v>0</v>
      </c>
      <c r="L49" s="207">
        <f t="shared" si="31"/>
        <v>0</v>
      </c>
      <c r="M49" s="207">
        <f t="shared" si="31"/>
        <v>0</v>
      </c>
      <c r="N49" s="207">
        <f t="shared" si="31"/>
        <v>0</v>
      </c>
      <c r="O49" s="207">
        <f t="shared" si="31"/>
        <v>0</v>
      </c>
      <c r="P49" s="207">
        <f t="shared" si="31"/>
        <v>0</v>
      </c>
      <c r="Q49" s="104">
        <f t="shared" si="14"/>
        <v>0</v>
      </c>
      <c r="R49" s="86"/>
      <c r="S49" s="86"/>
      <c r="T49" s="86"/>
      <c r="U49" s="86"/>
      <c r="V49" s="86"/>
      <c r="W49" s="86"/>
    </row>
    <row r="50" spans="1:23">
      <c r="A50" s="398">
        <f t="shared" si="1"/>
        <v>49</v>
      </c>
      <c r="B50" s="154" t="s">
        <v>697</v>
      </c>
      <c r="C50" s="220"/>
      <c r="D50" s="834"/>
      <c r="E50" s="207">
        <f>ROUND((E36)*17.3%/3,2)*(E$7="L")</f>
        <v>0</v>
      </c>
      <c r="F50" s="207">
        <f t="shared" ref="F50:P50" si="32">ROUND((F36)*17.3%/3,2)*(F$7="L")</f>
        <v>0</v>
      </c>
      <c r="G50" s="207">
        <f t="shared" si="32"/>
        <v>0</v>
      </c>
      <c r="H50" s="207">
        <f t="shared" si="32"/>
        <v>0</v>
      </c>
      <c r="I50" s="207">
        <f t="shared" si="32"/>
        <v>0</v>
      </c>
      <c r="J50" s="207">
        <f t="shared" si="32"/>
        <v>0</v>
      </c>
      <c r="K50" s="207">
        <f t="shared" si="32"/>
        <v>0</v>
      </c>
      <c r="L50" s="207">
        <f t="shared" si="32"/>
        <v>0</v>
      </c>
      <c r="M50" s="207">
        <f t="shared" si="32"/>
        <v>0</v>
      </c>
      <c r="N50" s="207">
        <f t="shared" si="32"/>
        <v>0</v>
      </c>
      <c r="O50" s="207">
        <f t="shared" si="32"/>
        <v>0</v>
      </c>
      <c r="P50" s="207">
        <f t="shared" si="32"/>
        <v>0</v>
      </c>
      <c r="Q50" s="106">
        <f t="shared" si="14"/>
        <v>0</v>
      </c>
      <c r="R50" s="86"/>
      <c r="S50" s="86"/>
      <c r="T50" s="86"/>
      <c r="U50" s="86"/>
      <c r="V50" s="86"/>
      <c r="W50" s="86"/>
    </row>
    <row r="51" spans="1:23">
      <c r="A51" s="398">
        <f t="shared" si="1"/>
        <v>50</v>
      </c>
      <c r="B51" s="155" t="s">
        <v>108</v>
      </c>
      <c r="C51" s="220"/>
      <c r="D51" s="834"/>
      <c r="E51" s="208">
        <f t="shared" ref="E51:P51" si="33">MAX((E34+E36+E38+E39+E40+E41-IF(E12&gt;0,VLOOKUP(E12,Skalalontabel12,7,0),0)*E8*E10/12)*18%/3,0)*(LEFT(E7)&lt;&gt;"L")</f>
        <v>0</v>
      </c>
      <c r="F51" s="208">
        <f t="shared" si="33"/>
        <v>0</v>
      </c>
      <c r="G51" s="208">
        <f t="shared" si="33"/>
        <v>0</v>
      </c>
      <c r="H51" s="208">
        <f t="shared" si="33"/>
        <v>0</v>
      </c>
      <c r="I51" s="208">
        <f t="shared" si="33"/>
        <v>0</v>
      </c>
      <c r="J51" s="208">
        <f t="shared" si="33"/>
        <v>0</v>
      </c>
      <c r="K51" s="208">
        <f t="shared" si="33"/>
        <v>0</v>
      </c>
      <c r="L51" s="208">
        <f t="shared" si="33"/>
        <v>0</v>
      </c>
      <c r="M51" s="208">
        <f t="shared" si="33"/>
        <v>0</v>
      </c>
      <c r="N51" s="208">
        <f t="shared" si="33"/>
        <v>0</v>
      </c>
      <c r="O51" s="208">
        <f t="shared" si="33"/>
        <v>0</v>
      </c>
      <c r="P51" s="208">
        <f t="shared" si="33"/>
        <v>0</v>
      </c>
      <c r="Q51" s="106">
        <f t="shared" si="14"/>
        <v>0</v>
      </c>
      <c r="R51" s="86"/>
      <c r="S51" s="86"/>
      <c r="T51" s="86"/>
      <c r="U51" s="86"/>
      <c r="V51" s="86"/>
      <c r="W51" s="86"/>
    </row>
    <row r="52" spans="1:23">
      <c r="A52" s="398">
        <f t="shared" si="1"/>
        <v>51</v>
      </c>
      <c r="B52" s="156" t="s">
        <v>35</v>
      </c>
      <c r="C52" s="220"/>
      <c r="D52" s="220"/>
      <c r="E52" s="208">
        <f t="shared" ref="E52:P52" si="34">IF(OR(E39=0,E10=0),0,(E49+E50)/E10*4.62%*(E15-E10)*(E13-E14))</f>
        <v>0</v>
      </c>
      <c r="F52" s="208">
        <f t="shared" si="34"/>
        <v>0</v>
      </c>
      <c r="G52" s="208">
        <f t="shared" si="34"/>
        <v>0</v>
      </c>
      <c r="H52" s="208">
        <f t="shared" si="34"/>
        <v>0</v>
      </c>
      <c r="I52" s="208">
        <f t="shared" si="34"/>
        <v>0</v>
      </c>
      <c r="J52" s="208">
        <f t="shared" si="34"/>
        <v>0</v>
      </c>
      <c r="K52" s="208">
        <f t="shared" si="34"/>
        <v>0</v>
      </c>
      <c r="L52" s="208">
        <f t="shared" si="34"/>
        <v>0</v>
      </c>
      <c r="M52" s="208">
        <f t="shared" si="34"/>
        <v>0</v>
      </c>
      <c r="N52" s="208">
        <f t="shared" si="34"/>
        <v>0</v>
      </c>
      <c r="O52" s="208">
        <f t="shared" si="34"/>
        <v>0</v>
      </c>
      <c r="P52" s="208">
        <f t="shared" si="34"/>
        <v>0</v>
      </c>
      <c r="Q52" s="123">
        <f t="shared" si="14"/>
        <v>0</v>
      </c>
      <c r="R52" s="86"/>
      <c r="S52" s="86"/>
      <c r="T52" s="86"/>
      <c r="U52" s="86"/>
      <c r="V52" s="86"/>
      <c r="W52" s="86"/>
    </row>
    <row r="53" spans="1:23">
      <c r="A53" s="398">
        <f t="shared" si="1"/>
        <v>52</v>
      </c>
      <c r="B53" s="3" t="s">
        <v>498</v>
      </c>
      <c r="C53" s="220"/>
      <c r="D53" s="834"/>
      <c r="E53" s="207">
        <f t="shared" ref="E53:P53" si="35">IF(E7="L",ROUND((E41+E40)*17.3%/3,2),((IF($C$25="x",E25)*18%/3)+IF($C$26="x",E26*18%/3)))</f>
        <v>0</v>
      </c>
      <c r="F53" s="207">
        <f t="shared" si="35"/>
        <v>0</v>
      </c>
      <c r="G53" s="207">
        <f t="shared" si="35"/>
        <v>0</v>
      </c>
      <c r="H53" s="207">
        <f t="shared" si="35"/>
        <v>0</v>
      </c>
      <c r="I53" s="207">
        <f t="shared" si="35"/>
        <v>0</v>
      </c>
      <c r="J53" s="207">
        <f t="shared" si="35"/>
        <v>0</v>
      </c>
      <c r="K53" s="207">
        <f t="shared" si="35"/>
        <v>0</v>
      </c>
      <c r="L53" s="207">
        <f t="shared" si="35"/>
        <v>0</v>
      </c>
      <c r="M53" s="207">
        <f t="shared" si="35"/>
        <v>0</v>
      </c>
      <c r="N53" s="207">
        <f t="shared" si="35"/>
        <v>0</v>
      </c>
      <c r="O53" s="207">
        <f t="shared" si="35"/>
        <v>0</v>
      </c>
      <c r="P53" s="207">
        <f t="shared" si="35"/>
        <v>0</v>
      </c>
      <c r="Q53" s="123">
        <f t="shared" si="14"/>
        <v>0</v>
      </c>
      <c r="R53" s="86"/>
      <c r="S53" s="86"/>
      <c r="T53" s="86"/>
      <c r="U53" s="86"/>
      <c r="V53" s="86"/>
      <c r="W53" s="86"/>
    </row>
    <row r="54" spans="1:23" ht="14" thickBot="1">
      <c r="A54" s="398">
        <f t="shared" si="1"/>
        <v>53</v>
      </c>
      <c r="B54" s="151" t="s">
        <v>181</v>
      </c>
      <c r="C54" s="221"/>
      <c r="D54" s="835"/>
      <c r="E54" s="212">
        <f>SUM(E49:E53)</f>
        <v>0</v>
      </c>
      <c r="F54" s="212">
        <f t="shared" ref="F54:P54" si="36">SUM(F49:F53)</f>
        <v>0</v>
      </c>
      <c r="G54" s="212">
        <f t="shared" si="36"/>
        <v>0</v>
      </c>
      <c r="H54" s="212">
        <f t="shared" si="36"/>
        <v>0</v>
      </c>
      <c r="I54" s="212">
        <f t="shared" si="36"/>
        <v>0</v>
      </c>
      <c r="J54" s="212">
        <f t="shared" si="36"/>
        <v>0</v>
      </c>
      <c r="K54" s="212">
        <f t="shared" si="36"/>
        <v>0</v>
      </c>
      <c r="L54" s="212">
        <f t="shared" si="36"/>
        <v>0</v>
      </c>
      <c r="M54" s="212">
        <f t="shared" si="36"/>
        <v>0</v>
      </c>
      <c r="N54" s="212">
        <f t="shared" si="36"/>
        <v>0</v>
      </c>
      <c r="O54" s="212">
        <f t="shared" si="36"/>
        <v>0</v>
      </c>
      <c r="P54" s="212">
        <f t="shared" si="36"/>
        <v>0</v>
      </c>
      <c r="Q54" s="153">
        <f t="shared" si="14"/>
        <v>0</v>
      </c>
      <c r="R54" s="86"/>
      <c r="S54" s="86"/>
      <c r="T54" s="86"/>
      <c r="U54" s="86"/>
      <c r="V54" s="86"/>
      <c r="W54" s="86"/>
    </row>
    <row r="55" spans="1:23" ht="14" thickTop="1">
      <c r="A55" s="398">
        <f t="shared" si="1"/>
        <v>54</v>
      </c>
      <c r="B55" s="182" t="s">
        <v>96</v>
      </c>
      <c r="C55" s="222"/>
      <c r="D55" s="836"/>
      <c r="E55" s="213">
        <f>ROUND(E67/3,2)</f>
        <v>0</v>
      </c>
      <c r="F55" s="213">
        <f t="shared" ref="F55:P55" si="37">ROUND(F67/3,2)</f>
        <v>0</v>
      </c>
      <c r="G55" s="213">
        <f t="shared" si="37"/>
        <v>0</v>
      </c>
      <c r="H55" s="213">
        <f t="shared" si="37"/>
        <v>0</v>
      </c>
      <c r="I55" s="213">
        <f t="shared" si="37"/>
        <v>0</v>
      </c>
      <c r="J55" s="213">
        <f t="shared" si="37"/>
        <v>0</v>
      </c>
      <c r="K55" s="213">
        <f t="shared" si="37"/>
        <v>0</v>
      </c>
      <c r="L55" s="213">
        <f t="shared" si="37"/>
        <v>0</v>
      </c>
      <c r="M55" s="213">
        <f t="shared" si="37"/>
        <v>0</v>
      </c>
      <c r="N55" s="213">
        <f t="shared" si="37"/>
        <v>0</v>
      </c>
      <c r="O55" s="213">
        <f t="shared" si="37"/>
        <v>0</v>
      </c>
      <c r="P55" s="213">
        <f t="shared" si="37"/>
        <v>0</v>
      </c>
      <c r="Q55" s="104">
        <f>SUM(E55:P55)</f>
        <v>0</v>
      </c>
      <c r="R55" s="86"/>
      <c r="S55" s="86"/>
      <c r="T55" s="86"/>
      <c r="U55" s="86"/>
      <c r="V55" s="86"/>
      <c r="W55" s="86"/>
    </row>
    <row r="56" spans="1:23">
      <c r="A56" s="398">
        <f t="shared" si="1"/>
        <v>55</v>
      </c>
      <c r="B56" s="182" t="s">
        <v>91</v>
      </c>
      <c r="C56" s="222"/>
      <c r="D56" s="836"/>
      <c r="E56" s="213">
        <f>SUM(E34:E43)-E55+E47</f>
        <v>0</v>
      </c>
      <c r="F56" s="213">
        <f t="shared" ref="F56:P56" si="38">SUM(F34:F43)-F55</f>
        <v>0</v>
      </c>
      <c r="G56" s="213">
        <f t="shared" si="38"/>
        <v>0</v>
      </c>
      <c r="H56" s="213">
        <f t="shared" si="38"/>
        <v>0</v>
      </c>
      <c r="I56" s="213">
        <f t="shared" si="38"/>
        <v>0</v>
      </c>
      <c r="J56" s="213">
        <f t="shared" si="38"/>
        <v>0</v>
      </c>
      <c r="K56" s="213">
        <f t="shared" si="38"/>
        <v>0</v>
      </c>
      <c r="L56" s="213">
        <f t="shared" si="38"/>
        <v>0</v>
      </c>
      <c r="M56" s="213">
        <f t="shared" si="38"/>
        <v>0</v>
      </c>
      <c r="N56" s="213">
        <f t="shared" si="38"/>
        <v>0</v>
      </c>
      <c r="O56" s="213">
        <f t="shared" si="38"/>
        <v>0</v>
      </c>
      <c r="P56" s="213">
        <f t="shared" si="38"/>
        <v>0</v>
      </c>
      <c r="Q56" s="104">
        <f t="shared" ref="Q56:Q72" si="39">SUM(E56:P56)</f>
        <v>0</v>
      </c>
      <c r="R56" s="86"/>
      <c r="S56" s="86"/>
      <c r="T56" s="86"/>
      <c r="U56" s="86"/>
      <c r="V56" s="86"/>
      <c r="W56" s="86"/>
    </row>
    <row r="57" spans="1:23">
      <c r="A57" s="398">
        <f t="shared" si="1"/>
        <v>56</v>
      </c>
      <c r="B57" s="183" t="s">
        <v>92</v>
      </c>
      <c r="C57" s="222"/>
      <c r="D57" s="836"/>
      <c r="E57" s="214">
        <f t="shared" ref="E57:P57" si="40">ROUND(E56*8%,0)</f>
        <v>0</v>
      </c>
      <c r="F57" s="214">
        <f t="shared" si="40"/>
        <v>0</v>
      </c>
      <c r="G57" s="214">
        <f t="shared" si="40"/>
        <v>0</v>
      </c>
      <c r="H57" s="214">
        <f t="shared" si="40"/>
        <v>0</v>
      </c>
      <c r="I57" s="214">
        <f t="shared" si="40"/>
        <v>0</v>
      </c>
      <c r="J57" s="214">
        <f t="shared" si="40"/>
        <v>0</v>
      </c>
      <c r="K57" s="214">
        <f t="shared" si="40"/>
        <v>0</v>
      </c>
      <c r="L57" s="214">
        <f t="shared" si="40"/>
        <v>0</v>
      </c>
      <c r="M57" s="214">
        <f t="shared" si="40"/>
        <v>0</v>
      </c>
      <c r="N57" s="214">
        <f t="shared" si="40"/>
        <v>0</v>
      </c>
      <c r="O57" s="214">
        <f t="shared" si="40"/>
        <v>0</v>
      </c>
      <c r="P57" s="214">
        <f t="shared" si="40"/>
        <v>0</v>
      </c>
      <c r="Q57" s="106">
        <f t="shared" si="39"/>
        <v>0</v>
      </c>
      <c r="R57" s="86"/>
      <c r="S57" s="86"/>
      <c r="T57" s="86"/>
      <c r="U57" s="86"/>
      <c r="V57" s="86"/>
      <c r="W57" s="86"/>
    </row>
    <row r="58" spans="1:23">
      <c r="A58" s="398">
        <f t="shared" si="1"/>
        <v>57</v>
      </c>
      <c r="B58" s="183" t="s">
        <v>93</v>
      </c>
      <c r="C58" s="222"/>
      <c r="D58" s="836"/>
      <c r="E58" s="214">
        <f t="shared" ref="E58:P58" si="41">E56-E57</f>
        <v>0</v>
      </c>
      <c r="F58" s="214">
        <f t="shared" si="41"/>
        <v>0</v>
      </c>
      <c r="G58" s="214">
        <f t="shared" si="41"/>
        <v>0</v>
      </c>
      <c r="H58" s="214">
        <f t="shared" si="41"/>
        <v>0</v>
      </c>
      <c r="I58" s="214">
        <f t="shared" si="41"/>
        <v>0</v>
      </c>
      <c r="J58" s="214">
        <f t="shared" si="41"/>
        <v>0</v>
      </c>
      <c r="K58" s="214">
        <f t="shared" si="41"/>
        <v>0</v>
      </c>
      <c r="L58" s="214">
        <f t="shared" si="41"/>
        <v>0</v>
      </c>
      <c r="M58" s="214">
        <f t="shared" si="41"/>
        <v>0</v>
      </c>
      <c r="N58" s="214">
        <f t="shared" si="41"/>
        <v>0</v>
      </c>
      <c r="O58" s="214">
        <f t="shared" si="41"/>
        <v>0</v>
      </c>
      <c r="P58" s="214">
        <f t="shared" si="41"/>
        <v>0</v>
      </c>
      <c r="Q58" s="106">
        <f t="shared" si="39"/>
        <v>0</v>
      </c>
      <c r="R58" s="86"/>
      <c r="S58" s="86"/>
      <c r="T58" s="86"/>
      <c r="U58" s="86"/>
      <c r="V58" s="86"/>
      <c r="W58" s="86"/>
    </row>
    <row r="59" spans="1:23">
      <c r="A59" s="398">
        <f t="shared" si="1"/>
        <v>58</v>
      </c>
      <c r="B59" s="183" t="s">
        <v>105</v>
      </c>
      <c r="C59" s="222"/>
      <c r="D59" s="836"/>
      <c r="E59" s="214">
        <f t="shared" ref="E59:P59" si="42">ROUND(E58-E18,-1)</f>
        <v>0</v>
      </c>
      <c r="F59" s="214">
        <f t="shared" si="42"/>
        <v>0</v>
      </c>
      <c r="G59" s="214">
        <f t="shared" si="42"/>
        <v>0</v>
      </c>
      <c r="H59" s="214">
        <f t="shared" si="42"/>
        <v>0</v>
      </c>
      <c r="I59" s="214">
        <f t="shared" si="42"/>
        <v>0</v>
      </c>
      <c r="J59" s="214">
        <f t="shared" si="42"/>
        <v>0</v>
      </c>
      <c r="K59" s="214">
        <f t="shared" si="42"/>
        <v>0</v>
      </c>
      <c r="L59" s="214">
        <f t="shared" si="42"/>
        <v>0</v>
      </c>
      <c r="M59" s="214">
        <f t="shared" si="42"/>
        <v>0</v>
      </c>
      <c r="N59" s="214">
        <f t="shared" si="42"/>
        <v>0</v>
      </c>
      <c r="O59" s="214">
        <f t="shared" si="42"/>
        <v>0</v>
      </c>
      <c r="P59" s="214">
        <f t="shared" si="42"/>
        <v>0</v>
      </c>
      <c r="Q59" s="106"/>
      <c r="R59" s="86"/>
      <c r="S59" s="86"/>
      <c r="T59" s="86"/>
      <c r="U59" s="86"/>
      <c r="V59" s="86"/>
      <c r="W59" s="86"/>
    </row>
    <row r="60" spans="1:23">
      <c r="A60" s="398">
        <f t="shared" si="1"/>
        <v>59</v>
      </c>
      <c r="B60" s="183" t="s">
        <v>94</v>
      </c>
      <c r="C60" s="222"/>
      <c r="D60" s="836"/>
      <c r="E60" s="214">
        <f t="shared" ref="E60:P60" si="43">ROUND(E59*E17/100,0)</f>
        <v>0</v>
      </c>
      <c r="F60" s="214">
        <f t="shared" si="43"/>
        <v>0</v>
      </c>
      <c r="G60" s="214">
        <f t="shared" si="43"/>
        <v>0</v>
      </c>
      <c r="H60" s="214">
        <f t="shared" si="43"/>
        <v>0</v>
      </c>
      <c r="I60" s="214">
        <f t="shared" si="43"/>
        <v>0</v>
      </c>
      <c r="J60" s="214">
        <f t="shared" si="43"/>
        <v>0</v>
      </c>
      <c r="K60" s="214">
        <f t="shared" si="43"/>
        <v>0</v>
      </c>
      <c r="L60" s="214">
        <f t="shared" si="43"/>
        <v>0</v>
      </c>
      <c r="M60" s="214">
        <f t="shared" si="43"/>
        <v>0</v>
      </c>
      <c r="N60" s="214">
        <f t="shared" si="43"/>
        <v>0</v>
      </c>
      <c r="O60" s="214">
        <f t="shared" si="43"/>
        <v>0</v>
      </c>
      <c r="P60" s="214">
        <f t="shared" si="43"/>
        <v>0</v>
      </c>
      <c r="Q60" s="106">
        <f t="shared" si="39"/>
        <v>0</v>
      </c>
      <c r="R60" s="86"/>
      <c r="S60" s="86"/>
      <c r="T60" s="86"/>
      <c r="U60" s="86"/>
      <c r="V60" s="86"/>
      <c r="W60" s="86"/>
    </row>
    <row r="61" spans="1:23" ht="14" customHeight="1">
      <c r="A61" s="398">
        <f t="shared" si="1"/>
        <v>60</v>
      </c>
      <c r="B61" s="746" t="str">
        <f>"Feriegodtgørelsesgrundlag, jan-dec "&amp;MID($C$1,3,2)+1</f>
        <v>Feriegodtgørelsesgrundlag, jan-dec 25</v>
      </c>
      <c r="C61" s="974"/>
      <c r="D61" s="975"/>
      <c r="E61" s="890">
        <f>E34+E37+E38+E39+E40+E41+E36</f>
        <v>0</v>
      </c>
      <c r="F61" s="741">
        <f t="shared" ref="F61:N61" si="44">SUM(F34:F41)</f>
        <v>0</v>
      </c>
      <c r="G61" s="741">
        <f t="shared" si="44"/>
        <v>0</v>
      </c>
      <c r="H61" s="741">
        <f t="shared" si="44"/>
        <v>0</v>
      </c>
      <c r="I61" s="741">
        <f t="shared" si="44"/>
        <v>0</v>
      </c>
      <c r="J61" s="741">
        <f t="shared" si="44"/>
        <v>0</v>
      </c>
      <c r="K61" s="741">
        <f t="shared" si="44"/>
        <v>0</v>
      </c>
      <c r="L61" s="741">
        <f t="shared" si="44"/>
        <v>0</v>
      </c>
      <c r="M61" s="741">
        <f t="shared" si="44"/>
        <v>0</v>
      </c>
      <c r="N61" s="741">
        <f t="shared" si="44"/>
        <v>0</v>
      </c>
      <c r="O61" s="157"/>
      <c r="P61" s="157"/>
      <c r="Q61" s="742">
        <f>SUM(C61:E61)</f>
        <v>0</v>
      </c>
      <c r="R61" s="86"/>
      <c r="S61" s="86"/>
      <c r="T61" s="86"/>
      <c r="U61" s="86"/>
      <c r="V61" s="86"/>
      <c r="W61" s="86"/>
    </row>
    <row r="62" spans="1:23">
      <c r="A62" s="398">
        <f t="shared" si="1"/>
        <v>61</v>
      </c>
      <c r="B62" s="745" t="str">
        <f>"Feriegodtgørelsesgrundlag, jan-dec "&amp;MID($C$1,3,2)+2</f>
        <v>Feriegodtgørelsesgrundlag, jan-dec 26</v>
      </c>
      <c r="C62" s="225"/>
      <c r="D62" s="834"/>
      <c r="E62" s="740"/>
      <c r="F62" s="157"/>
      <c r="G62" s="157"/>
      <c r="H62" s="157"/>
      <c r="I62" s="157"/>
      <c r="J62" s="157"/>
      <c r="K62" s="157"/>
      <c r="L62" s="157"/>
      <c r="M62" s="157"/>
      <c r="N62" s="157"/>
      <c r="O62" s="727">
        <f>SUM(O34:O41)</f>
        <v>0</v>
      </c>
      <c r="P62" s="727">
        <f>SUM(P34:P41)</f>
        <v>0</v>
      </c>
      <c r="Q62" s="728">
        <f t="shared" si="39"/>
        <v>0</v>
      </c>
      <c r="R62" s="86"/>
      <c r="S62" s="86"/>
      <c r="T62" s="86"/>
      <c r="U62" s="86"/>
      <c r="V62" s="86"/>
      <c r="W62" s="86"/>
    </row>
    <row r="63" spans="1:23">
      <c r="A63" s="398">
        <f t="shared" si="1"/>
        <v>62</v>
      </c>
      <c r="B63" s="183" t="s">
        <v>180</v>
      </c>
      <c r="C63" s="222"/>
      <c r="D63" s="836"/>
      <c r="E63" s="214">
        <f>E54</f>
        <v>0</v>
      </c>
      <c r="F63" s="109">
        <f t="shared" ref="F63:P63" si="45">F54</f>
        <v>0</v>
      </c>
      <c r="G63" s="109">
        <f t="shared" si="45"/>
        <v>0</v>
      </c>
      <c r="H63" s="109">
        <f t="shared" si="45"/>
        <v>0</v>
      </c>
      <c r="I63" s="109">
        <f t="shared" si="45"/>
        <v>0</v>
      </c>
      <c r="J63" s="109">
        <f t="shared" si="45"/>
        <v>0</v>
      </c>
      <c r="K63" s="109">
        <f t="shared" si="45"/>
        <v>0</v>
      </c>
      <c r="L63" s="109">
        <f t="shared" si="45"/>
        <v>0</v>
      </c>
      <c r="M63" s="109">
        <f t="shared" si="45"/>
        <v>0</v>
      </c>
      <c r="N63" s="109">
        <f t="shared" si="45"/>
        <v>0</v>
      </c>
      <c r="O63" s="109">
        <f t="shared" si="45"/>
        <v>0</v>
      </c>
      <c r="P63" s="109">
        <f t="shared" si="45"/>
        <v>0</v>
      </c>
      <c r="Q63" s="106">
        <f t="shared" si="39"/>
        <v>0</v>
      </c>
      <c r="R63" s="86"/>
      <c r="S63" s="86"/>
      <c r="T63" s="86"/>
      <c r="U63" s="86"/>
      <c r="V63" s="86"/>
      <c r="W63" s="86"/>
    </row>
    <row r="64" spans="1:23">
      <c r="A64" s="398">
        <f t="shared" si="1"/>
        <v>63</v>
      </c>
      <c r="B64" s="183" t="s">
        <v>184</v>
      </c>
      <c r="C64" s="222"/>
      <c r="D64" s="836"/>
      <c r="E64" s="214">
        <f>E63*2</f>
        <v>0</v>
      </c>
      <c r="F64" s="109">
        <f t="shared" ref="F64:P64" si="46">F63*2</f>
        <v>0</v>
      </c>
      <c r="G64" s="109">
        <f t="shared" si="46"/>
        <v>0</v>
      </c>
      <c r="H64" s="109">
        <f t="shared" si="46"/>
        <v>0</v>
      </c>
      <c r="I64" s="109">
        <f t="shared" si="46"/>
        <v>0</v>
      </c>
      <c r="J64" s="109">
        <f t="shared" si="46"/>
        <v>0</v>
      </c>
      <c r="K64" s="109">
        <f t="shared" si="46"/>
        <v>0</v>
      </c>
      <c r="L64" s="109">
        <f t="shared" si="46"/>
        <v>0</v>
      </c>
      <c r="M64" s="109">
        <f t="shared" si="46"/>
        <v>0</v>
      </c>
      <c r="N64" s="109">
        <f t="shared" si="46"/>
        <v>0</v>
      </c>
      <c r="O64" s="109">
        <f t="shared" si="46"/>
        <v>0</v>
      </c>
      <c r="P64" s="109">
        <f t="shared" si="46"/>
        <v>0</v>
      </c>
      <c r="Q64" s="106">
        <f t="shared" si="39"/>
        <v>0</v>
      </c>
      <c r="R64" s="86"/>
      <c r="S64" s="86"/>
      <c r="T64" s="86"/>
      <c r="U64" s="86"/>
      <c r="V64" s="86"/>
      <c r="W64" s="86"/>
    </row>
    <row r="65" spans="1:23">
      <c r="A65" s="398">
        <f t="shared" si="1"/>
        <v>64</v>
      </c>
      <c r="B65" s="183" t="s">
        <v>38</v>
      </c>
      <c r="C65" s="222"/>
      <c r="D65" s="836"/>
      <c r="E65" s="214">
        <f>E67*2/3</f>
        <v>0</v>
      </c>
      <c r="F65" s="109">
        <f t="shared" ref="F65:P65" si="47">F67*2/3</f>
        <v>0</v>
      </c>
      <c r="G65" s="109">
        <f t="shared" si="47"/>
        <v>0</v>
      </c>
      <c r="H65" s="109">
        <f t="shared" si="47"/>
        <v>0</v>
      </c>
      <c r="I65" s="109">
        <f t="shared" si="47"/>
        <v>0</v>
      </c>
      <c r="J65" s="109">
        <f t="shared" si="47"/>
        <v>0</v>
      </c>
      <c r="K65" s="109">
        <f t="shared" si="47"/>
        <v>0</v>
      </c>
      <c r="L65" s="109">
        <f t="shared" si="47"/>
        <v>0</v>
      </c>
      <c r="M65" s="109">
        <f t="shared" si="47"/>
        <v>0</v>
      </c>
      <c r="N65" s="109">
        <f t="shared" si="47"/>
        <v>0</v>
      </c>
      <c r="O65" s="109">
        <f t="shared" si="47"/>
        <v>0</v>
      </c>
      <c r="P65" s="109">
        <f t="shared" si="47"/>
        <v>0</v>
      </c>
      <c r="Q65" s="106">
        <f t="shared" si="39"/>
        <v>0</v>
      </c>
      <c r="R65" s="86"/>
      <c r="S65" s="86"/>
      <c r="T65" s="86"/>
      <c r="U65" s="86"/>
      <c r="V65" s="86"/>
      <c r="W65" s="86"/>
    </row>
    <row r="66" spans="1:23">
      <c r="A66" s="398">
        <f t="shared" si="1"/>
        <v>65</v>
      </c>
      <c r="B66" s="183" t="s">
        <v>109</v>
      </c>
      <c r="C66" s="222"/>
      <c r="D66" s="836"/>
      <c r="E66" s="214">
        <f>E63+E64</f>
        <v>0</v>
      </c>
      <c r="F66" s="109">
        <f t="shared" ref="F66:P66" si="48">F63+F64</f>
        <v>0</v>
      </c>
      <c r="G66" s="109">
        <f t="shared" si="48"/>
        <v>0</v>
      </c>
      <c r="H66" s="109">
        <f t="shared" si="48"/>
        <v>0</v>
      </c>
      <c r="I66" s="109">
        <f t="shared" si="48"/>
        <v>0</v>
      </c>
      <c r="J66" s="109">
        <f t="shared" si="48"/>
        <v>0</v>
      </c>
      <c r="K66" s="109">
        <f t="shared" si="48"/>
        <v>0</v>
      </c>
      <c r="L66" s="109">
        <f t="shared" si="48"/>
        <v>0</v>
      </c>
      <c r="M66" s="109">
        <f t="shared" si="48"/>
        <v>0</v>
      </c>
      <c r="N66" s="109">
        <f t="shared" si="48"/>
        <v>0</v>
      </c>
      <c r="O66" s="109">
        <f t="shared" si="48"/>
        <v>0</v>
      </c>
      <c r="P66" s="109">
        <f t="shared" si="48"/>
        <v>0</v>
      </c>
      <c r="Q66" s="106">
        <f t="shared" si="39"/>
        <v>0</v>
      </c>
      <c r="R66" s="86"/>
      <c r="S66" s="86"/>
      <c r="T66" s="86"/>
      <c r="U66" s="86"/>
      <c r="V66" s="86"/>
      <c r="W66" s="86"/>
    </row>
    <row r="67" spans="1:23">
      <c r="A67" s="398">
        <f t="shared" ref="A67:A74" si="49">A66+1</f>
        <v>66</v>
      </c>
      <c r="B67" s="183" t="s">
        <v>110</v>
      </c>
      <c r="C67" s="222"/>
      <c r="D67" s="836"/>
      <c r="E67" s="500">
        <f t="shared" ref="E67:P67" si="50">297/3*(((E10*E3)&gt;=9/37)+((E10*E3)&gt;=18/37)+((E10*E3)&gt;=27/37))</f>
        <v>0</v>
      </c>
      <c r="F67" s="500">
        <f t="shared" si="50"/>
        <v>0</v>
      </c>
      <c r="G67" s="500">
        <f t="shared" si="50"/>
        <v>0</v>
      </c>
      <c r="H67" s="500">
        <f t="shared" si="50"/>
        <v>0</v>
      </c>
      <c r="I67" s="500">
        <f t="shared" si="50"/>
        <v>0</v>
      </c>
      <c r="J67" s="500">
        <f t="shared" si="50"/>
        <v>0</v>
      </c>
      <c r="K67" s="500">
        <f t="shared" si="50"/>
        <v>0</v>
      </c>
      <c r="L67" s="500">
        <f t="shared" si="50"/>
        <v>0</v>
      </c>
      <c r="M67" s="500">
        <f t="shared" si="50"/>
        <v>0</v>
      </c>
      <c r="N67" s="500">
        <f t="shared" si="50"/>
        <v>0</v>
      </c>
      <c r="O67" s="500">
        <f t="shared" si="50"/>
        <v>0</v>
      </c>
      <c r="P67" s="500">
        <f t="shared" si="50"/>
        <v>0</v>
      </c>
      <c r="Q67" s="106">
        <f t="shared" si="39"/>
        <v>0</v>
      </c>
      <c r="R67" s="86"/>
      <c r="S67" s="86"/>
      <c r="T67" s="86"/>
      <c r="U67" s="86"/>
      <c r="V67" s="86"/>
      <c r="W67" s="86"/>
    </row>
    <row r="68" spans="1:23">
      <c r="A68" s="398">
        <f t="shared" si="49"/>
        <v>67</v>
      </c>
      <c r="B68" s="183" t="s">
        <v>132</v>
      </c>
      <c r="C68" s="222"/>
      <c r="D68" s="836"/>
      <c r="E68" s="214">
        <f t="shared" ref="E68:P68" si="51">IF(OR(LEFT(E7)="P",LEFT(E7)="E"),VLOOKUP(VALUE(MID(E7,2,2)),Skalalontabel12,7,0)*E8/12*15%*MIN(1,E10),0)</f>
        <v>0</v>
      </c>
      <c r="F68" s="214">
        <f t="shared" si="51"/>
        <v>0</v>
      </c>
      <c r="G68" s="214">
        <f t="shared" si="51"/>
        <v>0</v>
      </c>
      <c r="H68" s="214">
        <f t="shared" si="51"/>
        <v>0</v>
      </c>
      <c r="I68" s="214">
        <f t="shared" si="51"/>
        <v>0</v>
      </c>
      <c r="J68" s="214">
        <f t="shared" si="51"/>
        <v>0</v>
      </c>
      <c r="K68" s="214">
        <f t="shared" si="51"/>
        <v>0</v>
      </c>
      <c r="L68" s="214">
        <f t="shared" si="51"/>
        <v>0</v>
      </c>
      <c r="M68" s="214">
        <f t="shared" si="51"/>
        <v>0</v>
      </c>
      <c r="N68" s="214">
        <f t="shared" si="51"/>
        <v>0</v>
      </c>
      <c r="O68" s="214">
        <f t="shared" si="51"/>
        <v>0</v>
      </c>
      <c r="P68" s="214">
        <f t="shared" si="51"/>
        <v>0</v>
      </c>
      <c r="Q68" s="106">
        <f t="shared" si="39"/>
        <v>0</v>
      </c>
      <c r="R68" s="86"/>
      <c r="S68" s="86"/>
      <c r="T68" s="86"/>
      <c r="U68" s="86"/>
      <c r="V68" s="86"/>
      <c r="W68" s="86"/>
    </row>
    <row r="69" spans="1:23">
      <c r="A69" s="398">
        <f t="shared" si="49"/>
        <v>68</v>
      </c>
      <c r="B69" s="183" t="s">
        <v>95</v>
      </c>
      <c r="C69" s="222"/>
      <c r="D69" s="836"/>
      <c r="E69" s="214">
        <f t="shared" ref="E69:P69" si="52">108.35*(E10&gt;=0.4054)</f>
        <v>0</v>
      </c>
      <c r="F69" s="109">
        <f t="shared" si="52"/>
        <v>0</v>
      </c>
      <c r="G69" s="109">
        <f t="shared" si="52"/>
        <v>0</v>
      </c>
      <c r="H69" s="109">
        <f t="shared" si="52"/>
        <v>0</v>
      </c>
      <c r="I69" s="109">
        <f t="shared" si="52"/>
        <v>0</v>
      </c>
      <c r="J69" s="109">
        <f t="shared" si="52"/>
        <v>0</v>
      </c>
      <c r="K69" s="109">
        <f t="shared" si="52"/>
        <v>0</v>
      </c>
      <c r="L69" s="109">
        <f t="shared" si="52"/>
        <v>0</v>
      </c>
      <c r="M69" s="109">
        <f t="shared" si="52"/>
        <v>0</v>
      </c>
      <c r="N69" s="109">
        <f t="shared" si="52"/>
        <v>0</v>
      </c>
      <c r="O69" s="109">
        <f t="shared" si="52"/>
        <v>0</v>
      </c>
      <c r="P69" s="109">
        <f t="shared" si="52"/>
        <v>0</v>
      </c>
      <c r="Q69" s="106">
        <f t="shared" si="39"/>
        <v>0</v>
      </c>
      <c r="R69" s="86"/>
      <c r="S69" s="86"/>
      <c r="T69" s="86"/>
      <c r="U69" s="86"/>
      <c r="V69" s="86"/>
      <c r="W69" s="86"/>
    </row>
    <row r="70" spans="1:23">
      <c r="A70" s="398">
        <f t="shared" si="49"/>
        <v>69</v>
      </c>
      <c r="B70" s="184" t="s">
        <v>215</v>
      </c>
      <c r="C70" s="222"/>
      <c r="D70" s="836"/>
      <c r="E70" s="215">
        <f t="shared" ref="E70:P70" si="53">E48-(E60+E55+E57+E69)-E30-E31-E32-E29</f>
        <v>0</v>
      </c>
      <c r="F70" s="215">
        <f t="shared" si="53"/>
        <v>0</v>
      </c>
      <c r="G70" s="215">
        <f t="shared" si="53"/>
        <v>0</v>
      </c>
      <c r="H70" s="215">
        <f t="shared" si="53"/>
        <v>0</v>
      </c>
      <c r="I70" s="215">
        <f t="shared" si="53"/>
        <v>0</v>
      </c>
      <c r="J70" s="215">
        <f t="shared" si="53"/>
        <v>0</v>
      </c>
      <c r="K70" s="215">
        <f t="shared" si="53"/>
        <v>0</v>
      </c>
      <c r="L70" s="215">
        <f t="shared" si="53"/>
        <v>0</v>
      </c>
      <c r="M70" s="215">
        <f t="shared" si="53"/>
        <v>0</v>
      </c>
      <c r="N70" s="215">
        <f t="shared" si="53"/>
        <v>0</v>
      </c>
      <c r="O70" s="215">
        <f t="shared" si="53"/>
        <v>0</v>
      </c>
      <c r="P70" s="215">
        <f t="shared" si="53"/>
        <v>0</v>
      </c>
      <c r="Q70" s="114">
        <f>SUM(C70:P70)</f>
        <v>0</v>
      </c>
      <c r="R70" s="87"/>
      <c r="S70" s="87"/>
      <c r="T70" s="86"/>
      <c r="U70" s="86"/>
      <c r="V70" s="86"/>
      <c r="W70" s="86"/>
    </row>
    <row r="71" spans="1:23" ht="14" customHeight="1">
      <c r="A71" s="398">
        <f t="shared" si="49"/>
        <v>70</v>
      </c>
      <c r="B71" s="747" t="str">
        <f>"Feriepengeberegningsgrundlag, jan-dec "&amp;MID($C$1,3,2)+1</f>
        <v>Feriepengeberegningsgrundlag, jan-dec 25</v>
      </c>
      <c r="C71" s="1211"/>
      <c r="D71" s="1212"/>
      <c r="E71" s="748">
        <f>(SUM(E34:E41)+E54+E55)*(1-12/260*E13)</f>
        <v>0</v>
      </c>
      <c r="F71" s="748">
        <f>(SUM(F34:F41)+F54+F55)*(1-12/260*F13)</f>
        <v>0</v>
      </c>
      <c r="G71" s="748">
        <f>(SUM(G34:G41)+G54+G55)*(1-12/260*G13)</f>
        <v>0</v>
      </c>
      <c r="H71" s="748">
        <f>(SUM(H34:H41)+H54+H55)*(1-12/260*H13)</f>
        <v>0</v>
      </c>
      <c r="I71" s="748">
        <f>(SUM(I34:I41)+I54+I55)*(1-12/260*I13)</f>
        <v>0</v>
      </c>
      <c r="J71" s="135" t="s">
        <v>220</v>
      </c>
      <c r="K71" s="118"/>
      <c r="L71" s="118"/>
      <c r="M71" s="118"/>
      <c r="N71" s="118"/>
      <c r="O71" s="118"/>
      <c r="P71" s="118"/>
      <c r="Q71" s="749">
        <f>SUM(C71:I71)</f>
        <v>0</v>
      </c>
      <c r="R71" s="122"/>
      <c r="S71" s="122"/>
      <c r="T71" s="86"/>
      <c r="U71" s="86"/>
      <c r="V71" s="86"/>
      <c r="W71" s="86"/>
    </row>
    <row r="72" spans="1:23">
      <c r="A72" s="398">
        <f t="shared" si="49"/>
        <v>71</v>
      </c>
      <c r="B72" s="750" t="str">
        <f>"Feriepengeberegningsgrundlag, jan-dec "&amp;MID($C$1,3,2)+2</f>
        <v>Feriepengeberegningsgrundlag, jan-dec 26</v>
      </c>
      <c r="C72" s="225"/>
      <c r="D72" s="834"/>
      <c r="E72" s="136" t="s">
        <v>220</v>
      </c>
      <c r="F72" s="131"/>
      <c r="G72" s="131"/>
      <c r="H72" s="131"/>
      <c r="I72" s="133"/>
      <c r="J72" s="733">
        <f t="shared" ref="J72:P72" si="54">(SUM(J$34:J$41)+J$54+J55)*(1-12/260*J$13)</f>
        <v>0</v>
      </c>
      <c r="K72" s="733">
        <f t="shared" si="54"/>
        <v>0</v>
      </c>
      <c r="L72" s="733">
        <f t="shared" si="54"/>
        <v>0</v>
      </c>
      <c r="M72" s="733">
        <f t="shared" si="54"/>
        <v>0</v>
      </c>
      <c r="N72" s="733">
        <f t="shared" si="54"/>
        <v>0</v>
      </c>
      <c r="O72" s="733">
        <f t="shared" si="54"/>
        <v>0</v>
      </c>
      <c r="P72" s="733">
        <f t="shared" si="54"/>
        <v>0</v>
      </c>
      <c r="Q72" s="751">
        <f t="shared" si="39"/>
        <v>0</v>
      </c>
      <c r="R72" s="122"/>
      <c r="S72" s="122"/>
      <c r="T72" s="86"/>
      <c r="U72" s="86"/>
      <c r="V72" s="86"/>
      <c r="W72" s="86"/>
    </row>
    <row r="73" spans="1:23" s="119" customFormat="1">
      <c r="A73" s="398">
        <f t="shared" si="49"/>
        <v>72</v>
      </c>
      <c r="B73" s="128" t="s">
        <v>221</v>
      </c>
      <c r="C73" s="223"/>
      <c r="D73" s="837"/>
      <c r="E73" s="216">
        <f t="shared" ref="E73:P73" si="55">IF(E10&gt;0,(E34+E35+E36)/E10,0)</f>
        <v>0</v>
      </c>
      <c r="F73" s="216">
        <f t="shared" si="55"/>
        <v>0</v>
      </c>
      <c r="G73" s="216">
        <f t="shared" si="55"/>
        <v>0</v>
      </c>
      <c r="H73" s="216">
        <f t="shared" si="55"/>
        <v>0</v>
      </c>
      <c r="I73" s="216">
        <f t="shared" si="55"/>
        <v>0</v>
      </c>
      <c r="J73" s="216">
        <f t="shared" si="55"/>
        <v>0</v>
      </c>
      <c r="K73" s="216">
        <f t="shared" si="55"/>
        <v>0</v>
      </c>
      <c r="L73" s="216">
        <f t="shared" si="55"/>
        <v>0</v>
      </c>
      <c r="M73" s="216">
        <f t="shared" si="55"/>
        <v>0</v>
      </c>
      <c r="N73" s="216">
        <f t="shared" si="55"/>
        <v>0</v>
      </c>
      <c r="O73" s="216">
        <f t="shared" si="55"/>
        <v>0</v>
      </c>
      <c r="P73" s="216">
        <f t="shared" si="55"/>
        <v>0</v>
      </c>
      <c r="Q73" s="130"/>
      <c r="R73" s="86"/>
      <c r="S73" s="86"/>
      <c r="T73" s="86"/>
      <c r="U73" s="86"/>
      <c r="V73" s="86"/>
      <c r="W73" s="86"/>
    </row>
    <row r="74" spans="1:23" s="119" customFormat="1">
      <c r="A74" s="398">
        <f t="shared" si="49"/>
        <v>73</v>
      </c>
      <c r="B74" s="119" t="s">
        <v>252</v>
      </c>
      <c r="C74" s="838"/>
      <c r="D74" s="839"/>
      <c r="E74" s="120">
        <f t="shared" ref="E74:P74" si="56">IF(E10&gt;0,(E49+E50)/E10,0)</f>
        <v>0</v>
      </c>
      <c r="F74" s="120">
        <f t="shared" si="56"/>
        <v>0</v>
      </c>
      <c r="G74" s="120">
        <f t="shared" si="56"/>
        <v>0</v>
      </c>
      <c r="H74" s="120">
        <f t="shared" si="56"/>
        <v>0</v>
      </c>
      <c r="I74" s="120">
        <f t="shared" si="56"/>
        <v>0</v>
      </c>
      <c r="J74" s="120">
        <f t="shared" si="56"/>
        <v>0</v>
      </c>
      <c r="K74" s="120">
        <f t="shared" si="56"/>
        <v>0</v>
      </c>
      <c r="L74" s="120">
        <f t="shared" si="56"/>
        <v>0</v>
      </c>
      <c r="M74" s="120">
        <f t="shared" si="56"/>
        <v>0</v>
      </c>
      <c r="N74" s="120">
        <f t="shared" si="56"/>
        <v>0</v>
      </c>
      <c r="O74" s="120">
        <f t="shared" si="56"/>
        <v>0</v>
      </c>
      <c r="P74" s="120">
        <f t="shared" si="56"/>
        <v>0</v>
      </c>
      <c r="R74" s="86"/>
      <c r="S74" s="86"/>
      <c r="T74" s="86"/>
      <c r="U74" s="86"/>
      <c r="V74" s="86"/>
      <c r="W74" s="86"/>
    </row>
    <row r="75" spans="1:23">
      <c r="R75" s="86"/>
      <c r="S75" s="86"/>
      <c r="T75" s="86"/>
      <c r="U75" s="86"/>
      <c r="V75" s="86"/>
      <c r="W75" s="86"/>
    </row>
    <row r="76" spans="1:23" s="3" customFormat="1">
      <c r="A76" s="87"/>
      <c r="B76" s="86"/>
      <c r="C76" s="86"/>
      <c r="D76" s="86"/>
      <c r="E76" s="115"/>
      <c r="F76" s="115"/>
      <c r="G76" s="115"/>
      <c r="H76" s="115"/>
      <c r="I76" s="115"/>
      <c r="J76" s="115"/>
      <c r="K76" s="115"/>
      <c r="L76" s="115"/>
      <c r="M76" s="115"/>
      <c r="N76" s="115"/>
      <c r="O76" s="115"/>
      <c r="P76" s="115"/>
      <c r="Q76" s="86"/>
      <c r="R76" s="86"/>
      <c r="S76" s="86"/>
      <c r="T76" s="86"/>
      <c r="U76" s="86"/>
      <c r="V76" s="86"/>
      <c r="W76" s="86"/>
    </row>
    <row r="77" spans="1:23" s="3" customFormat="1">
      <c r="A77" s="87"/>
      <c r="B77" s="86"/>
      <c r="C77" s="86"/>
      <c r="D77" s="86"/>
      <c r="E77" s="115"/>
      <c r="F77" s="88"/>
      <c r="G77" s="88"/>
      <c r="H77" s="88"/>
      <c r="I77" s="88"/>
      <c r="J77" s="88"/>
      <c r="K77" s="88"/>
      <c r="L77" s="88"/>
      <c r="M77" s="88"/>
      <c r="N77" s="88"/>
      <c r="O77" s="88"/>
      <c r="P77" s="88"/>
      <c r="Q77" s="86"/>
      <c r="R77" s="86"/>
      <c r="S77" s="86"/>
      <c r="T77" s="86"/>
      <c r="U77" s="86"/>
      <c r="V77" s="86"/>
      <c r="W77" s="86"/>
    </row>
    <row r="78" spans="1:23" s="3" customFormat="1">
      <c r="A78" s="87"/>
      <c r="B78" s="86"/>
      <c r="C78" s="86"/>
      <c r="D78" s="86"/>
      <c r="E78" s="88"/>
      <c r="F78" s="88"/>
      <c r="G78" s="88"/>
      <c r="H78" s="88"/>
      <c r="I78" s="88"/>
      <c r="J78" s="88"/>
      <c r="K78" s="88"/>
      <c r="L78" s="88"/>
      <c r="M78" s="88"/>
      <c r="N78" s="88"/>
      <c r="O78" s="88"/>
      <c r="P78" s="88"/>
      <c r="Q78" s="86"/>
      <c r="R78" s="86"/>
      <c r="S78" s="86"/>
      <c r="T78" s="86"/>
      <c r="U78" s="86"/>
      <c r="V78" s="86"/>
      <c r="W78" s="86"/>
    </row>
    <row r="79" spans="1:23" s="3" customFormat="1">
      <c r="A79" s="87"/>
      <c r="B79" s="86"/>
      <c r="C79" s="86"/>
      <c r="D79" s="86"/>
      <c r="E79" s="88"/>
      <c r="F79" s="88"/>
      <c r="G79" s="88"/>
      <c r="H79" s="88"/>
      <c r="I79" s="88"/>
      <c r="J79" s="88"/>
      <c r="K79" s="88"/>
      <c r="L79" s="88"/>
      <c r="M79" s="88"/>
      <c r="N79" s="88"/>
      <c r="O79" s="88"/>
      <c r="P79" s="88"/>
      <c r="Q79" s="86"/>
      <c r="R79" s="86"/>
      <c r="S79" s="86"/>
      <c r="T79" s="86"/>
      <c r="U79" s="86"/>
      <c r="V79" s="86"/>
      <c r="W79" s="86"/>
    </row>
    <row r="80" spans="1:23" s="3" customFormat="1">
      <c r="A80" s="87"/>
      <c r="B80" s="86"/>
      <c r="C80" s="86"/>
      <c r="D80" s="86"/>
      <c r="E80" s="88"/>
      <c r="F80" s="88"/>
      <c r="G80" s="88"/>
      <c r="H80" s="88"/>
      <c r="I80" s="88"/>
      <c r="J80" s="88"/>
      <c r="K80" s="88"/>
      <c r="L80" s="88"/>
      <c r="M80" s="88"/>
      <c r="N80" s="88"/>
      <c r="O80" s="88"/>
      <c r="P80" s="88"/>
      <c r="Q80" s="86"/>
      <c r="R80" s="86"/>
      <c r="S80" s="86"/>
      <c r="T80" s="86"/>
      <c r="U80" s="86"/>
      <c r="V80" s="86"/>
      <c r="W80" s="86"/>
    </row>
    <row r="81" spans="1:17">
      <c r="A81" s="82"/>
      <c r="B81" s="83"/>
      <c r="C81" s="83"/>
      <c r="D81" s="83"/>
      <c r="E81" s="84"/>
      <c r="F81" s="84"/>
      <c r="G81" s="84"/>
      <c r="H81" s="84"/>
      <c r="I81" s="84"/>
      <c r="J81" s="84"/>
      <c r="K81" s="84"/>
      <c r="L81" s="84"/>
      <c r="M81" s="84"/>
      <c r="N81" s="84"/>
      <c r="O81" s="84"/>
      <c r="P81" s="84"/>
      <c r="Q81" s="83"/>
    </row>
    <row r="82" spans="1:17">
      <c r="A82" s="82"/>
      <c r="B82" s="83"/>
      <c r="C82" s="83"/>
      <c r="D82" s="83"/>
      <c r="E82" s="84"/>
      <c r="F82" s="84"/>
      <c r="G82" s="84"/>
      <c r="H82" s="84"/>
      <c r="I82" s="84"/>
      <c r="J82" s="84"/>
      <c r="K82" s="84"/>
      <c r="L82" s="84"/>
      <c r="M82" s="84"/>
      <c r="N82" s="84"/>
      <c r="O82" s="84"/>
      <c r="P82" s="84"/>
      <c r="Q82" s="83"/>
    </row>
    <row r="83" spans="1:17">
      <c r="A83" s="82"/>
      <c r="B83" s="83"/>
      <c r="C83" s="83"/>
      <c r="D83" s="83"/>
      <c r="E83" s="84"/>
      <c r="F83" s="84"/>
      <c r="G83" s="84"/>
      <c r="H83" s="84"/>
      <c r="I83" s="84"/>
      <c r="J83" s="84"/>
      <c r="K83" s="84"/>
      <c r="L83" s="84"/>
      <c r="M83" s="84"/>
      <c r="N83" s="84"/>
      <c r="O83" s="84"/>
      <c r="P83" s="84"/>
      <c r="Q83" s="83"/>
    </row>
    <row r="84" spans="1:17">
      <c r="A84" s="82"/>
      <c r="B84" s="83"/>
      <c r="C84" s="83"/>
      <c r="D84" s="83"/>
      <c r="E84" s="84"/>
      <c r="F84" s="84"/>
      <c r="G84" s="84"/>
      <c r="H84" s="84"/>
      <c r="I84" s="84"/>
      <c r="J84" s="84"/>
      <c r="K84" s="84"/>
      <c r="L84" s="84"/>
      <c r="M84" s="84"/>
      <c r="N84" s="84"/>
      <c r="O84" s="84"/>
      <c r="P84" s="84"/>
      <c r="Q84" s="83"/>
    </row>
    <row r="85" spans="1:17">
      <c r="A85" s="82"/>
      <c r="B85" s="83"/>
      <c r="C85" s="83"/>
      <c r="D85" s="83"/>
      <c r="E85" s="84"/>
      <c r="F85" s="84"/>
      <c r="G85" s="84"/>
      <c r="H85" s="84"/>
      <c r="I85" s="84"/>
      <c r="J85" s="84"/>
      <c r="K85" s="84"/>
      <c r="L85" s="84"/>
      <c r="M85" s="84"/>
      <c r="N85" s="84"/>
      <c r="O85" s="84"/>
      <c r="P85" s="84"/>
      <c r="Q85" s="83"/>
    </row>
    <row r="86" spans="1:17">
      <c r="A86" s="82"/>
      <c r="B86" s="83"/>
      <c r="C86" s="83"/>
      <c r="D86" s="83"/>
      <c r="E86" s="84"/>
      <c r="F86" s="84"/>
      <c r="G86" s="84"/>
      <c r="H86" s="84"/>
      <c r="I86" s="84"/>
      <c r="J86" s="84"/>
      <c r="K86" s="84"/>
      <c r="L86" s="84"/>
      <c r="M86" s="84"/>
      <c r="N86" s="84"/>
      <c r="O86" s="84"/>
      <c r="P86" s="84"/>
      <c r="Q86" s="83"/>
    </row>
    <row r="87" spans="1:17">
      <c r="A87" s="82"/>
      <c r="B87" s="83"/>
      <c r="C87" s="83"/>
      <c r="D87" s="83"/>
      <c r="E87" s="84"/>
      <c r="F87" s="84"/>
      <c r="G87" s="84"/>
      <c r="H87" s="84"/>
      <c r="I87" s="84"/>
      <c r="J87" s="84"/>
      <c r="K87" s="84"/>
      <c r="L87" s="84"/>
      <c r="M87" s="84"/>
      <c r="N87" s="84"/>
      <c r="O87" s="84"/>
      <c r="P87" s="84"/>
      <c r="Q87" s="83"/>
    </row>
    <row r="88" spans="1:17">
      <c r="A88" s="82"/>
      <c r="B88" s="83"/>
      <c r="C88" s="83"/>
      <c r="D88" s="83"/>
      <c r="E88" s="84"/>
      <c r="F88" s="84"/>
      <c r="G88" s="84"/>
      <c r="H88" s="84"/>
      <c r="I88" s="84"/>
      <c r="J88" s="84"/>
      <c r="K88" s="84"/>
      <c r="L88" s="84"/>
      <c r="M88" s="84"/>
      <c r="N88" s="84"/>
      <c r="O88" s="84"/>
      <c r="P88" s="84"/>
      <c r="Q88" s="83"/>
    </row>
    <row r="89" spans="1:17">
      <c r="A89" s="82"/>
      <c r="B89" s="83"/>
      <c r="C89" s="83"/>
      <c r="D89" s="83"/>
      <c r="E89" s="84"/>
      <c r="F89" s="84"/>
      <c r="G89" s="84"/>
      <c r="H89" s="84"/>
      <c r="I89" s="84"/>
      <c r="J89" s="84"/>
      <c r="K89" s="84"/>
      <c r="L89" s="84"/>
      <c r="M89" s="84"/>
      <c r="N89" s="84"/>
      <c r="O89" s="84"/>
      <c r="P89" s="84"/>
      <c r="Q89" s="83"/>
    </row>
    <row r="90" spans="1:17">
      <c r="A90" s="82"/>
      <c r="B90" s="83"/>
      <c r="C90" s="83"/>
      <c r="D90" s="83"/>
      <c r="E90" s="84"/>
      <c r="F90" s="84"/>
      <c r="G90" s="84"/>
      <c r="H90" s="84"/>
      <c r="I90" s="84"/>
      <c r="J90" s="84"/>
      <c r="K90" s="84"/>
      <c r="L90" s="84"/>
      <c r="M90" s="84"/>
      <c r="N90" s="84"/>
      <c r="O90" s="84"/>
      <c r="P90" s="84"/>
      <c r="Q90" s="83"/>
    </row>
    <row r="91" spans="1:17">
      <c r="A91" s="82"/>
      <c r="B91" s="83"/>
      <c r="C91" s="83"/>
      <c r="D91" s="83"/>
      <c r="E91" s="84"/>
      <c r="F91" s="84"/>
      <c r="G91" s="84"/>
      <c r="H91" s="84"/>
      <c r="I91" s="84"/>
      <c r="J91" s="84"/>
      <c r="K91" s="84"/>
      <c r="L91" s="84"/>
      <c r="M91" s="84"/>
      <c r="N91" s="84"/>
      <c r="O91" s="84"/>
      <c r="P91" s="84"/>
      <c r="Q91" s="83"/>
    </row>
    <row r="92" spans="1:17">
      <c r="A92" s="82"/>
      <c r="B92" s="83"/>
      <c r="C92" s="83"/>
      <c r="D92" s="83"/>
      <c r="E92" s="84"/>
      <c r="F92" s="84"/>
      <c r="G92" s="84"/>
      <c r="H92" s="84"/>
      <c r="I92" s="84"/>
      <c r="J92" s="84"/>
      <c r="K92" s="84"/>
      <c r="L92" s="84"/>
      <c r="M92" s="84"/>
      <c r="N92" s="84"/>
      <c r="O92" s="84"/>
      <c r="P92" s="84"/>
      <c r="Q92" s="83"/>
    </row>
    <row r="93" spans="1:17">
      <c r="A93" s="82"/>
      <c r="B93" s="83"/>
      <c r="C93" s="83"/>
      <c r="D93" s="83"/>
      <c r="E93" s="84"/>
      <c r="F93" s="84"/>
      <c r="G93" s="84"/>
      <c r="H93" s="84"/>
      <c r="I93" s="84"/>
      <c r="J93" s="84"/>
      <c r="K93" s="84"/>
      <c r="L93" s="84"/>
      <c r="M93" s="84"/>
      <c r="N93" s="84"/>
      <c r="O93" s="84"/>
      <c r="P93" s="84"/>
      <c r="Q93" s="83"/>
    </row>
    <row r="94" spans="1:17">
      <c r="A94" s="82"/>
      <c r="B94" s="83"/>
      <c r="C94" s="83"/>
      <c r="D94" s="83"/>
      <c r="E94" s="84"/>
      <c r="F94" s="84"/>
      <c r="G94" s="84"/>
      <c r="H94" s="84"/>
      <c r="I94" s="84"/>
      <c r="J94" s="84"/>
      <c r="K94" s="84"/>
      <c r="L94" s="84"/>
      <c r="M94" s="84"/>
      <c r="N94" s="84"/>
      <c r="O94" s="84"/>
      <c r="P94" s="84"/>
      <c r="Q94" s="83"/>
    </row>
    <row r="95" spans="1:17">
      <c r="A95" s="82"/>
      <c r="B95" s="83"/>
      <c r="C95" s="83"/>
      <c r="D95" s="83"/>
      <c r="E95" s="84"/>
      <c r="F95" s="84"/>
      <c r="G95" s="84"/>
      <c r="H95" s="84"/>
      <c r="I95" s="84"/>
      <c r="J95" s="84"/>
      <c r="K95" s="84"/>
      <c r="L95" s="84"/>
      <c r="M95" s="84"/>
      <c r="N95" s="84"/>
      <c r="O95" s="84"/>
      <c r="P95" s="84"/>
      <c r="Q95" s="83"/>
    </row>
    <row r="96" spans="1:17">
      <c r="A96" s="82"/>
      <c r="B96" s="83"/>
      <c r="C96" s="83"/>
      <c r="D96" s="83"/>
      <c r="E96" s="84"/>
      <c r="F96" s="84"/>
      <c r="G96" s="84"/>
      <c r="H96" s="84"/>
      <c r="I96" s="84"/>
      <c r="J96" s="84"/>
      <c r="K96" s="84"/>
      <c r="L96" s="84"/>
      <c r="M96" s="84"/>
      <c r="N96" s="84"/>
      <c r="O96" s="84"/>
      <c r="P96" s="84"/>
      <c r="Q96" s="83"/>
    </row>
    <row r="97" spans="1:17">
      <c r="A97" s="82"/>
      <c r="B97" s="83"/>
      <c r="C97" s="83"/>
      <c r="D97" s="83"/>
      <c r="E97" s="84"/>
      <c r="F97" s="84"/>
      <c r="G97" s="84"/>
      <c r="H97" s="84"/>
      <c r="I97" s="84"/>
      <c r="J97" s="84"/>
      <c r="K97" s="84"/>
      <c r="L97" s="84"/>
      <c r="M97" s="84"/>
      <c r="N97" s="84"/>
      <c r="O97" s="84"/>
      <c r="P97" s="84"/>
      <c r="Q97" s="83"/>
    </row>
    <row r="98" spans="1:17">
      <c r="A98" s="82"/>
      <c r="B98" s="83"/>
      <c r="C98" s="83"/>
      <c r="D98" s="83"/>
      <c r="E98" s="84"/>
      <c r="F98" s="84"/>
      <c r="G98" s="84"/>
      <c r="H98" s="84"/>
      <c r="I98" s="84"/>
      <c r="J98" s="84"/>
      <c r="K98" s="84"/>
      <c r="L98" s="84"/>
      <c r="M98" s="84"/>
      <c r="N98" s="84"/>
      <c r="O98" s="84"/>
      <c r="P98" s="84"/>
      <c r="Q98" s="83"/>
    </row>
    <row r="99" spans="1:17">
      <c r="A99" s="82"/>
      <c r="B99" s="83"/>
      <c r="C99" s="83"/>
      <c r="D99" s="83"/>
      <c r="E99" s="84"/>
      <c r="F99" s="84"/>
      <c r="G99" s="84"/>
      <c r="H99" s="84"/>
      <c r="I99" s="84"/>
      <c r="J99" s="84"/>
      <c r="K99" s="84"/>
      <c r="L99" s="84"/>
      <c r="M99" s="84"/>
      <c r="N99" s="84"/>
      <c r="O99" s="84"/>
      <c r="P99" s="84"/>
      <c r="Q99" s="83"/>
    </row>
    <row r="100" spans="1:17">
      <c r="A100" s="82"/>
      <c r="B100" s="83"/>
      <c r="C100" s="83"/>
      <c r="D100" s="83"/>
      <c r="E100" s="84"/>
      <c r="F100" s="84"/>
      <c r="G100" s="84"/>
      <c r="H100" s="84"/>
      <c r="I100" s="84"/>
      <c r="J100" s="84"/>
      <c r="K100" s="84"/>
      <c r="L100" s="84"/>
      <c r="M100" s="84"/>
      <c r="N100" s="84"/>
      <c r="O100" s="84"/>
      <c r="P100" s="84"/>
      <c r="Q100" s="83"/>
    </row>
    <row r="101" spans="1:17">
      <c r="A101" s="82"/>
      <c r="B101" s="83"/>
      <c r="C101" s="83"/>
      <c r="D101" s="83"/>
      <c r="E101" s="84"/>
      <c r="F101" s="84"/>
      <c r="G101" s="84"/>
      <c r="H101" s="84"/>
      <c r="I101" s="84"/>
      <c r="J101" s="84"/>
      <c r="K101" s="84"/>
      <c r="L101" s="84"/>
      <c r="M101" s="84"/>
      <c r="N101" s="84"/>
      <c r="O101" s="84"/>
      <c r="P101" s="84"/>
      <c r="Q101" s="83"/>
    </row>
    <row r="102" spans="1:17">
      <c r="A102" s="82"/>
      <c r="B102" s="83"/>
      <c r="C102" s="83"/>
      <c r="D102" s="83"/>
      <c r="E102" s="84"/>
      <c r="F102" s="84"/>
      <c r="G102" s="84"/>
      <c r="H102" s="84"/>
      <c r="I102" s="84"/>
      <c r="J102" s="84"/>
      <c r="K102" s="84"/>
      <c r="L102" s="84"/>
      <c r="M102" s="84"/>
      <c r="N102" s="84"/>
      <c r="O102" s="84"/>
      <c r="P102" s="84"/>
      <c r="Q102" s="83"/>
    </row>
    <row r="103" spans="1:17">
      <c r="A103" s="82"/>
      <c r="B103" s="83"/>
      <c r="C103" s="83"/>
      <c r="D103" s="83"/>
      <c r="E103" s="84"/>
      <c r="F103" s="84"/>
      <c r="G103" s="84"/>
      <c r="H103" s="84"/>
      <c r="I103" s="84"/>
      <c r="J103" s="84"/>
      <c r="K103" s="84"/>
      <c r="L103" s="84"/>
      <c r="M103" s="84"/>
      <c r="N103" s="84"/>
      <c r="O103" s="84"/>
      <c r="P103" s="84"/>
      <c r="Q103" s="83"/>
    </row>
    <row r="104" spans="1:17">
      <c r="A104" s="82"/>
      <c r="B104" s="83"/>
      <c r="C104" s="83"/>
      <c r="D104" s="83"/>
      <c r="E104" s="84"/>
      <c r="F104" s="84"/>
      <c r="G104" s="84"/>
      <c r="H104" s="84"/>
      <c r="I104" s="84"/>
      <c r="J104" s="84"/>
      <c r="K104" s="84"/>
      <c r="L104" s="84"/>
      <c r="M104" s="84"/>
      <c r="N104" s="84"/>
      <c r="O104" s="84"/>
      <c r="P104" s="84"/>
      <c r="Q104" s="83"/>
    </row>
    <row r="105" spans="1:17">
      <c r="A105" s="82"/>
      <c r="B105" s="83"/>
      <c r="C105" s="83"/>
      <c r="D105" s="83"/>
      <c r="E105" s="84"/>
      <c r="F105" s="84"/>
      <c r="G105" s="84"/>
      <c r="H105" s="84"/>
      <c r="I105" s="84"/>
      <c r="J105" s="84"/>
      <c r="K105" s="84"/>
      <c r="L105" s="84"/>
      <c r="M105" s="84"/>
      <c r="N105" s="84"/>
      <c r="O105" s="84"/>
      <c r="P105" s="84"/>
      <c r="Q105" s="83"/>
    </row>
    <row r="106" spans="1:17">
      <c r="A106" s="82"/>
      <c r="B106" s="83"/>
      <c r="C106" s="83"/>
      <c r="D106" s="83"/>
      <c r="E106" s="84"/>
      <c r="F106" s="84"/>
      <c r="G106" s="84"/>
      <c r="H106" s="84"/>
      <c r="I106" s="84"/>
      <c r="J106" s="84"/>
      <c r="K106" s="84"/>
      <c r="L106" s="84"/>
      <c r="M106" s="84"/>
      <c r="N106" s="84"/>
      <c r="O106" s="84"/>
      <c r="P106" s="84"/>
      <c r="Q106" s="83"/>
    </row>
    <row r="107" spans="1:17">
      <c r="A107" s="82"/>
      <c r="B107" s="83"/>
      <c r="C107" s="83"/>
      <c r="D107" s="83"/>
      <c r="E107" s="84"/>
      <c r="F107" s="84"/>
      <c r="G107" s="84"/>
      <c r="H107" s="84"/>
      <c r="I107" s="84"/>
      <c r="J107" s="84"/>
      <c r="K107" s="84"/>
      <c r="L107" s="84"/>
      <c r="M107" s="84"/>
      <c r="N107" s="84"/>
      <c r="O107" s="84"/>
      <c r="P107" s="84"/>
      <c r="Q107" s="83"/>
    </row>
    <row r="108" spans="1:17">
      <c r="A108" s="82"/>
      <c r="B108" s="83"/>
      <c r="C108" s="83"/>
      <c r="D108" s="83"/>
      <c r="E108" s="84"/>
      <c r="F108" s="84"/>
      <c r="G108" s="84"/>
      <c r="H108" s="84"/>
      <c r="I108" s="84"/>
      <c r="J108" s="84"/>
      <c r="K108" s="84"/>
      <c r="L108" s="84"/>
      <c r="M108" s="84"/>
      <c r="N108" s="84"/>
      <c r="O108" s="84"/>
      <c r="P108" s="84"/>
      <c r="Q108" s="83"/>
    </row>
    <row r="109" spans="1:17">
      <c r="A109" s="82"/>
      <c r="B109" s="83"/>
      <c r="C109" s="83"/>
      <c r="D109" s="83"/>
      <c r="E109" s="84"/>
      <c r="F109" s="84"/>
      <c r="G109" s="84"/>
      <c r="H109" s="84"/>
      <c r="I109" s="84"/>
      <c r="J109" s="84"/>
      <c r="K109" s="84"/>
      <c r="L109" s="84"/>
      <c r="M109" s="84"/>
      <c r="N109" s="84"/>
      <c r="O109" s="84"/>
      <c r="P109" s="84"/>
      <c r="Q109" s="83"/>
    </row>
    <row r="110" spans="1:17">
      <c r="A110" s="82"/>
      <c r="B110" s="83"/>
      <c r="C110" s="83"/>
      <c r="D110" s="83"/>
      <c r="E110" s="84"/>
      <c r="F110" s="84"/>
      <c r="G110" s="84"/>
      <c r="H110" s="84"/>
      <c r="I110" s="84"/>
      <c r="J110" s="84"/>
      <c r="K110" s="84"/>
      <c r="L110" s="84"/>
      <c r="M110" s="84"/>
      <c r="N110" s="84"/>
      <c r="O110" s="84"/>
      <c r="P110" s="84"/>
      <c r="Q110" s="83"/>
    </row>
    <row r="111" spans="1:17">
      <c r="A111" s="82"/>
      <c r="B111" s="83"/>
      <c r="C111" s="83"/>
      <c r="D111" s="83"/>
      <c r="E111" s="84"/>
      <c r="F111" s="84"/>
      <c r="G111" s="84"/>
      <c r="H111" s="84"/>
      <c r="I111" s="84"/>
      <c r="J111" s="84"/>
      <c r="K111" s="84"/>
      <c r="L111" s="84"/>
      <c r="M111" s="84"/>
      <c r="N111" s="84"/>
      <c r="O111" s="84"/>
      <c r="P111" s="84"/>
      <c r="Q111" s="83"/>
    </row>
    <row r="112" spans="1:17">
      <c r="A112" s="82"/>
      <c r="B112" s="83"/>
      <c r="C112" s="83"/>
      <c r="D112" s="83"/>
      <c r="E112" s="84"/>
      <c r="F112" s="84"/>
      <c r="G112" s="84"/>
      <c r="H112" s="84"/>
      <c r="I112" s="84"/>
      <c r="J112" s="84"/>
      <c r="K112" s="84"/>
      <c r="L112" s="84"/>
      <c r="M112" s="84"/>
      <c r="N112" s="84"/>
      <c r="O112" s="84"/>
      <c r="P112" s="84"/>
      <c r="Q112" s="83"/>
    </row>
    <row r="113" spans="1:17">
      <c r="A113" s="82"/>
      <c r="B113" s="83"/>
      <c r="C113" s="83"/>
      <c r="D113" s="83"/>
      <c r="E113" s="84"/>
      <c r="F113" s="84"/>
      <c r="G113" s="84"/>
      <c r="H113" s="84"/>
      <c r="I113" s="84"/>
      <c r="J113" s="84"/>
      <c r="K113" s="84"/>
      <c r="L113" s="84"/>
      <c r="M113" s="84"/>
      <c r="N113" s="84"/>
      <c r="O113" s="84"/>
      <c r="P113" s="84"/>
      <c r="Q113" s="83"/>
    </row>
    <row r="114" spans="1:17">
      <c r="A114" s="82"/>
      <c r="B114" s="83"/>
      <c r="C114" s="83"/>
      <c r="D114" s="83"/>
      <c r="E114" s="84"/>
      <c r="F114" s="84"/>
      <c r="G114" s="84"/>
      <c r="H114" s="84"/>
      <c r="I114" s="84"/>
      <c r="J114" s="84"/>
      <c r="K114" s="84"/>
      <c r="L114" s="84"/>
      <c r="M114" s="84"/>
      <c r="N114" s="84"/>
      <c r="O114" s="84"/>
      <c r="P114" s="84"/>
      <c r="Q114" s="83"/>
    </row>
    <row r="115" spans="1:17">
      <c r="A115" s="82"/>
      <c r="B115" s="83"/>
      <c r="C115" s="83"/>
      <c r="D115" s="83"/>
      <c r="E115" s="84"/>
      <c r="F115" s="84"/>
      <c r="G115" s="84"/>
      <c r="H115" s="84"/>
      <c r="I115" s="84"/>
      <c r="J115" s="84"/>
      <c r="K115" s="84"/>
      <c r="L115" s="84"/>
      <c r="M115" s="84"/>
      <c r="N115" s="84"/>
      <c r="O115" s="84"/>
      <c r="P115" s="84"/>
      <c r="Q115" s="83"/>
    </row>
    <row r="116" spans="1:17">
      <c r="A116" s="82"/>
      <c r="B116" s="83"/>
      <c r="C116" s="83"/>
      <c r="D116" s="83"/>
      <c r="E116" s="84"/>
      <c r="F116" s="84"/>
      <c r="G116" s="84"/>
      <c r="H116" s="84"/>
      <c r="I116" s="84"/>
      <c r="J116" s="84"/>
      <c r="K116" s="84"/>
      <c r="L116" s="84"/>
      <c r="M116" s="84"/>
      <c r="N116" s="84"/>
      <c r="O116" s="84"/>
      <c r="P116" s="84"/>
      <c r="Q116" s="83"/>
    </row>
    <row r="117" spans="1:17">
      <c r="A117" s="82"/>
      <c r="B117" s="83"/>
      <c r="C117" s="83"/>
      <c r="D117" s="83"/>
      <c r="E117" s="84"/>
      <c r="F117" s="84"/>
      <c r="G117" s="84"/>
      <c r="H117" s="84"/>
      <c r="I117" s="84"/>
      <c r="J117" s="84"/>
      <c r="K117" s="84"/>
      <c r="L117" s="84"/>
      <c r="M117" s="84"/>
      <c r="N117" s="84"/>
      <c r="O117" s="84"/>
      <c r="P117" s="84"/>
      <c r="Q117" s="83"/>
    </row>
    <row r="118" spans="1:17">
      <c r="A118" s="82"/>
      <c r="B118" s="83"/>
      <c r="C118" s="83"/>
      <c r="D118" s="83"/>
      <c r="E118" s="84"/>
      <c r="F118" s="84"/>
      <c r="G118" s="84"/>
      <c r="H118" s="84"/>
      <c r="I118" s="84"/>
      <c r="J118" s="84"/>
      <c r="K118" s="84"/>
      <c r="L118" s="84"/>
      <c r="M118" s="84"/>
      <c r="N118" s="84"/>
      <c r="O118" s="84"/>
      <c r="P118" s="84"/>
      <c r="Q118" s="83"/>
    </row>
    <row r="119" spans="1:17">
      <c r="A119" s="82"/>
      <c r="B119" s="83"/>
      <c r="C119" s="83"/>
      <c r="D119" s="83"/>
      <c r="E119" s="84"/>
      <c r="F119" s="84"/>
      <c r="G119" s="84"/>
      <c r="H119" s="84"/>
      <c r="I119" s="84"/>
      <c r="J119" s="84"/>
      <c r="K119" s="84"/>
      <c r="L119" s="84"/>
      <c r="M119" s="84"/>
      <c r="N119" s="84"/>
      <c r="O119" s="84"/>
      <c r="P119" s="84"/>
      <c r="Q119" s="83"/>
    </row>
    <row r="120" spans="1:17">
      <c r="A120" s="82"/>
      <c r="B120" s="83"/>
      <c r="C120" s="83"/>
      <c r="D120" s="83"/>
      <c r="E120" s="84"/>
      <c r="F120" s="84"/>
      <c r="G120" s="84"/>
      <c r="H120" s="84"/>
      <c r="I120" s="84"/>
      <c r="J120" s="84"/>
      <c r="K120" s="84"/>
      <c r="L120" s="84"/>
      <c r="M120" s="84"/>
      <c r="N120" s="84"/>
      <c r="O120" s="84"/>
      <c r="P120" s="84"/>
      <c r="Q120" s="83"/>
    </row>
    <row r="121" spans="1:17">
      <c r="A121" s="82"/>
      <c r="B121" s="83"/>
      <c r="C121" s="83"/>
      <c r="D121" s="83"/>
      <c r="E121" s="84"/>
      <c r="F121" s="84"/>
      <c r="G121" s="84"/>
      <c r="H121" s="84"/>
      <c r="I121" s="84"/>
      <c r="J121" s="84"/>
      <c r="K121" s="84"/>
      <c r="L121" s="84"/>
      <c r="M121" s="84"/>
      <c r="N121" s="84"/>
      <c r="O121" s="84"/>
      <c r="P121" s="84"/>
      <c r="Q121" s="83"/>
    </row>
    <row r="122" spans="1:17">
      <c r="A122" s="82"/>
      <c r="B122" s="83"/>
      <c r="C122" s="83"/>
      <c r="D122" s="83"/>
      <c r="E122" s="84"/>
      <c r="F122" s="84"/>
      <c r="G122" s="84"/>
      <c r="H122" s="84"/>
      <c r="I122" s="84"/>
      <c r="J122" s="84"/>
      <c r="K122" s="84"/>
      <c r="L122" s="84"/>
      <c r="M122" s="84"/>
      <c r="N122" s="84"/>
      <c r="O122" s="84"/>
      <c r="P122" s="84"/>
      <c r="Q122" s="83"/>
    </row>
    <row r="123" spans="1:17">
      <c r="A123" s="82"/>
      <c r="B123" s="83"/>
      <c r="C123" s="83"/>
      <c r="D123" s="83"/>
      <c r="E123" s="84"/>
      <c r="F123" s="84"/>
      <c r="G123" s="84"/>
      <c r="H123" s="84"/>
      <c r="I123" s="84"/>
      <c r="J123" s="84"/>
      <c r="K123" s="84"/>
      <c r="L123" s="84"/>
      <c r="M123" s="84"/>
      <c r="N123" s="84"/>
      <c r="O123" s="84"/>
      <c r="P123" s="84"/>
      <c r="Q123" s="83"/>
    </row>
    <row r="124" spans="1:17">
      <c r="A124" s="82"/>
      <c r="B124" s="83"/>
      <c r="C124" s="83"/>
      <c r="D124" s="83"/>
      <c r="E124" s="84"/>
      <c r="F124" s="84"/>
      <c r="G124" s="84"/>
      <c r="H124" s="84"/>
      <c r="I124" s="84"/>
      <c r="J124" s="84"/>
      <c r="K124" s="84"/>
      <c r="L124" s="84"/>
      <c r="M124" s="84"/>
      <c r="N124" s="84"/>
      <c r="O124" s="84"/>
      <c r="P124" s="84"/>
      <c r="Q124" s="83"/>
    </row>
    <row r="125" spans="1:17">
      <c r="A125" s="82"/>
      <c r="B125" s="83"/>
      <c r="C125" s="83"/>
      <c r="D125" s="83"/>
      <c r="E125" s="84"/>
      <c r="F125" s="84"/>
      <c r="G125" s="84"/>
      <c r="H125" s="84"/>
      <c r="I125" s="84"/>
      <c r="J125" s="84"/>
      <c r="K125" s="84"/>
      <c r="L125" s="84"/>
      <c r="M125" s="84"/>
      <c r="N125" s="84"/>
      <c r="O125" s="84"/>
      <c r="P125" s="84"/>
      <c r="Q125" s="83"/>
    </row>
    <row r="126" spans="1:17">
      <c r="A126" s="82"/>
      <c r="B126" s="83"/>
      <c r="C126" s="83"/>
      <c r="D126" s="83"/>
      <c r="E126" s="84"/>
      <c r="F126" s="84"/>
      <c r="G126" s="84"/>
      <c r="H126" s="84"/>
      <c r="I126" s="84"/>
      <c r="J126" s="84"/>
      <c r="K126" s="84"/>
      <c r="L126" s="84"/>
      <c r="M126" s="84"/>
      <c r="N126" s="84"/>
      <c r="O126" s="84"/>
      <c r="P126" s="84"/>
      <c r="Q126" s="83"/>
    </row>
    <row r="127" spans="1:17">
      <c r="A127" s="82"/>
      <c r="B127" s="83"/>
      <c r="C127" s="83"/>
      <c r="D127" s="83"/>
      <c r="E127" s="84"/>
      <c r="F127" s="84"/>
      <c r="G127" s="84"/>
      <c r="H127" s="84"/>
      <c r="I127" s="84"/>
      <c r="J127" s="84"/>
      <c r="K127" s="84"/>
      <c r="L127" s="84"/>
      <c r="M127" s="84"/>
      <c r="N127" s="84"/>
      <c r="O127" s="84"/>
      <c r="P127" s="84"/>
      <c r="Q127" s="83"/>
    </row>
    <row r="128" spans="1:17">
      <c r="A128" s="82"/>
      <c r="B128" s="83"/>
      <c r="C128" s="83"/>
      <c r="D128" s="83"/>
      <c r="E128" s="84"/>
      <c r="F128" s="84"/>
      <c r="G128" s="84"/>
      <c r="H128" s="84"/>
      <c r="I128" s="84"/>
      <c r="J128" s="84"/>
      <c r="K128" s="84"/>
      <c r="L128" s="84"/>
      <c r="M128" s="84"/>
      <c r="N128" s="84"/>
      <c r="O128" s="84"/>
      <c r="P128" s="84"/>
      <c r="Q128" s="83"/>
    </row>
    <row r="129" spans="1:17">
      <c r="A129" s="82"/>
      <c r="B129" s="83"/>
      <c r="C129" s="83"/>
      <c r="D129" s="83"/>
      <c r="E129" s="84"/>
      <c r="F129" s="84"/>
      <c r="G129" s="84"/>
      <c r="H129" s="84"/>
      <c r="I129" s="84"/>
      <c r="J129" s="84"/>
      <c r="K129" s="84"/>
      <c r="L129" s="84"/>
      <c r="M129" s="84"/>
      <c r="N129" s="84"/>
      <c r="O129" s="84"/>
      <c r="P129" s="84"/>
      <c r="Q129" s="83"/>
    </row>
    <row r="130" spans="1:17">
      <c r="A130" s="82"/>
      <c r="B130" s="83"/>
      <c r="C130" s="83"/>
      <c r="D130" s="83"/>
      <c r="E130" s="84"/>
      <c r="F130" s="84"/>
      <c r="G130" s="84"/>
      <c r="H130" s="84"/>
      <c r="I130" s="84"/>
      <c r="J130" s="84"/>
      <c r="K130" s="84"/>
      <c r="L130" s="84"/>
      <c r="M130" s="84"/>
      <c r="N130" s="84"/>
      <c r="O130" s="84"/>
      <c r="P130" s="84"/>
      <c r="Q130" s="83"/>
    </row>
    <row r="131" spans="1:17">
      <c r="A131" s="82"/>
      <c r="B131" s="83"/>
      <c r="C131" s="83"/>
      <c r="D131" s="83"/>
      <c r="E131" s="84"/>
      <c r="F131" s="84"/>
      <c r="G131" s="84"/>
      <c r="H131" s="84"/>
      <c r="I131" s="84"/>
      <c r="J131" s="84"/>
      <c r="K131" s="84"/>
      <c r="L131" s="84"/>
      <c r="M131" s="84"/>
      <c r="N131" s="84"/>
      <c r="O131" s="84"/>
      <c r="P131" s="84"/>
      <c r="Q131" s="83"/>
    </row>
    <row r="132" spans="1:17">
      <c r="A132" s="82"/>
      <c r="B132" s="83"/>
      <c r="C132" s="83"/>
      <c r="D132" s="83"/>
      <c r="E132" s="84"/>
      <c r="F132" s="84"/>
      <c r="G132" s="84"/>
      <c r="H132" s="84"/>
      <c r="I132" s="84"/>
      <c r="J132" s="84"/>
      <c r="K132" s="84"/>
      <c r="L132" s="84"/>
      <c r="M132" s="84"/>
      <c r="N132" s="84"/>
      <c r="O132" s="84"/>
      <c r="P132" s="84"/>
      <c r="Q132" s="83"/>
    </row>
    <row r="133" spans="1:17">
      <c r="A133" s="82"/>
      <c r="B133" s="83"/>
      <c r="C133" s="83"/>
      <c r="D133" s="83"/>
      <c r="E133" s="84"/>
      <c r="F133" s="84"/>
      <c r="G133" s="84"/>
      <c r="H133" s="84"/>
      <c r="I133" s="84"/>
      <c r="J133" s="84"/>
      <c r="K133" s="84"/>
      <c r="L133" s="84"/>
      <c r="M133" s="84"/>
      <c r="N133" s="84"/>
      <c r="O133" s="84"/>
      <c r="P133" s="84"/>
      <c r="Q133" s="83"/>
    </row>
    <row r="134" spans="1:17">
      <c r="A134" s="82"/>
      <c r="B134" s="83"/>
      <c r="C134" s="83"/>
      <c r="D134" s="83"/>
      <c r="E134" s="84"/>
      <c r="F134" s="84"/>
      <c r="G134" s="84"/>
      <c r="H134" s="84"/>
      <c r="I134" s="84"/>
      <c r="J134" s="84"/>
      <c r="K134" s="84"/>
      <c r="L134" s="84"/>
      <c r="M134" s="84"/>
      <c r="N134" s="84"/>
      <c r="O134" s="84"/>
      <c r="P134" s="84"/>
      <c r="Q134" s="83"/>
    </row>
    <row r="135" spans="1:17">
      <c r="A135" s="82"/>
      <c r="B135" s="83"/>
      <c r="C135" s="83"/>
      <c r="D135" s="83"/>
      <c r="E135" s="84"/>
      <c r="F135" s="84"/>
      <c r="G135" s="84"/>
      <c r="H135" s="84"/>
      <c r="I135" s="84"/>
      <c r="J135" s="84"/>
      <c r="K135" s="84"/>
      <c r="L135" s="84"/>
      <c r="M135" s="84"/>
      <c r="N135" s="84"/>
      <c r="O135" s="84"/>
      <c r="P135" s="84"/>
      <c r="Q135" s="83"/>
    </row>
    <row r="136" spans="1:17">
      <c r="A136" s="82"/>
      <c r="B136" s="83"/>
      <c r="C136" s="83"/>
      <c r="D136" s="83"/>
      <c r="E136" s="84"/>
      <c r="F136" s="84"/>
      <c r="G136" s="84"/>
      <c r="H136" s="84"/>
      <c r="I136" s="84"/>
      <c r="J136" s="84"/>
      <c r="K136" s="84"/>
      <c r="L136" s="84"/>
      <c r="M136" s="84"/>
      <c r="N136" s="84"/>
      <c r="O136" s="84"/>
      <c r="P136" s="84"/>
      <c r="Q136" s="83"/>
    </row>
    <row r="137" spans="1:17">
      <c r="A137" s="82"/>
      <c r="B137" s="83"/>
      <c r="C137" s="83"/>
      <c r="D137" s="83"/>
      <c r="E137" s="84"/>
      <c r="F137" s="84"/>
      <c r="G137" s="84"/>
      <c r="H137" s="84"/>
      <c r="I137" s="84"/>
      <c r="J137" s="84"/>
      <c r="K137" s="84"/>
      <c r="L137" s="84"/>
      <c r="M137" s="84"/>
      <c r="N137" s="84"/>
      <c r="O137" s="84"/>
      <c r="P137" s="84"/>
      <c r="Q137" s="83"/>
    </row>
    <row r="138" spans="1:17">
      <c r="A138" s="82"/>
      <c r="B138" s="83"/>
      <c r="C138" s="83"/>
      <c r="D138" s="83"/>
      <c r="E138" s="84"/>
      <c r="F138" s="84"/>
      <c r="G138" s="84"/>
      <c r="H138" s="84"/>
      <c r="I138" s="84"/>
      <c r="J138" s="84"/>
      <c r="K138" s="84"/>
      <c r="L138" s="84"/>
      <c r="M138" s="84"/>
      <c r="N138" s="84"/>
      <c r="O138" s="84"/>
      <c r="P138" s="84"/>
      <c r="Q138" s="83"/>
    </row>
    <row r="139" spans="1:17">
      <c r="A139" s="82"/>
      <c r="B139" s="83"/>
      <c r="C139" s="83"/>
      <c r="D139" s="83"/>
      <c r="E139" s="84"/>
      <c r="F139" s="84"/>
      <c r="G139" s="84"/>
      <c r="H139" s="84"/>
      <c r="I139" s="84"/>
      <c r="J139" s="84"/>
      <c r="K139" s="84"/>
      <c r="L139" s="84"/>
      <c r="M139" s="84"/>
      <c r="N139" s="84"/>
      <c r="O139" s="84"/>
      <c r="P139" s="84"/>
      <c r="Q139" s="83"/>
    </row>
    <row r="140" spans="1:17">
      <c r="A140" s="82"/>
      <c r="B140" s="83"/>
      <c r="C140" s="83"/>
      <c r="D140" s="83"/>
      <c r="E140" s="84"/>
      <c r="F140" s="84"/>
      <c r="G140" s="84"/>
      <c r="H140" s="84"/>
      <c r="I140" s="84"/>
      <c r="J140" s="84"/>
      <c r="K140" s="84"/>
      <c r="L140" s="84"/>
      <c r="M140" s="84"/>
      <c r="N140" s="84"/>
      <c r="O140" s="84"/>
      <c r="P140" s="84"/>
      <c r="Q140" s="83"/>
    </row>
    <row r="141" spans="1:17">
      <c r="A141" s="82"/>
      <c r="B141" s="83"/>
      <c r="C141" s="83"/>
      <c r="D141" s="83"/>
      <c r="E141" s="84"/>
      <c r="F141" s="84"/>
      <c r="G141" s="84"/>
      <c r="H141" s="84"/>
      <c r="I141" s="84"/>
      <c r="J141" s="84"/>
      <c r="K141" s="84"/>
      <c r="L141" s="84"/>
      <c r="M141" s="84"/>
      <c r="N141" s="84"/>
      <c r="O141" s="84"/>
      <c r="P141" s="84"/>
      <c r="Q141" s="83"/>
    </row>
    <row r="142" spans="1:17">
      <c r="A142" s="82"/>
      <c r="B142" s="83"/>
      <c r="C142" s="83"/>
      <c r="D142" s="83"/>
      <c r="E142" s="84"/>
      <c r="F142" s="84"/>
      <c r="G142" s="84"/>
      <c r="H142" s="84"/>
      <c r="I142" s="84"/>
      <c r="J142" s="84"/>
      <c r="K142" s="84"/>
      <c r="L142" s="84"/>
      <c r="M142" s="84"/>
      <c r="N142" s="84"/>
      <c r="O142" s="84"/>
      <c r="P142" s="84"/>
      <c r="Q142" s="83"/>
    </row>
    <row r="143" spans="1:17">
      <c r="A143" s="82"/>
      <c r="B143" s="83"/>
      <c r="C143" s="83"/>
      <c r="D143" s="83"/>
      <c r="E143" s="84"/>
      <c r="F143" s="84"/>
      <c r="G143" s="84"/>
      <c r="H143" s="84"/>
      <c r="I143" s="84"/>
      <c r="J143" s="84"/>
      <c r="K143" s="84"/>
      <c r="L143" s="84"/>
      <c r="M143" s="84"/>
      <c r="N143" s="84"/>
      <c r="O143" s="84"/>
      <c r="P143" s="84"/>
      <c r="Q143" s="83"/>
    </row>
    <row r="144" spans="1:17">
      <c r="A144" s="82"/>
      <c r="B144" s="83"/>
      <c r="C144" s="83"/>
      <c r="D144" s="83"/>
      <c r="E144" s="84"/>
      <c r="F144" s="84"/>
      <c r="G144" s="84"/>
      <c r="H144" s="84"/>
      <c r="I144" s="84"/>
      <c r="J144" s="84"/>
      <c r="K144" s="84"/>
      <c r="L144" s="84"/>
      <c r="M144" s="84"/>
      <c r="N144" s="84"/>
      <c r="O144" s="84"/>
      <c r="P144" s="84"/>
      <c r="Q144" s="83"/>
    </row>
    <row r="145" spans="1:17">
      <c r="A145" s="82"/>
      <c r="B145" s="83"/>
      <c r="C145" s="83"/>
      <c r="D145" s="83"/>
      <c r="E145" s="84"/>
      <c r="F145" s="84"/>
      <c r="G145" s="84"/>
      <c r="H145" s="84"/>
      <c r="I145" s="84"/>
      <c r="J145" s="84"/>
      <c r="K145" s="84"/>
      <c r="L145" s="84"/>
      <c r="M145" s="84"/>
      <c r="N145" s="84"/>
      <c r="O145" s="84"/>
      <c r="P145" s="84"/>
      <c r="Q145" s="83"/>
    </row>
    <row r="146" spans="1:17">
      <c r="A146" s="82"/>
      <c r="B146" s="83"/>
      <c r="C146" s="83"/>
      <c r="D146" s="83"/>
      <c r="E146" s="84"/>
      <c r="F146" s="84"/>
      <c r="G146" s="84"/>
      <c r="H146" s="84"/>
      <c r="I146" s="84"/>
      <c r="J146" s="84"/>
      <c r="K146" s="84"/>
      <c r="L146" s="84"/>
      <c r="M146" s="84"/>
      <c r="N146" s="84"/>
      <c r="O146" s="84"/>
      <c r="P146" s="84"/>
      <c r="Q146" s="83"/>
    </row>
    <row r="147" spans="1:17">
      <c r="A147" s="82"/>
      <c r="B147" s="83"/>
      <c r="C147" s="83"/>
      <c r="D147" s="83"/>
      <c r="E147" s="84"/>
      <c r="F147" s="84"/>
      <c r="G147" s="84"/>
      <c r="H147" s="84"/>
      <c r="I147" s="84"/>
      <c r="J147" s="84"/>
      <c r="K147" s="84"/>
      <c r="L147" s="84"/>
      <c r="M147" s="84"/>
      <c r="N147" s="84"/>
      <c r="O147" s="84"/>
      <c r="P147" s="84"/>
      <c r="Q147" s="83"/>
    </row>
    <row r="148" spans="1:17">
      <c r="A148" s="82"/>
      <c r="B148" s="83"/>
      <c r="C148" s="83"/>
      <c r="D148" s="83"/>
      <c r="E148" s="84"/>
      <c r="F148" s="84"/>
      <c r="G148" s="84"/>
      <c r="H148" s="84"/>
      <c r="I148" s="84"/>
      <c r="J148" s="84"/>
      <c r="K148" s="84"/>
      <c r="L148" s="84"/>
      <c r="M148" s="84"/>
      <c r="N148" s="84"/>
      <c r="O148" s="84"/>
      <c r="P148" s="84"/>
      <c r="Q148" s="83"/>
    </row>
    <row r="149" spans="1:17">
      <c r="A149" s="82"/>
      <c r="B149" s="83"/>
      <c r="C149" s="83"/>
      <c r="D149" s="83"/>
      <c r="E149" s="84"/>
      <c r="F149" s="84"/>
      <c r="G149" s="84"/>
      <c r="H149" s="84"/>
      <c r="I149" s="84"/>
      <c r="J149" s="84"/>
      <c r="K149" s="84"/>
      <c r="L149" s="84"/>
      <c r="M149" s="84"/>
      <c r="N149" s="84"/>
      <c r="O149" s="84"/>
      <c r="P149" s="84"/>
      <c r="Q149" s="83"/>
    </row>
    <row r="150" spans="1:17">
      <c r="A150" s="82"/>
      <c r="B150" s="83"/>
      <c r="C150" s="83"/>
      <c r="D150" s="83"/>
      <c r="E150" s="84"/>
      <c r="F150" s="84"/>
      <c r="G150" s="84"/>
      <c r="H150" s="84"/>
      <c r="I150" s="84"/>
      <c r="J150" s="84"/>
      <c r="K150" s="84"/>
      <c r="L150" s="84"/>
      <c r="M150" s="84"/>
      <c r="N150" s="84"/>
      <c r="O150" s="84"/>
      <c r="P150" s="84"/>
      <c r="Q150" s="83"/>
    </row>
    <row r="151" spans="1:17">
      <c r="A151" s="82"/>
      <c r="B151" s="83"/>
      <c r="C151" s="83"/>
      <c r="D151" s="83"/>
      <c r="E151" s="84"/>
      <c r="F151" s="84"/>
      <c r="G151" s="84"/>
      <c r="H151" s="84"/>
      <c r="I151" s="84"/>
      <c r="J151" s="84"/>
      <c r="K151" s="84"/>
      <c r="L151" s="84"/>
      <c r="M151" s="84"/>
      <c r="N151" s="84"/>
      <c r="O151" s="84"/>
      <c r="P151" s="84"/>
      <c r="Q151" s="83"/>
    </row>
    <row r="152" spans="1:17">
      <c r="A152" s="82"/>
      <c r="B152" s="83"/>
      <c r="C152" s="83"/>
      <c r="D152" s="83"/>
      <c r="E152" s="84"/>
      <c r="F152" s="84"/>
      <c r="G152" s="84"/>
      <c r="H152" s="84"/>
      <c r="I152" s="84"/>
      <c r="J152" s="84"/>
      <c r="K152" s="84"/>
      <c r="L152" s="84"/>
      <c r="M152" s="84"/>
      <c r="N152" s="84"/>
      <c r="O152" s="84"/>
      <c r="P152" s="84"/>
      <c r="Q152" s="83"/>
    </row>
    <row r="153" spans="1:17">
      <c r="A153" s="82"/>
      <c r="B153" s="83"/>
      <c r="C153" s="83"/>
      <c r="D153" s="83"/>
      <c r="E153" s="84"/>
      <c r="F153" s="84"/>
      <c r="G153" s="84"/>
      <c r="H153" s="84"/>
      <c r="I153" s="84"/>
      <c r="J153" s="84"/>
      <c r="K153" s="84"/>
      <c r="L153" s="84"/>
      <c r="M153" s="84"/>
      <c r="N153" s="84"/>
      <c r="O153" s="84"/>
      <c r="P153" s="84"/>
      <c r="Q153" s="83"/>
    </row>
    <row r="154" spans="1:17">
      <c r="A154" s="82"/>
      <c r="B154" s="83"/>
      <c r="C154" s="83"/>
      <c r="D154" s="83"/>
      <c r="E154" s="84"/>
      <c r="F154" s="84"/>
      <c r="G154" s="84"/>
      <c r="H154" s="84"/>
      <c r="I154" s="84"/>
      <c r="J154" s="84"/>
      <c r="K154" s="84"/>
      <c r="L154" s="84"/>
      <c r="M154" s="84"/>
      <c r="N154" s="84"/>
      <c r="O154" s="84"/>
      <c r="P154" s="84"/>
      <c r="Q154" s="83"/>
    </row>
    <row r="155" spans="1:17">
      <c r="A155" s="82"/>
      <c r="B155" s="83"/>
      <c r="C155" s="83"/>
      <c r="D155" s="83"/>
      <c r="E155" s="84"/>
      <c r="F155" s="84"/>
      <c r="G155" s="84"/>
      <c r="H155" s="84"/>
      <c r="I155" s="84"/>
      <c r="J155" s="84"/>
      <c r="K155" s="84"/>
      <c r="L155" s="84"/>
      <c r="M155" s="84"/>
      <c r="N155" s="84"/>
      <c r="O155" s="84"/>
      <c r="P155" s="84"/>
      <c r="Q155" s="83"/>
    </row>
    <row r="156" spans="1:17">
      <c r="A156" s="82"/>
      <c r="B156" s="83"/>
      <c r="C156" s="83"/>
      <c r="D156" s="83"/>
      <c r="E156" s="84"/>
      <c r="F156" s="84"/>
      <c r="G156" s="84"/>
      <c r="H156" s="84"/>
      <c r="I156" s="84"/>
      <c r="J156" s="84"/>
      <c r="K156" s="84"/>
      <c r="L156" s="84"/>
      <c r="M156" s="84"/>
      <c r="N156" s="84"/>
      <c r="O156" s="84"/>
      <c r="P156" s="84"/>
      <c r="Q156" s="83"/>
    </row>
    <row r="157" spans="1:17">
      <c r="A157" s="82"/>
      <c r="B157" s="83"/>
      <c r="C157" s="83"/>
      <c r="D157" s="83"/>
      <c r="E157" s="84"/>
      <c r="F157" s="84"/>
      <c r="G157" s="84"/>
      <c r="H157" s="84"/>
      <c r="I157" s="84"/>
      <c r="J157" s="84"/>
      <c r="K157" s="84"/>
      <c r="L157" s="84"/>
      <c r="M157" s="84"/>
      <c r="N157" s="84"/>
      <c r="O157" s="84"/>
      <c r="P157" s="84"/>
      <c r="Q157" s="83"/>
    </row>
    <row r="158" spans="1:17">
      <c r="A158" s="82"/>
      <c r="B158" s="83"/>
      <c r="C158" s="83"/>
      <c r="D158" s="83"/>
      <c r="E158" s="84"/>
      <c r="F158" s="84"/>
      <c r="G158" s="84"/>
      <c r="H158" s="84"/>
      <c r="I158" s="84"/>
      <c r="J158" s="84"/>
      <c r="K158" s="84"/>
      <c r="L158" s="84"/>
      <c r="M158" s="84"/>
      <c r="N158" s="84"/>
      <c r="O158" s="84"/>
      <c r="P158" s="84"/>
      <c r="Q158" s="83"/>
    </row>
    <row r="159" spans="1:17">
      <c r="A159" s="82"/>
      <c r="B159" s="83"/>
      <c r="C159" s="83"/>
      <c r="D159" s="83"/>
      <c r="E159" s="84"/>
      <c r="F159" s="84"/>
      <c r="G159" s="84"/>
      <c r="H159" s="84"/>
      <c r="I159" s="84"/>
      <c r="J159" s="84"/>
      <c r="K159" s="84"/>
      <c r="L159" s="84"/>
      <c r="M159" s="84"/>
      <c r="N159" s="84"/>
      <c r="O159" s="84"/>
      <c r="P159" s="84"/>
      <c r="Q159" s="83"/>
    </row>
    <row r="160" spans="1:17">
      <c r="A160" s="82"/>
      <c r="B160" s="83"/>
      <c r="C160" s="83"/>
      <c r="D160" s="83"/>
      <c r="E160" s="84"/>
      <c r="F160" s="84"/>
      <c r="G160" s="84"/>
      <c r="H160" s="84"/>
      <c r="I160" s="84"/>
      <c r="J160" s="84"/>
      <c r="K160" s="84"/>
      <c r="L160" s="84"/>
      <c r="M160" s="84"/>
      <c r="N160" s="84"/>
      <c r="O160" s="84"/>
      <c r="P160" s="84"/>
      <c r="Q160" s="83"/>
    </row>
    <row r="161" spans="1:17">
      <c r="A161" s="82"/>
      <c r="B161" s="83"/>
      <c r="C161" s="83"/>
      <c r="D161" s="83"/>
      <c r="E161" s="84"/>
      <c r="F161" s="84"/>
      <c r="G161" s="84"/>
      <c r="H161" s="84"/>
      <c r="I161" s="84"/>
      <c r="J161" s="84"/>
      <c r="K161" s="84"/>
      <c r="L161" s="84"/>
      <c r="M161" s="84"/>
      <c r="N161" s="84"/>
      <c r="O161" s="84"/>
      <c r="P161" s="84"/>
      <c r="Q161" s="83"/>
    </row>
    <row r="162" spans="1:17">
      <c r="A162" s="82"/>
      <c r="B162" s="83"/>
      <c r="C162" s="83"/>
      <c r="D162" s="83"/>
      <c r="E162" s="84"/>
      <c r="F162" s="84"/>
      <c r="G162" s="84"/>
      <c r="H162" s="84"/>
      <c r="I162" s="84"/>
      <c r="J162" s="84"/>
      <c r="K162" s="84"/>
      <c r="L162" s="84"/>
      <c r="M162" s="84"/>
      <c r="N162" s="84"/>
      <c r="O162" s="84"/>
      <c r="P162" s="84"/>
      <c r="Q162" s="83"/>
    </row>
    <row r="163" spans="1:17">
      <c r="A163" s="82"/>
      <c r="B163" s="83"/>
      <c r="C163" s="83"/>
      <c r="D163" s="83"/>
      <c r="E163" s="84"/>
      <c r="F163" s="84"/>
      <c r="G163" s="84"/>
      <c r="H163" s="84"/>
      <c r="I163" s="84"/>
      <c r="J163" s="84"/>
      <c r="K163" s="84"/>
      <c r="L163" s="84"/>
      <c r="M163" s="84"/>
      <c r="N163" s="84"/>
      <c r="O163" s="84"/>
      <c r="P163" s="84"/>
      <c r="Q163" s="83"/>
    </row>
    <row r="164" spans="1:17">
      <c r="A164" s="82"/>
      <c r="B164" s="83"/>
      <c r="C164" s="83"/>
      <c r="D164" s="83"/>
      <c r="E164" s="84"/>
      <c r="F164" s="84"/>
      <c r="G164" s="84"/>
      <c r="H164" s="84"/>
      <c r="I164" s="84"/>
      <c r="J164" s="84"/>
      <c r="K164" s="84"/>
      <c r="L164" s="84"/>
      <c r="M164" s="84"/>
      <c r="N164" s="84"/>
      <c r="O164" s="84"/>
      <c r="P164" s="84"/>
      <c r="Q164" s="83"/>
    </row>
    <row r="165" spans="1:17">
      <c r="A165" s="82"/>
      <c r="B165" s="83"/>
      <c r="C165" s="83"/>
      <c r="D165" s="83"/>
      <c r="E165" s="84"/>
      <c r="F165" s="84"/>
      <c r="G165" s="84"/>
      <c r="H165" s="84"/>
      <c r="I165" s="84"/>
      <c r="J165" s="84"/>
      <c r="K165" s="84"/>
      <c r="L165" s="84"/>
      <c r="M165" s="84"/>
      <c r="N165" s="84"/>
      <c r="O165" s="84"/>
      <c r="P165" s="84"/>
      <c r="Q165" s="83"/>
    </row>
    <row r="166" spans="1:17">
      <c r="A166" s="82"/>
      <c r="B166" s="83"/>
      <c r="C166" s="83"/>
      <c r="D166" s="83"/>
      <c r="E166" s="84"/>
      <c r="F166" s="84"/>
      <c r="G166" s="84"/>
      <c r="H166" s="84"/>
      <c r="I166" s="84"/>
      <c r="J166" s="84"/>
      <c r="K166" s="84"/>
      <c r="L166" s="84"/>
      <c r="M166" s="84"/>
      <c r="N166" s="84"/>
      <c r="O166" s="84"/>
      <c r="P166" s="84"/>
      <c r="Q166" s="83"/>
    </row>
    <row r="167" spans="1:17">
      <c r="A167" s="82"/>
      <c r="B167" s="83"/>
      <c r="C167" s="83"/>
      <c r="D167" s="83"/>
      <c r="E167" s="84"/>
      <c r="F167" s="84"/>
      <c r="G167" s="84"/>
      <c r="H167" s="84"/>
      <c r="I167" s="84"/>
      <c r="J167" s="84"/>
      <c r="K167" s="84"/>
      <c r="L167" s="84"/>
      <c r="M167" s="84"/>
      <c r="N167" s="84"/>
      <c r="O167" s="84"/>
      <c r="P167" s="84"/>
      <c r="Q167" s="83"/>
    </row>
    <row r="168" spans="1:17">
      <c r="A168" s="82"/>
      <c r="B168" s="83"/>
      <c r="C168" s="83"/>
      <c r="D168" s="83"/>
      <c r="E168" s="84"/>
      <c r="F168" s="84"/>
      <c r="G168" s="84"/>
      <c r="H168" s="84"/>
      <c r="I168" s="84"/>
      <c r="J168" s="84"/>
      <c r="K168" s="84"/>
      <c r="L168" s="84"/>
      <c r="M168" s="84"/>
      <c r="N168" s="84"/>
      <c r="O168" s="84"/>
      <c r="P168" s="84"/>
      <c r="Q168" s="83"/>
    </row>
    <row r="169" spans="1:17">
      <c r="A169" s="82"/>
      <c r="B169" s="83"/>
      <c r="C169" s="83"/>
      <c r="D169" s="83"/>
      <c r="E169" s="84"/>
      <c r="F169" s="84"/>
      <c r="G169" s="84"/>
      <c r="H169" s="84"/>
      <c r="I169" s="84"/>
      <c r="J169" s="84"/>
      <c r="K169" s="84"/>
      <c r="L169" s="84"/>
      <c r="M169" s="84"/>
      <c r="N169" s="84"/>
      <c r="O169" s="84"/>
      <c r="P169" s="84"/>
      <c r="Q169" s="83"/>
    </row>
    <row r="170" spans="1:17">
      <c r="A170" s="82"/>
      <c r="B170" s="83"/>
      <c r="C170" s="83"/>
      <c r="D170" s="83"/>
      <c r="E170" s="84"/>
      <c r="F170" s="84"/>
      <c r="G170" s="84"/>
      <c r="H170" s="84"/>
      <c r="I170" s="84"/>
      <c r="J170" s="84"/>
      <c r="K170" s="84"/>
      <c r="L170" s="84"/>
      <c r="M170" s="84"/>
      <c r="N170" s="84"/>
      <c r="O170" s="84"/>
      <c r="P170" s="84"/>
      <c r="Q170" s="83"/>
    </row>
    <row r="171" spans="1:17">
      <c r="A171" s="82"/>
      <c r="B171" s="83"/>
      <c r="C171" s="83"/>
      <c r="D171" s="83"/>
      <c r="E171" s="84"/>
      <c r="F171" s="84"/>
      <c r="G171" s="84"/>
      <c r="H171" s="84"/>
      <c r="I171" s="84"/>
      <c r="J171" s="84"/>
      <c r="K171" s="84"/>
      <c r="L171" s="84"/>
      <c r="M171" s="84"/>
      <c r="N171" s="84"/>
      <c r="O171" s="84"/>
      <c r="P171" s="84"/>
      <c r="Q171" s="83"/>
    </row>
    <row r="172" spans="1:17">
      <c r="A172" s="82"/>
      <c r="B172" s="83"/>
      <c r="C172" s="83"/>
      <c r="D172" s="83"/>
      <c r="E172" s="84"/>
      <c r="F172" s="84"/>
      <c r="G172" s="84"/>
      <c r="H172" s="84"/>
      <c r="I172" s="84"/>
      <c r="J172" s="84"/>
      <c r="K172" s="84"/>
      <c r="L172" s="84"/>
      <c r="M172" s="84"/>
      <c r="N172" s="84"/>
      <c r="O172" s="84"/>
      <c r="P172" s="84"/>
      <c r="Q172" s="83"/>
    </row>
    <row r="173" spans="1:17">
      <c r="A173" s="82"/>
      <c r="B173" s="83"/>
      <c r="C173" s="83"/>
      <c r="D173" s="83"/>
      <c r="E173" s="84"/>
      <c r="F173" s="84"/>
      <c r="G173" s="84"/>
      <c r="H173" s="84"/>
      <c r="I173" s="84"/>
      <c r="J173" s="84"/>
      <c r="K173" s="84"/>
      <c r="L173" s="84"/>
      <c r="M173" s="84"/>
      <c r="N173" s="84"/>
      <c r="O173" s="84"/>
      <c r="P173" s="84"/>
      <c r="Q173" s="83"/>
    </row>
    <row r="174" spans="1:17">
      <c r="A174" s="82"/>
      <c r="B174" s="83"/>
      <c r="C174" s="83"/>
      <c r="D174" s="83"/>
      <c r="E174" s="84"/>
      <c r="F174" s="84"/>
      <c r="G174" s="84"/>
      <c r="H174" s="84"/>
      <c r="I174" s="84"/>
      <c r="J174" s="84"/>
      <c r="K174" s="84"/>
      <c r="L174" s="84"/>
      <c r="M174" s="84"/>
      <c r="N174" s="84"/>
      <c r="O174" s="84"/>
      <c r="P174" s="84"/>
      <c r="Q174" s="83"/>
    </row>
    <row r="175" spans="1:17">
      <c r="A175" s="82"/>
      <c r="B175" s="83"/>
      <c r="C175" s="83"/>
      <c r="D175" s="83"/>
      <c r="E175" s="84"/>
      <c r="F175" s="84"/>
      <c r="G175" s="84"/>
      <c r="H175" s="84"/>
      <c r="I175" s="84"/>
      <c r="J175" s="84"/>
      <c r="K175" s="84"/>
      <c r="L175" s="84"/>
      <c r="M175" s="84"/>
      <c r="N175" s="84"/>
      <c r="O175" s="84"/>
      <c r="P175" s="84"/>
      <c r="Q175" s="83"/>
    </row>
    <row r="176" spans="1:17">
      <c r="A176" s="82"/>
      <c r="B176" s="83"/>
      <c r="C176" s="83"/>
      <c r="D176" s="83"/>
      <c r="E176" s="84"/>
      <c r="F176" s="84"/>
      <c r="G176" s="84"/>
      <c r="H176" s="84"/>
      <c r="I176" s="84"/>
      <c r="J176" s="84"/>
      <c r="K176" s="84"/>
      <c r="L176" s="84"/>
      <c r="M176" s="84"/>
      <c r="N176" s="84"/>
      <c r="O176" s="84"/>
      <c r="P176" s="84"/>
      <c r="Q176" s="83"/>
    </row>
    <row r="177" spans="1:17">
      <c r="A177" s="82"/>
      <c r="B177" s="83"/>
      <c r="C177" s="83"/>
      <c r="D177" s="83"/>
      <c r="E177" s="84"/>
      <c r="F177" s="84"/>
      <c r="G177" s="84"/>
      <c r="H177" s="84"/>
      <c r="I177" s="84"/>
      <c r="J177" s="84"/>
      <c r="K177" s="84"/>
      <c r="L177" s="84"/>
      <c r="M177" s="84"/>
      <c r="N177" s="84"/>
      <c r="O177" s="84"/>
      <c r="P177" s="84"/>
      <c r="Q177" s="83"/>
    </row>
    <row r="178" spans="1:17">
      <c r="A178" s="82"/>
      <c r="B178" s="83"/>
      <c r="C178" s="83"/>
      <c r="D178" s="83"/>
      <c r="E178" s="84"/>
      <c r="F178" s="84"/>
      <c r="G178" s="84"/>
      <c r="H178" s="84"/>
      <c r="I178" s="84"/>
      <c r="J178" s="84"/>
      <c r="K178" s="84"/>
      <c r="L178" s="84"/>
      <c r="M178" s="84"/>
      <c r="N178" s="84"/>
      <c r="O178" s="84"/>
      <c r="P178" s="84"/>
      <c r="Q178" s="83"/>
    </row>
    <row r="179" spans="1:17">
      <c r="A179" s="82"/>
      <c r="B179" s="83"/>
      <c r="C179" s="83"/>
      <c r="D179" s="83"/>
      <c r="E179" s="84"/>
      <c r="F179" s="84"/>
      <c r="G179" s="84"/>
      <c r="H179" s="84"/>
      <c r="I179" s="84"/>
      <c r="J179" s="84"/>
      <c r="K179" s="84"/>
      <c r="L179" s="84"/>
      <c r="M179" s="84"/>
      <c r="N179" s="84"/>
      <c r="O179" s="84"/>
      <c r="P179" s="84"/>
      <c r="Q179" s="83"/>
    </row>
    <row r="180" spans="1:17">
      <c r="A180" s="82"/>
      <c r="B180" s="83"/>
      <c r="C180" s="83"/>
      <c r="D180" s="83"/>
      <c r="E180" s="84"/>
      <c r="F180" s="84"/>
      <c r="G180" s="84"/>
      <c r="H180" s="84"/>
      <c r="I180" s="84"/>
      <c r="J180" s="84"/>
      <c r="K180" s="84"/>
      <c r="L180" s="84"/>
      <c r="M180" s="84"/>
      <c r="N180" s="84"/>
      <c r="O180" s="84"/>
      <c r="P180" s="84"/>
      <c r="Q180" s="83"/>
    </row>
    <row r="181" spans="1:17">
      <c r="A181" s="82"/>
      <c r="B181" s="83"/>
      <c r="C181" s="83"/>
      <c r="D181" s="83"/>
      <c r="E181" s="84"/>
      <c r="F181" s="84"/>
      <c r="G181" s="84"/>
      <c r="H181" s="84"/>
      <c r="I181" s="84"/>
      <c r="J181" s="84"/>
      <c r="K181" s="84"/>
      <c r="L181" s="84"/>
      <c r="M181" s="84"/>
      <c r="N181" s="84"/>
      <c r="O181" s="84"/>
      <c r="P181" s="84"/>
      <c r="Q181" s="83"/>
    </row>
    <row r="182" spans="1:17">
      <c r="A182" s="82"/>
      <c r="B182" s="83"/>
      <c r="C182" s="83"/>
      <c r="D182" s="83"/>
      <c r="E182" s="84"/>
      <c r="F182" s="84"/>
      <c r="G182" s="84"/>
      <c r="H182" s="84"/>
      <c r="I182" s="84"/>
      <c r="J182" s="84"/>
      <c r="K182" s="84"/>
      <c r="L182" s="84"/>
      <c r="M182" s="84"/>
      <c r="N182" s="84"/>
      <c r="O182" s="84"/>
      <c r="P182" s="84"/>
      <c r="Q182" s="83"/>
    </row>
    <row r="183" spans="1:17">
      <c r="A183" s="82"/>
      <c r="B183" s="83"/>
      <c r="C183" s="83"/>
      <c r="D183" s="83"/>
      <c r="E183" s="84"/>
      <c r="F183" s="84"/>
      <c r="G183" s="84"/>
      <c r="H183" s="84"/>
      <c r="I183" s="84"/>
      <c r="J183" s="84"/>
      <c r="K183" s="84"/>
      <c r="L183" s="84"/>
      <c r="M183" s="84"/>
      <c r="N183" s="84"/>
      <c r="O183" s="84"/>
      <c r="P183" s="84"/>
      <c r="Q183" s="83"/>
    </row>
    <row r="184" spans="1:17">
      <c r="A184" s="82"/>
      <c r="B184" s="83"/>
      <c r="C184" s="83"/>
      <c r="D184" s="83"/>
      <c r="E184" s="84"/>
      <c r="F184" s="84"/>
      <c r="G184" s="84"/>
      <c r="H184" s="84"/>
      <c r="I184" s="84"/>
      <c r="J184" s="84"/>
      <c r="K184" s="84"/>
      <c r="L184" s="84"/>
      <c r="M184" s="84"/>
      <c r="N184" s="84"/>
      <c r="O184" s="84"/>
      <c r="P184" s="84"/>
      <c r="Q184" s="83"/>
    </row>
    <row r="185" spans="1:17">
      <c r="A185" s="82"/>
      <c r="B185" s="83"/>
      <c r="C185" s="83"/>
      <c r="D185" s="83"/>
      <c r="E185" s="84"/>
      <c r="F185" s="84"/>
      <c r="G185" s="84"/>
      <c r="H185" s="84"/>
      <c r="I185" s="84"/>
      <c r="J185" s="84"/>
      <c r="K185" s="84"/>
      <c r="L185" s="84"/>
      <c r="M185" s="84"/>
      <c r="N185" s="84"/>
      <c r="O185" s="84"/>
      <c r="P185" s="84"/>
      <c r="Q185" s="83"/>
    </row>
    <row r="186" spans="1:17">
      <c r="A186" s="82"/>
      <c r="B186" s="83"/>
      <c r="C186" s="83"/>
      <c r="D186" s="83"/>
      <c r="E186" s="84"/>
      <c r="F186" s="84"/>
      <c r="G186" s="84"/>
      <c r="H186" s="84"/>
      <c r="I186" s="84"/>
      <c r="J186" s="84"/>
      <c r="K186" s="84"/>
      <c r="L186" s="84"/>
      <c r="M186" s="84"/>
      <c r="N186" s="84"/>
      <c r="O186" s="84"/>
      <c r="P186" s="84"/>
      <c r="Q186" s="83"/>
    </row>
    <row r="187" spans="1:17">
      <c r="A187" s="82"/>
      <c r="B187" s="83"/>
      <c r="C187" s="83"/>
      <c r="D187" s="83"/>
      <c r="E187" s="84"/>
      <c r="F187" s="84"/>
      <c r="G187" s="84"/>
      <c r="H187" s="84"/>
      <c r="I187" s="84"/>
      <c r="J187" s="84"/>
      <c r="K187" s="84"/>
      <c r="L187" s="84"/>
      <c r="M187" s="84"/>
      <c r="N187" s="84"/>
      <c r="O187" s="84"/>
      <c r="P187" s="84"/>
      <c r="Q187" s="83"/>
    </row>
    <row r="188" spans="1:17">
      <c r="A188" s="82"/>
      <c r="B188" s="83"/>
      <c r="C188" s="83"/>
      <c r="D188" s="83"/>
      <c r="E188" s="84"/>
      <c r="F188" s="84"/>
      <c r="G188" s="84"/>
      <c r="H188" s="84"/>
      <c r="I188" s="84"/>
      <c r="J188" s="84"/>
      <c r="K188" s="84"/>
      <c r="L188" s="84"/>
      <c r="M188" s="84"/>
      <c r="N188" s="84"/>
      <c r="O188" s="84"/>
      <c r="P188" s="84"/>
      <c r="Q188" s="83"/>
    </row>
    <row r="189" spans="1:17">
      <c r="A189" s="82"/>
      <c r="B189" s="83"/>
      <c r="C189" s="83"/>
      <c r="D189" s="83"/>
      <c r="E189" s="84"/>
      <c r="F189" s="84"/>
      <c r="G189" s="84"/>
      <c r="H189" s="84"/>
      <c r="I189" s="84"/>
      <c r="J189" s="84"/>
      <c r="K189" s="84"/>
      <c r="L189" s="84"/>
      <c r="M189" s="84"/>
      <c r="N189" s="84"/>
      <c r="O189" s="84"/>
      <c r="P189" s="84"/>
      <c r="Q189" s="83"/>
    </row>
    <row r="190" spans="1:17">
      <c r="A190" s="82"/>
      <c r="B190" s="83"/>
      <c r="C190" s="83"/>
      <c r="D190" s="83"/>
      <c r="E190" s="84"/>
      <c r="F190" s="84"/>
      <c r="G190" s="84"/>
      <c r="H190" s="84"/>
      <c r="I190" s="84"/>
      <c r="J190" s="84"/>
      <c r="K190" s="84"/>
      <c r="L190" s="84"/>
      <c r="M190" s="84"/>
      <c r="N190" s="84"/>
      <c r="O190" s="84"/>
      <c r="P190" s="84"/>
      <c r="Q190" s="83"/>
    </row>
    <row r="191" spans="1:17">
      <c r="A191" s="82"/>
      <c r="B191" s="83"/>
      <c r="C191" s="83"/>
      <c r="D191" s="83"/>
      <c r="E191" s="84"/>
      <c r="F191" s="84"/>
      <c r="G191" s="84"/>
      <c r="H191" s="84"/>
      <c r="I191" s="84"/>
      <c r="J191" s="84"/>
      <c r="K191" s="84"/>
      <c r="L191" s="84"/>
      <c r="M191" s="84"/>
      <c r="N191" s="84"/>
      <c r="O191" s="84"/>
      <c r="P191" s="84"/>
      <c r="Q191" s="83"/>
    </row>
    <row r="192" spans="1:17">
      <c r="A192" s="82"/>
      <c r="B192" s="83"/>
      <c r="C192" s="83"/>
      <c r="D192" s="83"/>
      <c r="E192" s="84"/>
      <c r="F192" s="84"/>
      <c r="G192" s="84"/>
      <c r="H192" s="84"/>
      <c r="I192" s="84"/>
      <c r="J192" s="84"/>
      <c r="K192" s="84"/>
      <c r="L192" s="84"/>
      <c r="M192" s="84"/>
      <c r="N192" s="84"/>
      <c r="O192" s="84"/>
      <c r="P192" s="84"/>
      <c r="Q192" s="83"/>
    </row>
    <row r="193" spans="1:17">
      <c r="A193" s="82"/>
      <c r="B193" s="83"/>
      <c r="C193" s="83"/>
      <c r="D193" s="83"/>
      <c r="E193" s="84"/>
      <c r="F193" s="84"/>
      <c r="G193" s="84"/>
      <c r="H193" s="84"/>
      <c r="I193" s="84"/>
      <c r="J193" s="84"/>
      <c r="K193" s="84"/>
      <c r="L193" s="84"/>
      <c r="M193" s="84"/>
      <c r="N193" s="84"/>
      <c r="O193" s="84"/>
      <c r="P193" s="84"/>
      <c r="Q193" s="83"/>
    </row>
    <row r="194" spans="1:17">
      <c r="A194" s="82"/>
      <c r="B194" s="83"/>
      <c r="C194" s="83"/>
      <c r="D194" s="83"/>
      <c r="E194" s="84"/>
      <c r="F194" s="84"/>
      <c r="G194" s="84"/>
      <c r="H194" s="84"/>
      <c r="I194" s="84"/>
      <c r="J194" s="84"/>
      <c r="K194" s="84"/>
      <c r="L194" s="84"/>
      <c r="M194" s="84"/>
      <c r="N194" s="84"/>
      <c r="O194" s="84"/>
      <c r="P194" s="84"/>
      <c r="Q194" s="83"/>
    </row>
    <row r="195" spans="1:17">
      <c r="A195" s="82"/>
      <c r="B195" s="83"/>
      <c r="C195" s="83"/>
      <c r="D195" s="83"/>
      <c r="E195" s="84"/>
      <c r="F195" s="84"/>
      <c r="G195" s="84"/>
      <c r="H195" s="84"/>
      <c r="I195" s="84"/>
      <c r="J195" s="84"/>
      <c r="K195" s="84"/>
      <c r="L195" s="84"/>
      <c r="M195" s="84"/>
      <c r="N195" s="84"/>
      <c r="O195" s="84"/>
      <c r="P195" s="84"/>
      <c r="Q195" s="83"/>
    </row>
    <row r="196" spans="1:17">
      <c r="A196" s="82"/>
      <c r="B196" s="83"/>
      <c r="C196" s="83"/>
      <c r="D196" s="83"/>
      <c r="E196" s="84"/>
      <c r="F196" s="84"/>
      <c r="G196" s="84"/>
      <c r="H196" s="84"/>
      <c r="I196" s="84"/>
      <c r="J196" s="84"/>
      <c r="K196" s="84"/>
      <c r="L196" s="84"/>
      <c r="M196" s="84"/>
      <c r="N196" s="84"/>
      <c r="O196" s="84"/>
      <c r="P196" s="84"/>
      <c r="Q196" s="83"/>
    </row>
    <row r="197" spans="1:17">
      <c r="A197" s="82"/>
      <c r="B197" s="83"/>
      <c r="C197" s="83"/>
      <c r="D197" s="83"/>
      <c r="E197" s="84"/>
      <c r="F197" s="84"/>
      <c r="G197" s="84"/>
      <c r="H197" s="84"/>
      <c r="I197" s="84"/>
      <c r="J197" s="84"/>
      <c r="K197" s="84"/>
      <c r="L197" s="84"/>
      <c r="M197" s="84"/>
      <c r="N197" s="84"/>
      <c r="O197" s="84"/>
      <c r="P197" s="84"/>
      <c r="Q197" s="83"/>
    </row>
    <row r="198" spans="1:17">
      <c r="A198" s="82"/>
      <c r="B198" s="83"/>
      <c r="C198" s="83"/>
      <c r="D198" s="83"/>
      <c r="E198" s="84"/>
      <c r="F198" s="84"/>
      <c r="G198" s="84"/>
      <c r="H198" s="84"/>
      <c r="I198" s="84"/>
      <c r="J198" s="84"/>
      <c r="K198" s="84"/>
      <c r="L198" s="84"/>
      <c r="M198" s="84"/>
      <c r="N198" s="84"/>
      <c r="O198" s="84"/>
      <c r="P198" s="84"/>
      <c r="Q198" s="83"/>
    </row>
    <row r="199" spans="1:17">
      <c r="A199" s="82"/>
      <c r="B199" s="83"/>
      <c r="C199" s="83"/>
      <c r="D199" s="83"/>
      <c r="E199" s="84"/>
      <c r="F199" s="84"/>
      <c r="G199" s="84"/>
      <c r="H199" s="84"/>
      <c r="I199" s="84"/>
      <c r="J199" s="84"/>
      <c r="K199" s="84"/>
      <c r="L199" s="84"/>
      <c r="M199" s="84"/>
      <c r="N199" s="84"/>
      <c r="O199" s="84"/>
      <c r="P199" s="84"/>
      <c r="Q199" s="83"/>
    </row>
    <row r="200" spans="1:17">
      <c r="A200" s="82"/>
      <c r="B200" s="83"/>
      <c r="C200" s="83"/>
      <c r="D200" s="83"/>
      <c r="E200" s="84"/>
      <c r="F200" s="84"/>
      <c r="G200" s="84"/>
      <c r="H200" s="84"/>
      <c r="I200" s="84"/>
      <c r="J200" s="84"/>
      <c r="K200" s="84"/>
      <c r="L200" s="84"/>
      <c r="M200" s="84"/>
      <c r="N200" s="84"/>
      <c r="O200" s="84"/>
      <c r="P200" s="84"/>
      <c r="Q200" s="83"/>
    </row>
    <row r="201" spans="1:17">
      <c r="A201" s="82"/>
      <c r="B201" s="83"/>
      <c r="C201" s="83"/>
      <c r="D201" s="83"/>
      <c r="E201" s="84"/>
      <c r="F201" s="84"/>
      <c r="G201" s="84"/>
      <c r="H201" s="84"/>
      <c r="I201" s="84"/>
      <c r="J201" s="84"/>
      <c r="K201" s="84"/>
      <c r="L201" s="84"/>
      <c r="M201" s="84"/>
      <c r="N201" s="84"/>
      <c r="O201" s="84"/>
      <c r="P201" s="84"/>
      <c r="Q201" s="83"/>
    </row>
    <row r="202" spans="1:17">
      <c r="A202" s="82"/>
      <c r="B202" s="83"/>
      <c r="C202" s="83"/>
      <c r="D202" s="83"/>
      <c r="E202" s="84"/>
      <c r="F202" s="84"/>
      <c r="G202" s="84"/>
      <c r="H202" s="84"/>
      <c r="I202" s="84"/>
      <c r="J202" s="84"/>
      <c r="K202" s="84"/>
      <c r="L202" s="84"/>
      <c r="M202" s="84"/>
      <c r="N202" s="84"/>
      <c r="O202" s="84"/>
      <c r="P202" s="84"/>
      <c r="Q202" s="83"/>
    </row>
    <row r="203" spans="1:17">
      <c r="A203" s="82"/>
      <c r="B203" s="83"/>
      <c r="C203" s="83"/>
      <c r="D203" s="83"/>
      <c r="E203" s="84"/>
      <c r="F203" s="84"/>
      <c r="G203" s="84"/>
      <c r="H203" s="84"/>
      <c r="I203" s="84"/>
      <c r="J203" s="84"/>
      <c r="K203" s="84"/>
      <c r="L203" s="84"/>
      <c r="M203" s="84"/>
      <c r="N203" s="84"/>
      <c r="O203" s="84"/>
      <c r="P203" s="84"/>
      <c r="Q203" s="83"/>
    </row>
    <row r="204" spans="1:17">
      <c r="A204" s="82"/>
      <c r="B204" s="83"/>
      <c r="C204" s="83"/>
      <c r="D204" s="83"/>
      <c r="E204" s="84"/>
      <c r="F204" s="84"/>
      <c r="G204" s="84"/>
      <c r="H204" s="84"/>
      <c r="I204" s="84"/>
      <c r="J204" s="84"/>
      <c r="K204" s="84"/>
      <c r="L204" s="84"/>
      <c r="M204" s="84"/>
      <c r="N204" s="84"/>
      <c r="O204" s="84"/>
      <c r="P204" s="84"/>
      <c r="Q204" s="83"/>
    </row>
    <row r="205" spans="1:17">
      <c r="A205" s="82"/>
      <c r="B205" s="83"/>
      <c r="C205" s="83"/>
      <c r="D205" s="83"/>
      <c r="E205" s="84"/>
      <c r="F205" s="84"/>
      <c r="G205" s="84"/>
      <c r="H205" s="84"/>
      <c r="I205" s="84"/>
      <c r="J205" s="84"/>
      <c r="K205" s="84"/>
      <c r="L205" s="84"/>
      <c r="M205" s="84"/>
      <c r="N205" s="84"/>
      <c r="O205" s="84"/>
      <c r="P205" s="84"/>
      <c r="Q205" s="83"/>
    </row>
    <row r="206" spans="1:17">
      <c r="A206" s="82"/>
      <c r="B206" s="83"/>
      <c r="C206" s="83"/>
      <c r="D206" s="83"/>
      <c r="E206" s="84"/>
      <c r="F206" s="84"/>
      <c r="G206" s="84"/>
      <c r="H206" s="84"/>
      <c r="I206" s="84"/>
      <c r="J206" s="84"/>
      <c r="K206" s="84"/>
      <c r="L206" s="84"/>
      <c r="M206" s="84"/>
      <c r="N206" s="84"/>
      <c r="O206" s="84"/>
      <c r="P206" s="84"/>
      <c r="Q206" s="83"/>
    </row>
    <row r="207" spans="1:17">
      <c r="A207" s="82"/>
      <c r="B207" s="83"/>
      <c r="C207" s="83"/>
      <c r="D207" s="83"/>
      <c r="E207" s="84"/>
      <c r="F207" s="84"/>
      <c r="G207" s="84"/>
      <c r="H207" s="84"/>
      <c r="I207" s="84"/>
      <c r="J207" s="84"/>
      <c r="K207" s="84"/>
      <c r="L207" s="84"/>
      <c r="M207" s="84"/>
      <c r="N207" s="84"/>
      <c r="O207" s="84"/>
      <c r="P207" s="84"/>
      <c r="Q207" s="83"/>
    </row>
    <row r="208" spans="1:17">
      <c r="A208" s="82"/>
      <c r="B208" s="83"/>
      <c r="C208" s="83"/>
      <c r="D208" s="83"/>
      <c r="E208" s="84"/>
      <c r="F208" s="84"/>
      <c r="G208" s="84"/>
      <c r="H208" s="84"/>
      <c r="I208" s="84"/>
      <c r="J208" s="84"/>
      <c r="K208" s="84"/>
      <c r="L208" s="84"/>
      <c r="M208" s="84"/>
      <c r="N208" s="84"/>
      <c r="O208" s="84"/>
      <c r="P208" s="84"/>
      <c r="Q208" s="83"/>
    </row>
    <row r="209" spans="1:17">
      <c r="A209" s="82"/>
      <c r="B209" s="83"/>
      <c r="C209" s="83"/>
      <c r="D209" s="83"/>
      <c r="E209" s="84"/>
      <c r="F209" s="84"/>
      <c r="G209" s="84"/>
      <c r="H209" s="84"/>
      <c r="I209" s="84"/>
      <c r="J209" s="84"/>
      <c r="K209" s="84"/>
      <c r="L209" s="84"/>
      <c r="M209" s="84"/>
      <c r="N209" s="84"/>
      <c r="O209" s="84"/>
      <c r="P209" s="84"/>
      <c r="Q209" s="83"/>
    </row>
    <row r="210" spans="1:17">
      <c r="A210" s="82"/>
      <c r="B210" s="83"/>
      <c r="C210" s="83"/>
      <c r="D210" s="83"/>
      <c r="E210" s="84"/>
      <c r="F210" s="84"/>
      <c r="G210" s="84"/>
      <c r="H210" s="84"/>
      <c r="I210" s="84"/>
      <c r="J210" s="84"/>
      <c r="K210" s="84"/>
      <c r="L210" s="84"/>
      <c r="M210" s="84"/>
      <c r="N210" s="84"/>
      <c r="O210" s="84"/>
      <c r="P210" s="84"/>
      <c r="Q210" s="83"/>
    </row>
    <row r="211" spans="1:17">
      <c r="A211" s="82"/>
      <c r="B211" s="83"/>
      <c r="C211" s="83"/>
      <c r="D211" s="83"/>
      <c r="E211" s="84"/>
      <c r="F211" s="84"/>
      <c r="G211" s="84"/>
      <c r="H211" s="84"/>
      <c r="I211" s="84"/>
      <c r="J211" s="84"/>
      <c r="K211" s="84"/>
      <c r="L211" s="84"/>
      <c r="M211" s="84"/>
      <c r="N211" s="84"/>
      <c r="O211" s="84"/>
      <c r="P211" s="84"/>
      <c r="Q211" s="83"/>
    </row>
    <row r="212" spans="1:17">
      <c r="A212" s="82"/>
      <c r="B212" s="83"/>
      <c r="C212" s="83"/>
      <c r="D212" s="83"/>
      <c r="E212" s="84"/>
      <c r="F212" s="84"/>
      <c r="G212" s="84"/>
      <c r="H212" s="84"/>
      <c r="I212" s="84"/>
      <c r="J212" s="84"/>
      <c r="K212" s="84"/>
      <c r="L212" s="84"/>
      <c r="M212" s="84"/>
      <c r="N212" s="84"/>
      <c r="O212" s="84"/>
      <c r="P212" s="84"/>
      <c r="Q212" s="83"/>
    </row>
    <row r="213" spans="1:17">
      <c r="A213" s="82"/>
      <c r="B213" s="83"/>
      <c r="C213" s="83"/>
      <c r="D213" s="83"/>
      <c r="E213" s="84"/>
      <c r="F213" s="84"/>
      <c r="G213" s="84"/>
      <c r="H213" s="84"/>
      <c r="I213" s="84"/>
      <c r="J213" s="84"/>
      <c r="K213" s="84"/>
      <c r="L213" s="84"/>
      <c r="M213" s="84"/>
      <c r="N213" s="84"/>
      <c r="O213" s="84"/>
      <c r="P213" s="84"/>
      <c r="Q213" s="83"/>
    </row>
    <row r="214" spans="1:17">
      <c r="A214" s="82"/>
      <c r="B214" s="83"/>
      <c r="C214" s="83"/>
      <c r="D214" s="83"/>
      <c r="E214" s="84"/>
      <c r="F214" s="84"/>
      <c r="G214" s="84"/>
      <c r="H214" s="84"/>
      <c r="I214" s="84"/>
      <c r="J214" s="84"/>
      <c r="K214" s="84"/>
      <c r="L214" s="84"/>
      <c r="M214" s="84"/>
      <c r="N214" s="84"/>
      <c r="O214" s="84"/>
      <c r="P214" s="84"/>
      <c r="Q214" s="83"/>
    </row>
    <row r="215" spans="1:17">
      <c r="A215" s="82"/>
      <c r="B215" s="83"/>
      <c r="C215" s="83"/>
      <c r="D215" s="83"/>
      <c r="E215" s="84"/>
      <c r="F215" s="84"/>
      <c r="G215" s="84"/>
      <c r="H215" s="84"/>
      <c r="I215" s="84"/>
      <c r="J215" s="84"/>
      <c r="K215" s="84"/>
      <c r="L215" s="84"/>
      <c r="M215" s="84"/>
      <c r="N215" s="84"/>
      <c r="O215" s="84"/>
      <c r="P215" s="84"/>
      <c r="Q215" s="83"/>
    </row>
    <row r="216" spans="1:17">
      <c r="A216" s="82"/>
      <c r="B216" s="83"/>
      <c r="C216" s="83"/>
      <c r="D216" s="83"/>
      <c r="E216" s="84"/>
      <c r="F216" s="84"/>
      <c r="G216" s="84"/>
      <c r="H216" s="84"/>
      <c r="I216" s="84"/>
      <c r="J216" s="84"/>
      <c r="K216" s="84"/>
      <c r="L216" s="84"/>
      <c r="M216" s="84"/>
      <c r="N216" s="84"/>
      <c r="O216" s="84"/>
      <c r="P216" s="84"/>
      <c r="Q216" s="83"/>
    </row>
    <row r="217" spans="1:17">
      <c r="A217" s="82"/>
      <c r="B217" s="83"/>
      <c r="C217" s="83"/>
      <c r="D217" s="83"/>
      <c r="E217" s="84"/>
      <c r="F217" s="84"/>
      <c r="G217" s="84"/>
      <c r="H217" s="84"/>
      <c r="I217" s="84"/>
      <c r="J217" s="84"/>
      <c r="K217" s="84"/>
      <c r="L217" s="84"/>
      <c r="M217" s="84"/>
      <c r="N217" s="84"/>
      <c r="O217" s="84"/>
      <c r="P217" s="84"/>
      <c r="Q217" s="83"/>
    </row>
    <row r="218" spans="1:17">
      <c r="A218" s="82"/>
      <c r="B218" s="83"/>
      <c r="C218" s="83"/>
      <c r="D218" s="83"/>
      <c r="E218" s="84"/>
      <c r="F218" s="84"/>
      <c r="G218" s="84"/>
      <c r="H218" s="84"/>
      <c r="I218" s="84"/>
      <c r="J218" s="84"/>
      <c r="K218" s="84"/>
      <c r="L218" s="84"/>
      <c r="M218" s="84"/>
      <c r="N218" s="84"/>
      <c r="O218" s="84"/>
      <c r="P218" s="84"/>
      <c r="Q218" s="83"/>
    </row>
    <row r="219" spans="1:17">
      <c r="A219" s="82"/>
      <c r="B219" s="83"/>
      <c r="C219" s="83"/>
      <c r="D219" s="83"/>
      <c r="E219" s="84"/>
      <c r="F219" s="84"/>
      <c r="G219" s="84"/>
      <c r="H219" s="84"/>
      <c r="I219" s="84"/>
      <c r="J219" s="84"/>
      <c r="K219" s="84"/>
      <c r="L219" s="84"/>
      <c r="M219" s="84"/>
      <c r="N219" s="84"/>
      <c r="O219" s="84"/>
      <c r="P219" s="84"/>
      <c r="Q219" s="83"/>
    </row>
    <row r="220" spans="1:17">
      <c r="A220" s="82"/>
      <c r="B220" s="83"/>
      <c r="C220" s="83"/>
      <c r="D220" s="83"/>
      <c r="E220" s="84"/>
      <c r="F220" s="84"/>
      <c r="G220" s="84"/>
      <c r="H220" s="84"/>
      <c r="I220" s="84"/>
      <c r="J220" s="84"/>
      <c r="K220" s="84"/>
      <c r="L220" s="84"/>
      <c r="M220" s="84"/>
      <c r="N220" s="84"/>
      <c r="O220" s="84"/>
      <c r="P220" s="84"/>
      <c r="Q220" s="83"/>
    </row>
    <row r="221" spans="1:17">
      <c r="A221" s="82"/>
      <c r="B221" s="83"/>
      <c r="C221" s="83"/>
      <c r="D221" s="83"/>
      <c r="E221" s="84"/>
      <c r="F221" s="84"/>
      <c r="G221" s="84"/>
      <c r="H221" s="84"/>
      <c r="I221" s="84"/>
      <c r="J221" s="84"/>
      <c r="K221" s="84"/>
      <c r="L221" s="84"/>
      <c r="M221" s="84"/>
      <c r="N221" s="84"/>
      <c r="O221" s="84"/>
      <c r="P221" s="84"/>
      <c r="Q221" s="83"/>
    </row>
    <row r="222" spans="1:17">
      <c r="A222" s="82"/>
      <c r="B222" s="83"/>
      <c r="C222" s="83"/>
      <c r="D222" s="83"/>
      <c r="E222" s="84"/>
      <c r="F222" s="84"/>
      <c r="G222" s="84"/>
      <c r="H222" s="84"/>
      <c r="I222" s="84"/>
      <c r="J222" s="84"/>
      <c r="K222" s="84"/>
      <c r="L222" s="84"/>
      <c r="M222" s="84"/>
      <c r="N222" s="84"/>
      <c r="O222" s="84"/>
      <c r="P222" s="84"/>
      <c r="Q222" s="83"/>
    </row>
    <row r="223" spans="1:17">
      <c r="A223" s="82"/>
      <c r="B223" s="83"/>
      <c r="C223" s="83"/>
      <c r="D223" s="83"/>
      <c r="E223" s="84"/>
      <c r="F223" s="84"/>
      <c r="G223" s="84"/>
      <c r="H223" s="84"/>
      <c r="I223" s="84"/>
      <c r="J223" s="84"/>
      <c r="K223" s="84"/>
      <c r="L223" s="84"/>
      <c r="M223" s="84"/>
      <c r="N223" s="84"/>
      <c r="O223" s="84"/>
      <c r="P223" s="84"/>
      <c r="Q223" s="83"/>
    </row>
    <row r="224" spans="1:17">
      <c r="A224" s="82"/>
      <c r="B224" s="83"/>
      <c r="C224" s="83"/>
      <c r="D224" s="83"/>
      <c r="E224" s="84"/>
      <c r="F224" s="84"/>
      <c r="G224" s="84"/>
      <c r="H224" s="84"/>
      <c r="I224" s="84"/>
      <c r="J224" s="84"/>
      <c r="K224" s="84"/>
      <c r="L224" s="84"/>
      <c r="M224" s="84"/>
      <c r="N224" s="84"/>
      <c r="O224" s="84"/>
      <c r="P224" s="84"/>
      <c r="Q224" s="83"/>
    </row>
    <row r="225" spans="1:17">
      <c r="A225" s="82"/>
      <c r="B225" s="83"/>
      <c r="C225" s="83"/>
      <c r="D225" s="83"/>
      <c r="E225" s="84"/>
      <c r="F225" s="84"/>
      <c r="G225" s="84"/>
      <c r="H225" s="84"/>
      <c r="I225" s="84"/>
      <c r="J225" s="84"/>
      <c r="K225" s="84"/>
      <c r="L225" s="84"/>
      <c r="M225" s="84"/>
      <c r="N225" s="84"/>
      <c r="O225" s="84"/>
      <c r="P225" s="84"/>
      <c r="Q225" s="83"/>
    </row>
    <row r="226" spans="1:17">
      <c r="A226" s="82"/>
      <c r="B226" s="83"/>
      <c r="C226" s="83"/>
      <c r="D226" s="83"/>
      <c r="E226" s="84"/>
      <c r="F226" s="84"/>
      <c r="G226" s="84"/>
      <c r="H226" s="84"/>
      <c r="I226" s="84"/>
      <c r="J226" s="84"/>
      <c r="K226" s="84"/>
      <c r="L226" s="84"/>
      <c r="M226" s="84"/>
      <c r="N226" s="84"/>
      <c r="O226" s="84"/>
      <c r="P226" s="84"/>
      <c r="Q226" s="83"/>
    </row>
    <row r="227" spans="1:17">
      <c r="A227" s="82"/>
      <c r="B227" s="83"/>
      <c r="C227" s="83"/>
      <c r="D227" s="83"/>
      <c r="E227" s="84"/>
      <c r="F227" s="84"/>
      <c r="G227" s="84"/>
      <c r="H227" s="84"/>
      <c r="I227" s="84"/>
      <c r="J227" s="84"/>
      <c r="K227" s="84"/>
      <c r="L227" s="84"/>
      <c r="M227" s="84"/>
      <c r="N227" s="84"/>
      <c r="O227" s="84"/>
      <c r="P227" s="84"/>
      <c r="Q227" s="83"/>
    </row>
    <row r="228" spans="1:17">
      <c r="A228" s="82"/>
      <c r="B228" s="83"/>
      <c r="C228" s="83"/>
      <c r="D228" s="83"/>
      <c r="E228" s="84"/>
      <c r="F228" s="84"/>
      <c r="G228" s="84"/>
      <c r="H228" s="84"/>
      <c r="I228" s="84"/>
      <c r="J228" s="84"/>
      <c r="K228" s="84"/>
      <c r="L228" s="84"/>
      <c r="M228" s="84"/>
      <c r="N228" s="84"/>
      <c r="O228" s="84"/>
      <c r="P228" s="84"/>
      <c r="Q228" s="83"/>
    </row>
    <row r="229" spans="1:17">
      <c r="A229" s="82"/>
      <c r="B229" s="83"/>
      <c r="C229" s="83"/>
      <c r="D229" s="83"/>
      <c r="E229" s="84"/>
      <c r="F229" s="84"/>
      <c r="G229" s="84"/>
      <c r="H229" s="84"/>
      <c r="I229" s="84"/>
      <c r="J229" s="84"/>
      <c r="K229" s="84"/>
      <c r="L229" s="84"/>
      <c r="M229" s="84"/>
      <c r="N229" s="84"/>
      <c r="O229" s="84"/>
      <c r="P229" s="84"/>
      <c r="Q229" s="83"/>
    </row>
    <row r="230" spans="1:17">
      <c r="A230" s="82"/>
      <c r="B230" s="83"/>
      <c r="C230" s="83"/>
      <c r="D230" s="83"/>
      <c r="E230" s="84"/>
      <c r="F230" s="84"/>
      <c r="G230" s="84"/>
      <c r="H230" s="84"/>
      <c r="I230" s="84"/>
      <c r="J230" s="84"/>
      <c r="K230" s="84"/>
      <c r="L230" s="84"/>
      <c r="M230" s="84"/>
      <c r="N230" s="84"/>
      <c r="O230" s="84"/>
      <c r="P230" s="84"/>
      <c r="Q230" s="83"/>
    </row>
    <row r="231" spans="1:17">
      <c r="A231" s="82"/>
      <c r="B231" s="83"/>
      <c r="C231" s="83"/>
      <c r="D231" s="83"/>
      <c r="E231" s="84"/>
      <c r="F231" s="84"/>
      <c r="G231" s="84"/>
      <c r="H231" s="84"/>
      <c r="I231" s="84"/>
      <c r="J231" s="84"/>
      <c r="K231" s="84"/>
      <c r="L231" s="84"/>
      <c r="M231" s="84"/>
      <c r="N231" s="84"/>
      <c r="O231" s="84"/>
      <c r="P231" s="84"/>
      <c r="Q231" s="83"/>
    </row>
    <row r="232" spans="1:17">
      <c r="A232" s="82"/>
      <c r="B232" s="83"/>
      <c r="C232" s="83"/>
      <c r="D232" s="83"/>
      <c r="E232" s="84"/>
      <c r="F232" s="84"/>
      <c r="G232" s="84"/>
      <c r="H232" s="84"/>
      <c r="I232" s="84"/>
      <c r="J232" s="84"/>
      <c r="K232" s="84"/>
      <c r="L232" s="84"/>
      <c r="M232" s="84"/>
      <c r="N232" s="84"/>
      <c r="O232" s="84"/>
      <c r="P232" s="84"/>
      <c r="Q232" s="83"/>
    </row>
    <row r="233" spans="1:17">
      <c r="A233" s="82"/>
      <c r="B233" s="83"/>
      <c r="C233" s="83"/>
      <c r="D233" s="83"/>
      <c r="E233" s="84"/>
      <c r="F233" s="84"/>
      <c r="G233" s="84"/>
      <c r="H233" s="84"/>
      <c r="I233" s="84"/>
      <c r="J233" s="84"/>
      <c r="K233" s="84"/>
      <c r="L233" s="84"/>
      <c r="M233" s="84"/>
      <c r="N233" s="84"/>
      <c r="O233" s="84"/>
      <c r="P233" s="84"/>
      <c r="Q233" s="83"/>
    </row>
    <row r="234" spans="1:17">
      <c r="A234" s="82"/>
      <c r="B234" s="83"/>
      <c r="C234" s="83"/>
      <c r="D234" s="83"/>
      <c r="E234" s="84"/>
      <c r="F234" s="84"/>
      <c r="G234" s="84"/>
      <c r="H234" s="84"/>
      <c r="I234" s="84"/>
      <c r="J234" s="84"/>
      <c r="K234" s="84"/>
      <c r="L234" s="84"/>
      <c r="M234" s="84"/>
      <c r="N234" s="84"/>
      <c r="O234" s="84"/>
      <c r="P234" s="84"/>
      <c r="Q234" s="83"/>
    </row>
    <row r="235" spans="1:17">
      <c r="A235" s="82"/>
      <c r="B235" s="83"/>
      <c r="C235" s="83"/>
      <c r="D235" s="83"/>
      <c r="E235" s="84"/>
      <c r="F235" s="84"/>
      <c r="G235" s="84"/>
      <c r="H235" s="84"/>
      <c r="I235" s="84"/>
      <c r="J235" s="84"/>
      <c r="K235" s="84"/>
      <c r="L235" s="84"/>
      <c r="M235" s="84"/>
      <c r="N235" s="84"/>
      <c r="O235" s="84"/>
      <c r="P235" s="84"/>
      <c r="Q235" s="83"/>
    </row>
    <row r="236" spans="1:17">
      <c r="A236" s="82"/>
      <c r="B236" s="83"/>
      <c r="C236" s="83"/>
      <c r="D236" s="83"/>
      <c r="E236" s="84"/>
      <c r="F236" s="84"/>
      <c r="G236" s="84"/>
      <c r="H236" s="84"/>
      <c r="I236" s="84"/>
      <c r="J236" s="84"/>
      <c r="K236" s="84"/>
      <c r="L236" s="84"/>
      <c r="M236" s="84"/>
      <c r="N236" s="84"/>
      <c r="O236" s="84"/>
      <c r="P236" s="84"/>
      <c r="Q236" s="83"/>
    </row>
    <row r="237" spans="1:17">
      <c r="A237" s="82"/>
      <c r="B237" s="83"/>
      <c r="C237" s="83"/>
      <c r="D237" s="83"/>
      <c r="E237" s="84"/>
      <c r="F237" s="84"/>
      <c r="G237" s="84"/>
      <c r="H237" s="84"/>
      <c r="I237" s="84"/>
      <c r="J237" s="84"/>
      <c r="K237" s="84"/>
      <c r="L237" s="84"/>
      <c r="M237" s="84"/>
      <c r="N237" s="84"/>
      <c r="O237" s="84"/>
      <c r="P237" s="84"/>
      <c r="Q237" s="83"/>
    </row>
    <row r="238" spans="1:17">
      <c r="A238" s="82"/>
      <c r="B238" s="83"/>
      <c r="C238" s="83"/>
      <c r="D238" s="83"/>
      <c r="E238" s="84"/>
      <c r="F238" s="84"/>
      <c r="G238" s="84"/>
      <c r="H238" s="84"/>
      <c r="I238" s="84"/>
      <c r="J238" s="84"/>
      <c r="K238" s="84"/>
      <c r="L238" s="84"/>
      <c r="M238" s="84"/>
      <c r="N238" s="84"/>
      <c r="O238" s="84"/>
      <c r="P238" s="84"/>
      <c r="Q238" s="83"/>
    </row>
    <row r="239" spans="1:17">
      <c r="A239" s="82"/>
      <c r="B239" s="83"/>
      <c r="C239" s="83"/>
      <c r="D239" s="83"/>
      <c r="E239" s="84"/>
      <c r="F239" s="84"/>
      <c r="G239" s="84"/>
      <c r="H239" s="84"/>
      <c r="I239" s="84"/>
      <c r="J239" s="84"/>
      <c r="K239" s="84"/>
      <c r="L239" s="84"/>
      <c r="M239" s="84"/>
      <c r="N239" s="84"/>
      <c r="O239" s="84"/>
      <c r="P239" s="84"/>
      <c r="Q239" s="83"/>
    </row>
    <row r="240" spans="1:17">
      <c r="A240" s="82"/>
      <c r="B240" s="83"/>
      <c r="C240" s="83"/>
      <c r="D240" s="83"/>
      <c r="E240" s="84"/>
      <c r="F240" s="84"/>
      <c r="G240" s="84"/>
      <c r="H240" s="84"/>
      <c r="I240" s="84"/>
      <c r="J240" s="84"/>
      <c r="K240" s="84"/>
      <c r="L240" s="84"/>
      <c r="M240" s="84"/>
      <c r="N240" s="84"/>
      <c r="O240" s="84"/>
      <c r="P240" s="84"/>
      <c r="Q240" s="83"/>
    </row>
    <row r="241" spans="1:17">
      <c r="A241" s="82"/>
      <c r="B241" s="83"/>
      <c r="C241" s="83"/>
      <c r="D241" s="83"/>
      <c r="E241" s="84"/>
      <c r="F241" s="84"/>
      <c r="G241" s="84"/>
      <c r="H241" s="84"/>
      <c r="I241" s="84"/>
      <c r="J241" s="84"/>
      <c r="K241" s="84"/>
      <c r="L241" s="84"/>
      <c r="M241" s="84"/>
      <c r="N241" s="84"/>
      <c r="O241" s="84"/>
      <c r="P241" s="84"/>
      <c r="Q241" s="83"/>
    </row>
    <row r="242" spans="1:17">
      <c r="A242" s="82"/>
      <c r="B242" s="83"/>
      <c r="C242" s="83"/>
      <c r="D242" s="83"/>
      <c r="E242" s="84"/>
      <c r="F242" s="84"/>
      <c r="G242" s="84"/>
      <c r="H242" s="84"/>
      <c r="I242" s="84"/>
      <c r="J242" s="84"/>
      <c r="K242" s="84"/>
      <c r="L242" s="84"/>
      <c r="M242" s="84"/>
      <c r="N242" s="84"/>
      <c r="O242" s="84"/>
      <c r="P242" s="84"/>
      <c r="Q242" s="83"/>
    </row>
    <row r="243" spans="1:17">
      <c r="A243" s="82"/>
      <c r="B243" s="83"/>
      <c r="C243" s="83"/>
      <c r="D243" s="83"/>
      <c r="E243" s="84"/>
      <c r="F243" s="84"/>
      <c r="G243" s="84"/>
      <c r="H243" s="84"/>
      <c r="I243" s="84"/>
      <c r="J243" s="84"/>
      <c r="K243" s="84"/>
      <c r="L243" s="84"/>
      <c r="M243" s="84"/>
      <c r="N243" s="84"/>
      <c r="O243" s="84"/>
      <c r="P243" s="84"/>
      <c r="Q243" s="83"/>
    </row>
    <row r="244" spans="1:17">
      <c r="A244" s="82"/>
      <c r="B244" s="83"/>
      <c r="C244" s="83"/>
      <c r="D244" s="83"/>
      <c r="E244" s="84"/>
      <c r="F244" s="84"/>
      <c r="G244" s="84"/>
      <c r="H244" s="84"/>
      <c r="I244" s="84"/>
      <c r="J244" s="84"/>
      <c r="K244" s="84"/>
      <c r="L244" s="84"/>
      <c r="M244" s="84"/>
      <c r="N244" s="84"/>
      <c r="O244" s="84"/>
      <c r="P244" s="84"/>
      <c r="Q244" s="83"/>
    </row>
    <row r="245" spans="1:17">
      <c r="A245" s="82"/>
      <c r="B245" s="83"/>
      <c r="C245" s="83"/>
      <c r="D245" s="83"/>
      <c r="E245" s="84"/>
      <c r="F245" s="84"/>
      <c r="G245" s="84"/>
      <c r="H245" s="84"/>
      <c r="I245" s="84"/>
      <c r="J245" s="84"/>
      <c r="K245" s="84"/>
      <c r="L245" s="84"/>
      <c r="M245" s="84"/>
      <c r="N245" s="84"/>
      <c r="O245" s="84"/>
      <c r="P245" s="84"/>
      <c r="Q245" s="83"/>
    </row>
    <row r="246" spans="1:17">
      <c r="A246" s="82"/>
      <c r="B246" s="83"/>
      <c r="C246" s="83"/>
      <c r="D246" s="83"/>
      <c r="E246" s="84"/>
      <c r="F246" s="84"/>
      <c r="G246" s="84"/>
      <c r="H246" s="84"/>
      <c r="I246" s="84"/>
      <c r="J246" s="84"/>
      <c r="K246" s="84"/>
      <c r="L246" s="84"/>
      <c r="M246" s="84"/>
      <c r="N246" s="84"/>
      <c r="O246" s="84"/>
      <c r="P246" s="84"/>
      <c r="Q246" s="83"/>
    </row>
    <row r="247" spans="1:17">
      <c r="A247" s="82"/>
      <c r="B247" s="83"/>
      <c r="C247" s="83"/>
      <c r="D247" s="83"/>
      <c r="E247" s="84"/>
      <c r="F247" s="84"/>
      <c r="G247" s="84"/>
      <c r="H247" s="84"/>
      <c r="I247" s="84"/>
      <c r="J247" s="84"/>
      <c r="K247" s="84"/>
      <c r="L247" s="84"/>
      <c r="M247" s="84"/>
      <c r="N247" s="84"/>
      <c r="O247" s="84"/>
      <c r="P247" s="84"/>
      <c r="Q247" s="83"/>
    </row>
    <row r="248" spans="1:17">
      <c r="A248" s="82"/>
      <c r="B248" s="83"/>
      <c r="C248" s="83"/>
      <c r="D248" s="83"/>
      <c r="E248" s="84"/>
      <c r="F248" s="84"/>
      <c r="G248" s="84"/>
      <c r="H248" s="84"/>
      <c r="I248" s="84"/>
      <c r="J248" s="84"/>
      <c r="K248" s="84"/>
      <c r="L248" s="84"/>
      <c r="M248" s="84"/>
      <c r="N248" s="84"/>
      <c r="O248" s="84"/>
      <c r="P248" s="84"/>
      <c r="Q248" s="83"/>
    </row>
    <row r="249" spans="1:17">
      <c r="A249" s="82"/>
      <c r="B249" s="83"/>
      <c r="C249" s="83"/>
      <c r="D249" s="83"/>
      <c r="E249" s="84"/>
      <c r="F249" s="84"/>
      <c r="G249" s="84"/>
      <c r="H249" s="84"/>
      <c r="I249" s="84"/>
      <c r="J249" s="84"/>
      <c r="K249" s="84"/>
      <c r="L249" s="84"/>
      <c r="M249" s="84"/>
      <c r="N249" s="84"/>
      <c r="O249" s="84"/>
      <c r="P249" s="84"/>
      <c r="Q249" s="83"/>
    </row>
    <row r="250" spans="1:17">
      <c r="A250" s="82"/>
      <c r="B250" s="83"/>
      <c r="C250" s="83"/>
      <c r="D250" s="83"/>
      <c r="E250" s="84"/>
      <c r="F250" s="84"/>
      <c r="G250" s="84"/>
      <c r="H250" s="84"/>
      <c r="I250" s="84"/>
      <c r="J250" s="84"/>
      <c r="K250" s="84"/>
      <c r="L250" s="84"/>
      <c r="M250" s="84"/>
      <c r="N250" s="84"/>
      <c r="O250" s="84"/>
      <c r="P250" s="84"/>
      <c r="Q250" s="83"/>
    </row>
    <row r="251" spans="1:17">
      <c r="A251" s="82"/>
      <c r="B251" s="83"/>
      <c r="C251" s="83"/>
      <c r="D251" s="83"/>
      <c r="E251" s="84"/>
      <c r="F251" s="84"/>
      <c r="G251" s="84"/>
      <c r="H251" s="84"/>
      <c r="I251" s="84"/>
      <c r="J251" s="84"/>
      <c r="K251" s="84"/>
      <c r="L251" s="84"/>
      <c r="M251" s="84"/>
      <c r="N251" s="84"/>
      <c r="O251" s="84"/>
      <c r="P251" s="84"/>
      <c r="Q251" s="83"/>
    </row>
    <row r="252" spans="1:17">
      <c r="A252" s="82"/>
      <c r="B252" s="83"/>
      <c r="C252" s="83"/>
      <c r="D252" s="83"/>
      <c r="E252" s="84"/>
      <c r="F252" s="84"/>
      <c r="G252" s="84"/>
      <c r="H252" s="84"/>
      <c r="I252" s="84"/>
      <c r="J252" s="84"/>
      <c r="K252" s="84"/>
      <c r="L252" s="84"/>
      <c r="M252" s="84"/>
      <c r="N252" s="84"/>
      <c r="O252" s="84"/>
      <c r="P252" s="84"/>
      <c r="Q252" s="83"/>
    </row>
    <row r="253" spans="1:17">
      <c r="A253" s="82"/>
      <c r="B253" s="83"/>
      <c r="C253" s="83"/>
      <c r="D253" s="83"/>
      <c r="E253" s="84"/>
      <c r="F253" s="84"/>
      <c r="G253" s="84"/>
      <c r="H253" s="84"/>
      <c r="I253" s="84"/>
      <c r="J253" s="84"/>
      <c r="K253" s="84"/>
      <c r="L253" s="84"/>
      <c r="M253" s="84"/>
      <c r="N253" s="84"/>
      <c r="O253" s="84"/>
      <c r="P253" s="84"/>
      <c r="Q253" s="83"/>
    </row>
    <row r="254" spans="1:17">
      <c r="A254" s="82"/>
      <c r="B254" s="83"/>
      <c r="C254" s="83"/>
      <c r="D254" s="83"/>
      <c r="E254" s="84"/>
      <c r="F254" s="84"/>
      <c r="G254" s="84"/>
      <c r="H254" s="84"/>
      <c r="I254" s="84"/>
      <c r="J254" s="84"/>
      <c r="K254" s="84"/>
      <c r="L254" s="84"/>
      <c r="M254" s="84"/>
      <c r="N254" s="84"/>
      <c r="O254" s="84"/>
      <c r="P254" s="84"/>
      <c r="Q254" s="83"/>
    </row>
    <row r="255" spans="1:17">
      <c r="A255" s="82"/>
      <c r="B255" s="83"/>
      <c r="C255" s="83"/>
      <c r="D255" s="83"/>
      <c r="E255" s="84"/>
      <c r="F255" s="84"/>
      <c r="G255" s="84"/>
      <c r="H255" s="84"/>
      <c r="I255" s="84"/>
      <c r="J255" s="84"/>
      <c r="K255" s="84"/>
      <c r="L255" s="84"/>
      <c r="M255" s="84"/>
      <c r="N255" s="84"/>
      <c r="O255" s="84"/>
      <c r="P255" s="84"/>
      <c r="Q255" s="83"/>
    </row>
    <row r="256" spans="1:17">
      <c r="A256" s="82"/>
      <c r="B256" s="83"/>
      <c r="C256" s="83"/>
      <c r="D256" s="83"/>
      <c r="E256" s="84"/>
      <c r="F256" s="84"/>
      <c r="G256" s="84"/>
      <c r="H256" s="84"/>
      <c r="I256" s="84"/>
      <c r="J256" s="84"/>
      <c r="K256" s="84"/>
      <c r="L256" s="84"/>
      <c r="M256" s="84"/>
      <c r="N256" s="84"/>
      <c r="O256" s="84"/>
      <c r="P256" s="84"/>
      <c r="Q256" s="83"/>
    </row>
    <row r="257" spans="1:17">
      <c r="A257" s="82"/>
      <c r="B257" s="83"/>
      <c r="C257" s="83"/>
      <c r="D257" s="83"/>
      <c r="E257" s="84"/>
      <c r="F257" s="84"/>
      <c r="G257" s="84"/>
      <c r="H257" s="84"/>
      <c r="I257" s="84"/>
      <c r="J257" s="84"/>
      <c r="K257" s="84"/>
      <c r="L257" s="84"/>
      <c r="M257" s="84"/>
      <c r="N257" s="84"/>
      <c r="O257" s="84"/>
      <c r="P257" s="84"/>
      <c r="Q257" s="83"/>
    </row>
    <row r="258" spans="1:17">
      <c r="A258" s="82"/>
      <c r="B258" s="83"/>
      <c r="C258" s="83"/>
      <c r="D258" s="83"/>
      <c r="E258" s="84"/>
      <c r="F258" s="84"/>
      <c r="G258" s="84"/>
      <c r="H258" s="84"/>
      <c r="I258" s="84"/>
      <c r="J258" s="84"/>
      <c r="K258" s="84"/>
      <c r="L258" s="84"/>
      <c r="M258" s="84"/>
      <c r="N258" s="84"/>
      <c r="O258" s="84"/>
      <c r="P258" s="84"/>
      <c r="Q258" s="83"/>
    </row>
    <row r="259" spans="1:17">
      <c r="A259" s="82"/>
      <c r="B259" s="83"/>
      <c r="C259" s="83"/>
      <c r="D259" s="83"/>
      <c r="E259" s="84"/>
      <c r="F259" s="84"/>
      <c r="G259" s="84"/>
      <c r="H259" s="84"/>
      <c r="I259" s="84"/>
      <c r="J259" s="84"/>
      <c r="K259" s="84"/>
      <c r="L259" s="84"/>
      <c r="M259" s="84"/>
      <c r="N259" s="84"/>
      <c r="O259" s="84"/>
      <c r="P259" s="84"/>
      <c r="Q259" s="83"/>
    </row>
    <row r="260" spans="1:17">
      <c r="A260" s="82"/>
      <c r="B260" s="83"/>
      <c r="C260" s="83"/>
      <c r="D260" s="83"/>
      <c r="E260" s="84"/>
      <c r="F260" s="84"/>
      <c r="G260" s="84"/>
      <c r="H260" s="84"/>
      <c r="I260" s="84"/>
      <c r="J260" s="84"/>
      <c r="K260" s="84"/>
      <c r="L260" s="84"/>
      <c r="M260" s="84"/>
      <c r="N260" s="84"/>
      <c r="O260" s="84"/>
      <c r="P260" s="84"/>
      <c r="Q260" s="83"/>
    </row>
    <row r="261" spans="1:17">
      <c r="A261" s="82"/>
      <c r="B261" s="83"/>
      <c r="C261" s="83"/>
      <c r="D261" s="83"/>
      <c r="E261" s="84"/>
      <c r="F261" s="84"/>
      <c r="G261" s="84"/>
      <c r="H261" s="84"/>
      <c r="I261" s="84"/>
      <c r="J261" s="84"/>
      <c r="K261" s="84"/>
      <c r="L261" s="84"/>
      <c r="M261" s="84"/>
      <c r="N261" s="84"/>
      <c r="O261" s="84"/>
      <c r="P261" s="84"/>
      <c r="Q261" s="83"/>
    </row>
    <row r="262" spans="1:17">
      <c r="A262" s="82"/>
      <c r="B262" s="83"/>
      <c r="C262" s="83"/>
      <c r="D262" s="83"/>
      <c r="E262" s="84"/>
      <c r="F262" s="84"/>
      <c r="G262" s="84"/>
      <c r="H262" s="84"/>
      <c r="I262" s="84"/>
      <c r="J262" s="84"/>
      <c r="K262" s="84"/>
      <c r="L262" s="84"/>
      <c r="M262" s="84"/>
      <c r="N262" s="84"/>
      <c r="O262" s="84"/>
      <c r="P262" s="84"/>
      <c r="Q262" s="83"/>
    </row>
    <row r="263" spans="1:17">
      <c r="A263" s="82"/>
      <c r="B263" s="83"/>
      <c r="C263" s="83"/>
      <c r="D263" s="83"/>
      <c r="E263" s="84"/>
      <c r="F263" s="84"/>
      <c r="G263" s="84"/>
      <c r="H263" s="84"/>
      <c r="I263" s="84"/>
      <c r="J263" s="84"/>
      <c r="K263" s="84"/>
      <c r="L263" s="84"/>
      <c r="M263" s="84"/>
      <c r="N263" s="84"/>
      <c r="O263" s="84"/>
      <c r="P263" s="84"/>
      <c r="Q263" s="83"/>
    </row>
    <row r="264" spans="1:17">
      <c r="A264" s="82"/>
      <c r="B264" s="83"/>
      <c r="C264" s="83"/>
      <c r="D264" s="83"/>
      <c r="E264" s="84"/>
      <c r="F264" s="84"/>
      <c r="G264" s="84"/>
      <c r="H264" s="84"/>
      <c r="I264" s="84"/>
      <c r="J264" s="84"/>
      <c r="K264" s="84"/>
      <c r="L264" s="84"/>
      <c r="M264" s="84"/>
      <c r="N264" s="84"/>
      <c r="O264" s="84"/>
      <c r="P264" s="84"/>
      <c r="Q264" s="83"/>
    </row>
  </sheetData>
  <sheetProtection sheet="1" formatCells="0" formatColumns="0" formatRows="0"/>
  <mergeCells count="28">
    <mergeCell ref="B15:D15"/>
    <mergeCell ref="C71:D71"/>
    <mergeCell ref="C30:D32"/>
    <mergeCell ref="C27:D27"/>
    <mergeCell ref="C28:D28"/>
    <mergeCell ref="C29:D29"/>
    <mergeCell ref="B25:D25"/>
    <mergeCell ref="B26:D26"/>
    <mergeCell ref="B21:D21"/>
    <mergeCell ref="B22:D22"/>
    <mergeCell ref="B23:D23"/>
    <mergeCell ref="B24:D24"/>
    <mergeCell ref="B6:D6"/>
    <mergeCell ref="C2:D2"/>
    <mergeCell ref="B3:D3"/>
    <mergeCell ref="B4:D4"/>
    <mergeCell ref="C33:D33"/>
    <mergeCell ref="B5:D5"/>
    <mergeCell ref="B7:D7"/>
    <mergeCell ref="B8:D8"/>
    <mergeCell ref="B10:D10"/>
    <mergeCell ref="B11:D11"/>
    <mergeCell ref="B16:D16"/>
    <mergeCell ref="B17:D17"/>
    <mergeCell ref="B18:D18"/>
    <mergeCell ref="B12:D12"/>
    <mergeCell ref="B13:D13"/>
    <mergeCell ref="B14:D14"/>
  </mergeCells>
  <phoneticPr fontId="21" type="noConversion"/>
  <dataValidations count="1">
    <dataValidation type="list" allowBlank="1" showInputMessage="1" showErrorMessage="1" sqref="E6:P6" xr:uid="{D73E8B8A-F4A8-D244-AE71-B065D97D0755}">
      <formula1>$R$3:$R$4</formula1>
    </dataValidation>
  </dataValidations>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32" max="16383" man="1"/>
  </rowBreaks>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D00-000000000000}">
          <x14:formula1>
            <xm:f>Grundlon12!$F$124:$F$127</xm:f>
          </x14:formula1>
          <xm:sqref>E22:P22</xm:sqref>
        </x14:dataValidation>
        <x14:dataValidation type="list" allowBlank="1" showInputMessage="1" showErrorMessage="1" xr:uid="{00000000-0002-0000-1D00-000001000000}">
          <x14:formula1>
            <xm:f>Grundlon12!$B$124:$B$157</xm:f>
          </x14:formula1>
          <xm:sqref>E7:P7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27">
    <pageSetUpPr fitToPage="1"/>
  </sheetPr>
  <dimension ref="A1:M25"/>
  <sheetViews>
    <sheetView topLeftCell="B1" workbookViewId="0">
      <selection activeCell="C7" sqref="C7"/>
    </sheetView>
  </sheetViews>
  <sheetFormatPr baseColWidth="10" defaultColWidth="20.85546875" defaultRowHeight="13"/>
  <cols>
    <col min="1" max="1" width="2.7109375" style="22" customWidth="1"/>
    <col min="2" max="2" width="30.7109375" style="3" customWidth="1"/>
    <col min="3" max="12" width="10" style="24" customWidth="1"/>
    <col min="13" max="13" width="28.140625" style="3" customWidth="1"/>
    <col min="14" max="14" width="7.42578125" style="3" customWidth="1"/>
    <col min="15" max="16384" width="20.85546875" style="3"/>
  </cols>
  <sheetData>
    <row r="1" spans="1:13" ht="24" customHeight="1">
      <c r="A1" s="1">
        <v>1</v>
      </c>
      <c r="B1" s="68" t="s">
        <v>18</v>
      </c>
      <c r="C1" s="2" t="s">
        <v>84</v>
      </c>
      <c r="D1" s="2" t="s">
        <v>19</v>
      </c>
      <c r="E1" s="2" t="s">
        <v>20</v>
      </c>
      <c r="F1" s="2" t="s">
        <v>21</v>
      </c>
      <c r="G1" s="2" t="s">
        <v>22</v>
      </c>
      <c r="H1" s="2" t="s">
        <v>81</v>
      </c>
      <c r="I1" s="2" t="s">
        <v>23</v>
      </c>
      <c r="J1" s="2" t="s">
        <v>24</v>
      </c>
      <c r="K1" s="2" t="s">
        <v>25</v>
      </c>
      <c r="L1" s="2" t="s">
        <v>26</v>
      </c>
      <c r="M1" s="3" t="s">
        <v>27</v>
      </c>
    </row>
    <row r="2" spans="1:13" ht="24" customHeight="1">
      <c r="A2" s="4">
        <f t="shared" ref="A2:A24" si="0">A1+1</f>
        <v>2</v>
      </c>
      <c r="B2" s="5" t="s">
        <v>28</v>
      </c>
      <c r="C2" s="2">
        <v>38</v>
      </c>
      <c r="D2" s="2">
        <v>12</v>
      </c>
      <c r="E2" s="2">
        <v>24</v>
      </c>
      <c r="F2" s="2">
        <v>35</v>
      </c>
      <c r="G2" s="2">
        <v>30</v>
      </c>
      <c r="H2" s="2">
        <v>17</v>
      </c>
      <c r="I2" s="2">
        <v>19</v>
      </c>
      <c r="J2" s="2"/>
      <c r="K2" s="2"/>
      <c r="L2" s="2"/>
    </row>
    <row r="3" spans="1:13" ht="24" customHeight="1">
      <c r="A3" s="4">
        <f t="shared" si="0"/>
        <v>3</v>
      </c>
      <c r="B3" s="5" t="s">
        <v>29</v>
      </c>
      <c r="C3" s="2">
        <v>15.5</v>
      </c>
      <c r="D3" s="2">
        <v>13.5</v>
      </c>
      <c r="E3" s="2">
        <v>13.5</v>
      </c>
      <c r="F3" s="2">
        <v>15</v>
      </c>
      <c r="G3" s="2">
        <v>14.3</v>
      </c>
      <c r="H3" s="2">
        <v>12.5</v>
      </c>
      <c r="I3" s="2">
        <v>17</v>
      </c>
      <c r="J3" s="2"/>
      <c r="K3" s="2"/>
      <c r="L3" s="2"/>
      <c r="M3" s="6" t="s">
        <v>30</v>
      </c>
    </row>
    <row r="4" spans="1:13" ht="24" customHeight="1">
      <c r="A4" s="4">
        <f t="shared" si="0"/>
        <v>4</v>
      </c>
      <c r="B4" s="5" t="s">
        <v>31</v>
      </c>
      <c r="C4" s="2" t="s">
        <v>32</v>
      </c>
      <c r="D4" s="2" t="s">
        <v>32</v>
      </c>
      <c r="E4" s="2" t="s">
        <v>32</v>
      </c>
      <c r="F4" s="2" t="s">
        <v>32</v>
      </c>
      <c r="G4" s="2" t="s">
        <v>32</v>
      </c>
      <c r="H4" s="2" t="s">
        <v>32</v>
      </c>
      <c r="I4" s="2" t="s">
        <v>32</v>
      </c>
      <c r="J4" s="2"/>
      <c r="K4" s="2"/>
      <c r="L4" s="2"/>
      <c r="M4" s="6"/>
    </row>
    <row r="5" spans="1:13" ht="24" customHeight="1">
      <c r="A5" s="4">
        <f t="shared" si="0"/>
        <v>5</v>
      </c>
      <c r="B5" s="5" t="s">
        <v>97</v>
      </c>
      <c r="C5" s="74">
        <v>1.3106599999999999</v>
      </c>
      <c r="D5" s="69">
        <f>C5</f>
        <v>1.3106599999999999</v>
      </c>
      <c r="E5" s="69">
        <f t="shared" ref="E5:L5" si="1">D5</f>
        <v>1.3106599999999999</v>
      </c>
      <c r="F5" s="69">
        <f t="shared" si="1"/>
        <v>1.3106599999999999</v>
      </c>
      <c r="G5" s="69">
        <f t="shared" si="1"/>
        <v>1.3106599999999999</v>
      </c>
      <c r="H5" s="69">
        <f t="shared" si="1"/>
        <v>1.3106599999999999</v>
      </c>
      <c r="I5" s="69">
        <f t="shared" si="1"/>
        <v>1.3106599999999999</v>
      </c>
      <c r="J5" s="69">
        <f t="shared" si="1"/>
        <v>1.3106599999999999</v>
      </c>
      <c r="K5" s="69">
        <f t="shared" si="1"/>
        <v>1.3106599999999999</v>
      </c>
      <c r="L5" s="69">
        <f t="shared" si="1"/>
        <v>1.3106599999999999</v>
      </c>
      <c r="M5" s="70" t="s">
        <v>15</v>
      </c>
    </row>
    <row r="6" spans="1:13" ht="24" customHeight="1">
      <c r="A6" s="4">
        <f t="shared" si="0"/>
        <v>6</v>
      </c>
      <c r="B6" s="5" t="s">
        <v>98</v>
      </c>
      <c r="C6" s="71">
        <v>3</v>
      </c>
      <c r="D6" s="71">
        <v>3</v>
      </c>
      <c r="E6" s="71">
        <v>3</v>
      </c>
      <c r="F6" s="71">
        <v>3</v>
      </c>
      <c r="G6" s="71">
        <v>3</v>
      </c>
      <c r="H6" s="71">
        <v>3</v>
      </c>
      <c r="I6" s="71">
        <v>3</v>
      </c>
      <c r="J6" s="71">
        <v>3</v>
      </c>
      <c r="K6" s="71">
        <v>3</v>
      </c>
      <c r="L6" s="71">
        <v>3</v>
      </c>
      <c r="M6" s="6" t="s">
        <v>62</v>
      </c>
    </row>
    <row r="7" spans="1:13" ht="24" customHeight="1">
      <c r="A7" s="4">
        <f t="shared" si="0"/>
        <v>7</v>
      </c>
      <c r="B7" s="5" t="s">
        <v>63</v>
      </c>
      <c r="C7" s="72">
        <f>450/1665</f>
        <v>0.27027027027027029</v>
      </c>
      <c r="D7" s="72">
        <v>0</v>
      </c>
      <c r="E7" s="72">
        <v>0</v>
      </c>
      <c r="F7" s="72">
        <v>0</v>
      </c>
      <c r="G7" s="72">
        <v>0</v>
      </c>
      <c r="H7" s="72">
        <v>0</v>
      </c>
      <c r="I7" s="72">
        <v>0</v>
      </c>
      <c r="J7" s="72"/>
      <c r="K7" s="72"/>
      <c r="L7" s="72"/>
      <c r="M7" s="3" t="s">
        <v>122</v>
      </c>
    </row>
    <row r="8" spans="1:13" ht="24" customHeight="1">
      <c r="A8" s="4">
        <f>A7+1</f>
        <v>8</v>
      </c>
      <c r="B8" s="7" t="s">
        <v>123</v>
      </c>
      <c r="C8" s="8">
        <v>28211.67</v>
      </c>
      <c r="D8" s="8">
        <v>18697.080000000002</v>
      </c>
      <c r="E8" s="8">
        <v>22642.5</v>
      </c>
      <c r="F8" s="8">
        <v>26870.83</v>
      </c>
      <c r="G8" s="8">
        <v>24833.42</v>
      </c>
      <c r="H8" s="8">
        <v>20342.830000000002</v>
      </c>
      <c r="I8" s="8">
        <v>21002.42</v>
      </c>
      <c r="J8" s="8">
        <v>0</v>
      </c>
      <c r="K8" s="8">
        <v>0</v>
      </c>
      <c r="L8" s="8">
        <v>0</v>
      </c>
      <c r="M8" s="3" t="s">
        <v>124</v>
      </c>
    </row>
    <row r="9" spans="1:13" ht="24" customHeight="1">
      <c r="A9" s="4">
        <f t="shared" si="0"/>
        <v>9</v>
      </c>
      <c r="B9" s="9" t="s">
        <v>125</v>
      </c>
      <c r="C9" s="10">
        <f t="shared" ref="C9:L9" si="2">ROUND(C$8*C$7,2)</f>
        <v>7624.78</v>
      </c>
      <c r="D9" s="10">
        <f t="shared" si="2"/>
        <v>0</v>
      </c>
      <c r="E9" s="10">
        <f t="shared" si="2"/>
        <v>0</v>
      </c>
      <c r="F9" s="10">
        <f t="shared" si="2"/>
        <v>0</v>
      </c>
      <c r="G9" s="10">
        <f t="shared" si="2"/>
        <v>0</v>
      </c>
      <c r="H9" s="10">
        <f t="shared" si="2"/>
        <v>0</v>
      </c>
      <c r="I9" s="10">
        <f t="shared" si="2"/>
        <v>0</v>
      </c>
      <c r="J9" s="10">
        <f t="shared" si="2"/>
        <v>0</v>
      </c>
      <c r="K9" s="10">
        <f t="shared" si="2"/>
        <v>0</v>
      </c>
      <c r="L9" s="10">
        <f t="shared" si="2"/>
        <v>0</v>
      </c>
    </row>
    <row r="10" spans="1:13" ht="24" customHeight="1">
      <c r="A10" s="4">
        <f>A9+1</f>
        <v>10</v>
      </c>
      <c r="B10" s="13" t="s">
        <v>150</v>
      </c>
      <c r="C10" s="14"/>
      <c r="D10" s="14"/>
      <c r="E10" s="14"/>
      <c r="F10" s="14"/>
      <c r="G10" s="14"/>
      <c r="H10" s="14"/>
      <c r="I10" s="14"/>
      <c r="J10" s="14"/>
      <c r="K10" s="14"/>
      <c r="L10" s="14"/>
      <c r="M10" s="3" t="s">
        <v>196</v>
      </c>
    </row>
    <row r="11" spans="1:13" ht="24" customHeight="1">
      <c r="A11" s="4">
        <f t="shared" si="0"/>
        <v>11</v>
      </c>
      <c r="B11" s="15" t="s">
        <v>197</v>
      </c>
      <c r="C11" s="16"/>
      <c r="D11" s="16"/>
      <c r="E11" s="16"/>
      <c r="F11" s="16"/>
      <c r="G11" s="16"/>
      <c r="H11" s="16"/>
      <c r="I11" s="16"/>
      <c r="J11" s="16"/>
      <c r="K11" s="16"/>
      <c r="L11" s="16"/>
      <c r="M11" s="3" t="s">
        <v>196</v>
      </c>
    </row>
    <row r="12" spans="1:13" ht="24" customHeight="1">
      <c r="A12" s="4">
        <f t="shared" si="0"/>
        <v>12</v>
      </c>
      <c r="B12" s="15" t="s">
        <v>136</v>
      </c>
      <c r="C12" s="17"/>
      <c r="D12" s="17"/>
      <c r="E12" s="17"/>
      <c r="F12" s="17"/>
      <c r="G12" s="17"/>
      <c r="H12" s="17"/>
      <c r="I12" s="17"/>
      <c r="J12" s="17"/>
      <c r="K12" s="17"/>
      <c r="L12" s="17"/>
      <c r="M12" s="3" t="s">
        <v>196</v>
      </c>
    </row>
    <row r="13" spans="1:13" ht="24" customHeight="1">
      <c r="A13" s="4">
        <f t="shared" si="0"/>
        <v>13</v>
      </c>
      <c r="B13" s="13" t="s">
        <v>137</v>
      </c>
      <c r="C13" s="14"/>
      <c r="D13" s="14"/>
      <c r="E13" s="14"/>
      <c r="F13" s="14"/>
      <c r="G13" s="14"/>
      <c r="H13" s="14"/>
      <c r="I13" s="14"/>
      <c r="J13" s="14"/>
      <c r="K13" s="14"/>
      <c r="L13" s="14"/>
      <c r="M13" s="3" t="s">
        <v>39</v>
      </c>
    </row>
    <row r="14" spans="1:13" ht="24" customHeight="1">
      <c r="A14" s="4">
        <f t="shared" si="0"/>
        <v>14</v>
      </c>
      <c r="B14" s="15" t="s">
        <v>40</v>
      </c>
      <c r="C14" s="16"/>
      <c r="D14" s="16"/>
      <c r="E14" s="16"/>
      <c r="F14" s="16"/>
      <c r="G14" s="16"/>
      <c r="H14" s="16"/>
      <c r="I14" s="16"/>
      <c r="J14" s="16"/>
      <c r="K14" s="16"/>
      <c r="L14" s="16"/>
      <c r="M14" s="3" t="s">
        <v>39</v>
      </c>
    </row>
    <row r="15" spans="1:13" ht="24" customHeight="1">
      <c r="A15" s="73">
        <f t="shared" si="0"/>
        <v>15</v>
      </c>
      <c r="B15" s="13" t="s">
        <v>41</v>
      </c>
      <c r="C15" s="10">
        <f>ROUND(SUM(C10:C14)/12*C5,2)</f>
        <v>0</v>
      </c>
      <c r="D15" s="10">
        <f t="shared" ref="D15:L15" si="3">ROUND(SUM(D10:D14)/12*D5,2)</f>
        <v>0</v>
      </c>
      <c r="E15" s="10">
        <f t="shared" si="3"/>
        <v>0</v>
      </c>
      <c r="F15" s="10">
        <f t="shared" si="3"/>
        <v>0</v>
      </c>
      <c r="G15" s="10">
        <f t="shared" si="3"/>
        <v>0</v>
      </c>
      <c r="H15" s="10">
        <f t="shared" si="3"/>
        <v>0</v>
      </c>
      <c r="I15" s="10">
        <f t="shared" si="3"/>
        <v>0</v>
      </c>
      <c r="J15" s="10">
        <f t="shared" si="3"/>
        <v>0</v>
      </c>
      <c r="K15" s="10">
        <f t="shared" si="3"/>
        <v>0</v>
      </c>
      <c r="L15" s="10">
        <f t="shared" si="3"/>
        <v>0</v>
      </c>
    </row>
    <row r="16" spans="1:13" ht="24" customHeight="1">
      <c r="A16" s="4">
        <f t="shared" si="0"/>
        <v>16</v>
      </c>
      <c r="B16" s="11" t="s">
        <v>42</v>
      </c>
      <c r="C16" s="19"/>
      <c r="D16" s="19"/>
      <c r="E16" s="19"/>
      <c r="F16" s="19"/>
      <c r="G16" s="19"/>
      <c r="H16" s="19"/>
      <c r="I16" s="19"/>
      <c r="J16" s="19"/>
      <c r="K16" s="19"/>
      <c r="L16" s="19"/>
      <c r="M16" s="3" t="s">
        <v>43</v>
      </c>
    </row>
    <row r="17" spans="1:13" ht="24" customHeight="1">
      <c r="A17" s="4">
        <f t="shared" si="0"/>
        <v>17</v>
      </c>
      <c r="B17" s="7" t="s">
        <v>42</v>
      </c>
      <c r="C17" s="19"/>
      <c r="D17" s="19"/>
      <c r="E17" s="19"/>
      <c r="F17" s="19"/>
      <c r="G17" s="19"/>
      <c r="H17" s="19"/>
      <c r="I17" s="19"/>
      <c r="J17" s="19"/>
      <c r="K17" s="19"/>
      <c r="L17" s="19"/>
      <c r="M17" s="3" t="s">
        <v>43</v>
      </c>
    </row>
    <row r="18" spans="1:13" ht="24" customHeight="1">
      <c r="A18" s="4">
        <f t="shared" si="0"/>
        <v>18</v>
      </c>
      <c r="B18" s="7" t="s">
        <v>70</v>
      </c>
      <c r="C18" s="19">
        <f>116.55*(C7&gt;=0.4054)</f>
        <v>0</v>
      </c>
      <c r="D18" s="19">
        <f>116.55*(D7&gt;=0.4054)</f>
        <v>0</v>
      </c>
      <c r="E18" s="19">
        <f t="shared" ref="E18:L18" si="4">116.55*(E7&gt;=0.4054)</f>
        <v>0</v>
      </c>
      <c r="F18" s="19">
        <f t="shared" si="4"/>
        <v>0</v>
      </c>
      <c r="G18" s="19">
        <f t="shared" si="4"/>
        <v>0</v>
      </c>
      <c r="H18" s="19">
        <f t="shared" si="4"/>
        <v>0</v>
      </c>
      <c r="I18" s="19">
        <f t="shared" si="4"/>
        <v>0</v>
      </c>
      <c r="J18" s="19">
        <f t="shared" si="4"/>
        <v>0</v>
      </c>
      <c r="K18" s="19">
        <f t="shared" si="4"/>
        <v>0</v>
      </c>
      <c r="L18" s="19">
        <f t="shared" si="4"/>
        <v>0</v>
      </c>
      <c r="M18" s="3" t="s">
        <v>71</v>
      </c>
    </row>
    <row r="19" spans="1:13" ht="24" customHeight="1">
      <c r="A19" s="4">
        <f t="shared" si="0"/>
        <v>19</v>
      </c>
      <c r="B19" s="9" t="s">
        <v>53</v>
      </c>
      <c r="C19" s="20">
        <f>C9+SUM(C15:C18)</f>
        <v>7624.78</v>
      </c>
      <c r="D19" s="20">
        <f t="shared" ref="D19:L19" si="5">D9+SUM(D15:D18)</f>
        <v>0</v>
      </c>
      <c r="E19" s="20">
        <f t="shared" si="5"/>
        <v>0</v>
      </c>
      <c r="F19" s="20">
        <f t="shared" si="5"/>
        <v>0</v>
      </c>
      <c r="G19" s="20">
        <f t="shared" si="5"/>
        <v>0</v>
      </c>
      <c r="H19" s="20">
        <f t="shared" si="5"/>
        <v>0</v>
      </c>
      <c r="I19" s="20">
        <f t="shared" si="5"/>
        <v>0</v>
      </c>
      <c r="J19" s="20">
        <f t="shared" si="5"/>
        <v>0</v>
      </c>
      <c r="K19" s="20">
        <f t="shared" si="5"/>
        <v>0</v>
      </c>
      <c r="L19" s="20">
        <f t="shared" si="5"/>
        <v>0</v>
      </c>
    </row>
    <row r="20" spans="1:13" ht="24" customHeight="1">
      <c r="A20" s="4">
        <f t="shared" si="0"/>
        <v>20</v>
      </c>
      <c r="B20" s="11" t="s">
        <v>72</v>
      </c>
      <c r="C20" s="18">
        <v>387.65</v>
      </c>
      <c r="D20" s="18">
        <v>0</v>
      </c>
      <c r="E20" s="18">
        <v>0</v>
      </c>
      <c r="F20" s="18">
        <v>0</v>
      </c>
      <c r="G20" s="18">
        <v>0</v>
      </c>
      <c r="H20" s="18">
        <v>0</v>
      </c>
      <c r="I20" s="18">
        <v>0</v>
      </c>
      <c r="J20" s="18">
        <v>0</v>
      </c>
      <c r="K20" s="18">
        <v>0</v>
      </c>
      <c r="L20" s="18">
        <v>0</v>
      </c>
      <c r="M20" s="3" t="s">
        <v>44</v>
      </c>
    </row>
    <row r="21" spans="1:13" ht="24" customHeight="1">
      <c r="A21" s="4">
        <f t="shared" si="0"/>
        <v>21</v>
      </c>
      <c r="B21" s="9" t="s">
        <v>45</v>
      </c>
      <c r="C21" s="20">
        <f>C19+C20*(LEFT(C4,1)="J")-C20*(LEFT(C4,1)&lt;&gt;"J")</f>
        <v>8012.4299999999994</v>
      </c>
      <c r="D21" s="20">
        <f t="shared" ref="D21:L21" si="6">SUM(D19:D20)</f>
        <v>0</v>
      </c>
      <c r="E21" s="20">
        <f t="shared" si="6"/>
        <v>0</v>
      </c>
      <c r="F21" s="20">
        <f t="shared" si="6"/>
        <v>0</v>
      </c>
      <c r="G21" s="20">
        <f t="shared" si="6"/>
        <v>0</v>
      </c>
      <c r="H21" s="20">
        <f t="shared" si="6"/>
        <v>0</v>
      </c>
      <c r="I21" s="20">
        <f t="shared" si="6"/>
        <v>0</v>
      </c>
      <c r="J21" s="20">
        <f t="shared" si="6"/>
        <v>0</v>
      </c>
      <c r="K21" s="20">
        <f t="shared" si="6"/>
        <v>0</v>
      </c>
      <c r="L21" s="20">
        <f t="shared" si="6"/>
        <v>0</v>
      </c>
    </row>
    <row r="22" spans="1:13" ht="24" customHeight="1">
      <c r="A22" s="4">
        <f t="shared" si="0"/>
        <v>22</v>
      </c>
      <c r="B22" s="7" t="s">
        <v>46</v>
      </c>
      <c r="C22" s="21">
        <f t="shared" ref="C22:L22" si="7">C20*3</f>
        <v>1162.9499999999998</v>
      </c>
      <c r="D22" s="21">
        <f t="shared" si="7"/>
        <v>0</v>
      </c>
      <c r="E22" s="21">
        <f t="shared" si="7"/>
        <v>0</v>
      </c>
      <c r="F22" s="21">
        <f t="shared" si="7"/>
        <v>0</v>
      </c>
      <c r="G22" s="21">
        <f t="shared" si="7"/>
        <v>0</v>
      </c>
      <c r="H22" s="21">
        <f t="shared" si="7"/>
        <v>0</v>
      </c>
      <c r="I22" s="21">
        <f t="shared" si="7"/>
        <v>0</v>
      </c>
      <c r="J22" s="21">
        <f t="shared" si="7"/>
        <v>0</v>
      </c>
      <c r="K22" s="21">
        <f t="shared" si="7"/>
        <v>0</v>
      </c>
      <c r="L22" s="21">
        <f t="shared" si="7"/>
        <v>0</v>
      </c>
    </row>
    <row r="23" spans="1:13" ht="24" customHeight="1" thickBot="1">
      <c r="A23" s="4">
        <f t="shared" si="0"/>
        <v>23</v>
      </c>
      <c r="B23" s="63" t="s">
        <v>156</v>
      </c>
      <c r="C23" s="64">
        <f>90*((C7&gt;=9/37)+(C7&gt;=18/37)+(C7&gt;=27/37))</f>
        <v>90</v>
      </c>
      <c r="D23" s="64">
        <f t="shared" ref="D23:L23" si="8">90*((D7&gt;=9/37)+(D7&gt;=18/37)+(D7&gt;=27/37))</f>
        <v>0</v>
      </c>
      <c r="E23" s="64">
        <f t="shared" si="8"/>
        <v>0</v>
      </c>
      <c r="F23" s="64">
        <f t="shared" si="8"/>
        <v>0</v>
      </c>
      <c r="G23" s="64">
        <f t="shared" si="8"/>
        <v>0</v>
      </c>
      <c r="H23" s="64">
        <f t="shared" si="8"/>
        <v>0</v>
      </c>
      <c r="I23" s="64">
        <f t="shared" si="8"/>
        <v>0</v>
      </c>
      <c r="J23" s="64">
        <f t="shared" si="8"/>
        <v>0</v>
      </c>
      <c r="K23" s="64">
        <f t="shared" si="8"/>
        <v>0</v>
      </c>
      <c r="L23" s="64">
        <f t="shared" si="8"/>
        <v>0</v>
      </c>
      <c r="M23" s="3" t="s">
        <v>47</v>
      </c>
    </row>
    <row r="24" spans="1:13" ht="24" customHeight="1" thickBot="1">
      <c r="A24" s="4">
        <f t="shared" si="0"/>
        <v>24</v>
      </c>
      <c r="B24" s="56" t="s">
        <v>48</v>
      </c>
      <c r="C24" s="57">
        <f>C21+C20*2</f>
        <v>8787.73</v>
      </c>
      <c r="D24" s="57">
        <f t="shared" ref="D24:L24" si="9">D21+D20*2</f>
        <v>0</v>
      </c>
      <c r="E24" s="57">
        <f t="shared" si="9"/>
        <v>0</v>
      </c>
      <c r="F24" s="57">
        <f t="shared" si="9"/>
        <v>0</v>
      </c>
      <c r="G24" s="57">
        <f t="shared" si="9"/>
        <v>0</v>
      </c>
      <c r="H24" s="57">
        <f t="shared" si="9"/>
        <v>0</v>
      </c>
      <c r="I24" s="57">
        <f t="shared" si="9"/>
        <v>0</v>
      </c>
      <c r="J24" s="57">
        <f t="shared" si="9"/>
        <v>0</v>
      </c>
      <c r="K24" s="57">
        <f t="shared" si="9"/>
        <v>0</v>
      </c>
      <c r="L24" s="57">
        <f t="shared" si="9"/>
        <v>0</v>
      </c>
      <c r="M24" s="58" t="str">
        <f>ROUND(SUM(C24:L24),0)&amp;" i alt pr. måned"</f>
        <v>8788 i alt pr. måned</v>
      </c>
    </row>
    <row r="25" spans="1:13" ht="25" customHeight="1">
      <c r="B25" s="23" t="s">
        <v>87</v>
      </c>
    </row>
  </sheetData>
  <phoneticPr fontId="21" type="noConversion"/>
  <pageMargins left="0.35433070866141736" right="0.35433070866141736" top="0.59055118110236227" bottom="0.59055118110236227" header="0.31496062992125984" footer="0.31496062992125984"/>
  <headerFooter>
    <oddHeader>&amp;L&amp;C&amp;"Helvetica,Bold"&amp;14Lønberegning for XX Friskole &amp;R</oddHeader>
    <oddFooter>&amp;LFriskolernes Kontor&amp;C&amp;RUdskrevet den &amp;D kl. &amp;T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7">
    <tabColor theme="5" tint="0.59999389629810485"/>
    <pageSetUpPr fitToPage="1"/>
  </sheetPr>
  <dimension ref="A1:J54"/>
  <sheetViews>
    <sheetView showZeros="0" workbookViewId="0">
      <selection activeCell="D12" sqref="D12"/>
    </sheetView>
  </sheetViews>
  <sheetFormatPr baseColWidth="10" defaultColWidth="11.42578125" defaultRowHeight="14"/>
  <cols>
    <col min="2" max="2" width="38" customWidth="1"/>
    <col min="3" max="3" width="13.5703125" customWidth="1"/>
    <col min="4" max="4" width="10.7109375" customWidth="1"/>
    <col min="9" max="9" width="4.7109375" customWidth="1"/>
    <col min="10" max="10" width="4" customWidth="1"/>
  </cols>
  <sheetData>
    <row r="1" spans="1:10">
      <c r="A1" t="s">
        <v>268</v>
      </c>
      <c r="B1" s="840" t="s">
        <v>630</v>
      </c>
      <c r="C1" t="s">
        <v>582</v>
      </c>
      <c r="D1" s="335" t="s">
        <v>491</v>
      </c>
      <c r="E1" s="335"/>
    </row>
    <row r="2" spans="1:10">
      <c r="A2" t="s">
        <v>270</v>
      </c>
      <c r="B2" s="841" t="s">
        <v>278</v>
      </c>
      <c r="C2" t="s">
        <v>271</v>
      </c>
      <c r="D2" s="335" t="s">
        <v>493</v>
      </c>
      <c r="E2" s="335"/>
    </row>
    <row r="3" spans="1:10">
      <c r="D3" s="335" t="s">
        <v>494</v>
      </c>
      <c r="E3" s="335"/>
    </row>
    <row r="4" spans="1:10" ht="25" customHeight="1">
      <c r="A4">
        <v>1</v>
      </c>
      <c r="B4" s="261" t="s">
        <v>272</v>
      </c>
      <c r="C4" s="262" t="str">
        <f ca="1">INDIRECT($B$1&amp;"!"&amp;VLOOKUP($B$2,lmdr,2,0)&amp;A4)</f>
        <v>Øvrig leder</v>
      </c>
      <c r="D4" s="490"/>
      <c r="E4" s="491"/>
    </row>
    <row r="5" spans="1:10" ht="15">
      <c r="A5">
        <v>2</v>
      </c>
      <c r="B5" s="263" t="s">
        <v>273</v>
      </c>
      <c r="C5" s="264" t="str">
        <f ca="1">INDIRECT($B$1&amp;"!"&amp;VLOOKUP($B$2,lmdr,2,0)&amp;A5)</f>
        <v>AUG 25</v>
      </c>
      <c r="D5" s="492"/>
      <c r="E5" s="493"/>
      <c r="I5" s="571" t="s">
        <v>278</v>
      </c>
      <c r="J5" s="572" t="s">
        <v>293</v>
      </c>
    </row>
    <row r="6" spans="1:10" ht="15">
      <c r="A6">
        <v>8</v>
      </c>
      <c r="B6" s="265" t="s">
        <v>274</v>
      </c>
      <c r="C6" s="266">
        <f ca="1">INDIRECT($B$1&amp;"!"&amp;VLOOKUP($B$2,lmdr,2,0)&amp;A6)</f>
        <v>0</v>
      </c>
      <c r="D6" s="490"/>
      <c r="E6" s="491"/>
      <c r="I6" s="573" t="s">
        <v>292</v>
      </c>
      <c r="J6" s="574" t="s">
        <v>295</v>
      </c>
    </row>
    <row r="7" spans="1:10" ht="15">
      <c r="A7">
        <v>3</v>
      </c>
      <c r="B7" s="263" t="s">
        <v>275</v>
      </c>
      <c r="C7" s="267">
        <f ca="1">INDIRECT($B$1&amp;"!"&amp;VLOOKUP($B$2,lmdr,2,0)&amp;A7)</f>
        <v>1</v>
      </c>
      <c r="D7" s="492"/>
      <c r="E7" s="493"/>
      <c r="I7" s="573" t="s">
        <v>294</v>
      </c>
      <c r="J7" s="574" t="s">
        <v>297</v>
      </c>
    </row>
    <row r="8" spans="1:10" ht="15">
      <c r="A8">
        <v>4</v>
      </c>
      <c r="B8" s="265" t="s">
        <v>328</v>
      </c>
      <c r="C8" s="497">
        <f ca="1">INDIRECT($B$1&amp;"!"&amp;VLOOKUP($B$2,lmdr,2,0)&amp;A8)</f>
        <v>0</v>
      </c>
      <c r="D8" s="492"/>
      <c r="E8" s="493"/>
      <c r="I8" s="573" t="s">
        <v>296</v>
      </c>
      <c r="J8" s="574" t="s">
        <v>299</v>
      </c>
    </row>
    <row r="9" spans="1:10" ht="16">
      <c r="A9">
        <v>5</v>
      </c>
      <c r="B9" s="499" t="s">
        <v>429</v>
      </c>
      <c r="C9" s="498" t="str">
        <f ca="1">IF(LEFT(INDIRECT($B$1&amp;"!E5"))="L","LP","Tjm., trin "&amp;RIGHT(INDIRECT($B$1&amp;"!E5"),2))</f>
        <v xml:space="preserve">Tjm., trin </v>
      </c>
      <c r="D9" s="490"/>
      <c r="E9" s="491"/>
      <c r="G9" s="570"/>
      <c r="I9" s="573" t="s">
        <v>298</v>
      </c>
      <c r="J9" s="574" t="s">
        <v>301</v>
      </c>
    </row>
    <row r="10" spans="1:10" ht="15">
      <c r="A10" s="268">
        <v>34</v>
      </c>
      <c r="B10" s="269" t="str">
        <f ca="1">IF(C10&lt;&gt;0,INDIRECT($B$1&amp;"!b"&amp;A10),"")</f>
        <v/>
      </c>
      <c r="C10" s="270">
        <f t="shared" ref="C10:C41" ca="1" si="0">INDIRECT($B$1&amp;"!"&amp;VLOOKUP($B$2,lmdr,2,0)&amp;A10)</f>
        <v>0</v>
      </c>
      <c r="D10" s="492"/>
      <c r="E10" s="493"/>
      <c r="I10" s="573" t="s">
        <v>300</v>
      </c>
      <c r="J10" s="574" t="s">
        <v>303</v>
      </c>
    </row>
    <row r="11" spans="1:10" ht="15">
      <c r="A11" s="268">
        <f>A10+1</f>
        <v>35</v>
      </c>
      <c r="B11" s="269" t="str">
        <f ca="1">IF(C11&lt;&gt;0,INDIRECT($B$1&amp;"!b"&amp;A11),"")</f>
        <v/>
      </c>
      <c r="C11" s="270">
        <f t="shared" ca="1" si="0"/>
        <v>0</v>
      </c>
      <c r="D11" s="490"/>
      <c r="E11" s="491"/>
      <c r="I11" s="573" t="s">
        <v>302</v>
      </c>
      <c r="J11" s="574" t="s">
        <v>305</v>
      </c>
    </row>
    <row r="12" spans="1:10" ht="15">
      <c r="A12" s="268">
        <f t="shared" ref="A12:A34" si="1">A11+1</f>
        <v>36</v>
      </c>
      <c r="B12" s="280" t="str">
        <f t="shared" ref="B12:B44" ca="1" si="2">IF(C12&lt;&gt;0,INDIRECT($B$1&amp;"!b"&amp;A12),"")</f>
        <v/>
      </c>
      <c r="C12" s="281">
        <f t="shared" ca="1" si="0"/>
        <v>0</v>
      </c>
      <c r="D12" s="492"/>
      <c r="E12" s="493"/>
      <c r="I12" s="573" t="s">
        <v>304</v>
      </c>
      <c r="J12" s="574" t="s">
        <v>307</v>
      </c>
    </row>
    <row r="13" spans="1:10" ht="15">
      <c r="A13" s="268">
        <f t="shared" si="1"/>
        <v>37</v>
      </c>
      <c r="B13" s="269" t="str">
        <f t="shared" ca="1" si="2"/>
        <v/>
      </c>
      <c r="C13" s="270">
        <f t="shared" ca="1" si="0"/>
        <v>0</v>
      </c>
      <c r="D13" s="490"/>
      <c r="E13" s="491"/>
      <c r="I13" s="573" t="s">
        <v>306</v>
      </c>
      <c r="J13" s="574" t="s">
        <v>309</v>
      </c>
    </row>
    <row r="14" spans="1:10" ht="15">
      <c r="A14" s="268">
        <f t="shared" si="1"/>
        <v>38</v>
      </c>
      <c r="B14" s="280" t="str">
        <f t="shared" ca="1" si="2"/>
        <v/>
      </c>
      <c r="C14" s="281">
        <f t="shared" ca="1" si="0"/>
        <v>0</v>
      </c>
      <c r="D14" s="492"/>
      <c r="E14" s="493"/>
      <c r="I14" s="573" t="s">
        <v>308</v>
      </c>
      <c r="J14" s="574" t="s">
        <v>311</v>
      </c>
    </row>
    <row r="15" spans="1:10" ht="15">
      <c r="A15" s="268">
        <f t="shared" si="1"/>
        <v>39</v>
      </c>
      <c r="B15" s="269" t="str">
        <f t="shared" ca="1" si="2"/>
        <v/>
      </c>
      <c r="C15" s="270">
        <f t="shared" ca="1" si="0"/>
        <v>0</v>
      </c>
      <c r="D15" s="490"/>
      <c r="E15" s="491"/>
      <c r="I15" s="573" t="s">
        <v>310</v>
      </c>
      <c r="J15" s="574" t="s">
        <v>313</v>
      </c>
    </row>
    <row r="16" spans="1:10" ht="15">
      <c r="A16" s="268">
        <f t="shared" si="1"/>
        <v>40</v>
      </c>
      <c r="B16" s="280" t="str">
        <f t="shared" ca="1" si="2"/>
        <v/>
      </c>
      <c r="C16" s="281">
        <f t="shared" ca="1" si="0"/>
        <v>0</v>
      </c>
      <c r="D16" s="492"/>
      <c r="E16" s="493"/>
      <c r="I16" s="575" t="s">
        <v>312</v>
      </c>
      <c r="J16" s="576" t="s">
        <v>405</v>
      </c>
    </row>
    <row r="17" spans="1:5" ht="15">
      <c r="A17" s="268">
        <f t="shared" si="1"/>
        <v>41</v>
      </c>
      <c r="B17" s="269" t="str">
        <f t="shared" ca="1" si="2"/>
        <v/>
      </c>
      <c r="C17" s="270">
        <f t="shared" ca="1" si="0"/>
        <v>0</v>
      </c>
      <c r="D17" s="490"/>
      <c r="E17" s="491"/>
    </row>
    <row r="18" spans="1:5" ht="15">
      <c r="A18" s="268">
        <f t="shared" si="1"/>
        <v>42</v>
      </c>
      <c r="B18" s="280" t="str">
        <f t="shared" ca="1" si="2"/>
        <v/>
      </c>
      <c r="C18" s="281">
        <f t="shared" ca="1" si="0"/>
        <v>0</v>
      </c>
      <c r="D18" s="492"/>
      <c r="E18" s="493"/>
    </row>
    <row r="19" spans="1:5" ht="15">
      <c r="A19" s="268">
        <f t="shared" si="1"/>
        <v>43</v>
      </c>
      <c r="B19" s="269" t="str">
        <f ca="1">IF(C19&lt;&gt;0,INDIRECT($B$1&amp;"!b"&amp;A19),"")</f>
        <v/>
      </c>
      <c r="C19" s="270">
        <f ca="1">INDIRECT($B$1&amp;"!"&amp;VLOOKUP($B$2,lmdr,2,0)&amp;A19)</f>
        <v>0</v>
      </c>
      <c r="D19" s="492"/>
      <c r="E19" s="493"/>
    </row>
    <row r="20" spans="1:5" ht="15">
      <c r="A20" s="268">
        <f t="shared" si="1"/>
        <v>44</v>
      </c>
      <c r="B20" s="280" t="str">
        <f t="shared" ca="1" si="2"/>
        <v/>
      </c>
      <c r="C20" s="281">
        <f t="shared" ca="1" si="0"/>
        <v>0</v>
      </c>
      <c r="D20" s="490"/>
      <c r="E20" s="491"/>
    </row>
    <row r="21" spans="1:5" ht="15">
      <c r="A21" s="268">
        <f t="shared" si="1"/>
        <v>45</v>
      </c>
      <c r="B21" s="1139" t="str">
        <f t="shared" ca="1" si="2"/>
        <v/>
      </c>
      <c r="C21" s="1140">
        <f t="shared" ca="1" si="0"/>
        <v>0</v>
      </c>
      <c r="D21" s="492"/>
      <c r="E21" s="493"/>
    </row>
    <row r="22" spans="1:5" ht="15">
      <c r="A22" s="268">
        <f t="shared" si="1"/>
        <v>46</v>
      </c>
      <c r="B22" s="1141" t="str">
        <f t="shared" ca="1" si="2"/>
        <v/>
      </c>
      <c r="C22" s="1142">
        <f t="shared" ca="1" si="0"/>
        <v>0</v>
      </c>
      <c r="D22" s="490"/>
      <c r="E22" s="491"/>
    </row>
    <row r="23" spans="1:5" ht="15">
      <c r="A23" s="268">
        <f t="shared" si="1"/>
        <v>47</v>
      </c>
      <c r="B23" s="1137" t="str">
        <f t="shared" ca="1" si="2"/>
        <v/>
      </c>
      <c r="C23" s="1138">
        <f t="shared" ca="1" si="0"/>
        <v>0</v>
      </c>
      <c r="D23" s="492"/>
      <c r="E23" s="493"/>
    </row>
    <row r="24" spans="1:5" ht="15">
      <c r="A24" s="268">
        <f t="shared" si="1"/>
        <v>48</v>
      </c>
      <c r="B24" s="273" t="str">
        <f t="shared" ca="1" si="2"/>
        <v/>
      </c>
      <c r="C24" s="274">
        <f t="shared" ca="1" si="0"/>
        <v>0</v>
      </c>
      <c r="D24" s="490"/>
      <c r="E24" s="491"/>
    </row>
    <row r="25" spans="1:5" ht="15">
      <c r="A25" s="268">
        <f t="shared" si="1"/>
        <v>49</v>
      </c>
      <c r="B25" s="271" t="str">
        <f t="shared" ca="1" si="2"/>
        <v/>
      </c>
      <c r="C25" s="272">
        <f t="shared" ca="1" si="0"/>
        <v>0</v>
      </c>
      <c r="D25" s="492"/>
      <c r="E25" s="493"/>
    </row>
    <row r="26" spans="1:5" ht="15">
      <c r="A26" s="268">
        <f t="shared" si="1"/>
        <v>50</v>
      </c>
      <c r="B26" s="273" t="str">
        <f t="shared" ca="1" si="2"/>
        <v/>
      </c>
      <c r="C26" s="274">
        <f t="shared" ca="1" si="0"/>
        <v>0</v>
      </c>
      <c r="D26" s="490"/>
      <c r="E26" s="491"/>
    </row>
    <row r="27" spans="1:5" ht="15">
      <c r="A27" s="268">
        <f t="shared" si="1"/>
        <v>51</v>
      </c>
      <c r="B27" s="271" t="str">
        <f t="shared" ca="1" si="2"/>
        <v/>
      </c>
      <c r="C27" s="272">
        <f t="shared" ca="1" si="0"/>
        <v>0</v>
      </c>
      <c r="D27" s="492"/>
      <c r="E27" s="493"/>
    </row>
    <row r="28" spans="1:5" ht="15">
      <c r="A28" s="268">
        <f t="shared" si="1"/>
        <v>52</v>
      </c>
      <c r="B28" s="273" t="str">
        <f t="shared" ca="1" si="2"/>
        <v/>
      </c>
      <c r="C28" s="274">
        <f t="shared" ca="1" si="0"/>
        <v>0</v>
      </c>
      <c r="D28" s="490"/>
      <c r="E28" s="491"/>
    </row>
    <row r="29" spans="1:5" ht="15">
      <c r="A29" s="268">
        <f t="shared" si="1"/>
        <v>53</v>
      </c>
      <c r="B29" s="1156" t="str">
        <f t="shared" ca="1" si="2"/>
        <v/>
      </c>
      <c r="C29" s="1157">
        <f t="shared" ca="1" si="0"/>
        <v>0</v>
      </c>
      <c r="D29" s="492"/>
      <c r="E29" s="493"/>
    </row>
    <row r="30" spans="1:5" ht="15">
      <c r="A30" s="268">
        <f t="shared" si="1"/>
        <v>54</v>
      </c>
      <c r="B30" s="273" t="str">
        <f t="shared" ca="1" si="2"/>
        <v/>
      </c>
      <c r="C30" s="274">
        <f t="shared" ca="1" si="0"/>
        <v>0</v>
      </c>
      <c r="D30" s="490"/>
      <c r="E30" s="491"/>
    </row>
    <row r="31" spans="1:5" ht="15">
      <c r="A31" s="268">
        <f t="shared" si="1"/>
        <v>55</v>
      </c>
      <c r="B31" s="271" t="str">
        <f t="shared" ca="1" si="2"/>
        <v/>
      </c>
      <c r="C31" s="272">
        <f t="shared" ca="1" si="0"/>
        <v>0</v>
      </c>
      <c r="D31" s="492"/>
      <c r="E31" s="493"/>
    </row>
    <row r="32" spans="1:5" ht="15">
      <c r="A32" s="268">
        <f t="shared" si="1"/>
        <v>56</v>
      </c>
      <c r="B32" s="1143" t="str">
        <f t="shared" ca="1" si="2"/>
        <v/>
      </c>
      <c r="C32" s="1144">
        <f t="shared" ca="1" si="0"/>
        <v>0</v>
      </c>
      <c r="D32" s="490"/>
      <c r="E32" s="491"/>
    </row>
    <row r="33" spans="1:5" ht="15">
      <c r="A33" s="268">
        <f t="shared" si="1"/>
        <v>57</v>
      </c>
      <c r="B33" s="275" t="str">
        <f t="shared" ca="1" si="2"/>
        <v/>
      </c>
      <c r="C33" s="276">
        <f t="shared" ca="1" si="0"/>
        <v>0</v>
      </c>
      <c r="D33" s="492"/>
      <c r="E33" s="493"/>
    </row>
    <row r="34" spans="1:5" ht="15">
      <c r="A34" s="268">
        <f t="shared" si="1"/>
        <v>58</v>
      </c>
      <c r="B34" s="277" t="str">
        <f t="shared" ca="1" si="2"/>
        <v/>
      </c>
      <c r="C34" s="278">
        <f t="shared" ca="1" si="0"/>
        <v>0</v>
      </c>
      <c r="D34" s="490"/>
      <c r="E34" s="491"/>
    </row>
    <row r="35" spans="1:5" ht="15">
      <c r="A35" s="268">
        <v>59</v>
      </c>
      <c r="B35" s="275" t="str">
        <f t="shared" ca="1" si="2"/>
        <v/>
      </c>
      <c r="C35" s="276">
        <f t="shared" ca="1" si="0"/>
        <v>0</v>
      </c>
      <c r="D35" s="492"/>
      <c r="E35" s="493"/>
    </row>
    <row r="36" spans="1:5">
      <c r="A36" s="1004">
        <v>60</v>
      </c>
      <c r="B36" s="282" t="str">
        <f t="shared" ca="1" si="2"/>
        <v/>
      </c>
      <c r="C36" s="1155">
        <f t="shared" ca="1" si="0"/>
        <v>0</v>
      </c>
      <c r="D36" s="490"/>
      <c r="E36" s="491"/>
    </row>
    <row r="37" spans="1:5">
      <c r="A37" s="1005">
        <v>18</v>
      </c>
      <c r="B37" s="283" t="str">
        <f t="shared" ca="1" si="2"/>
        <v/>
      </c>
      <c r="C37" s="279">
        <f t="shared" ca="1" si="0"/>
        <v>0</v>
      </c>
      <c r="D37" s="492"/>
      <c r="E37" s="493"/>
    </row>
    <row r="38" spans="1:5">
      <c r="A38" s="1006">
        <v>19</v>
      </c>
      <c r="B38" s="282" t="str">
        <f t="shared" ref="B38" ca="1" si="3">IF(C38&lt;&gt;0,INDIRECT($B$1&amp;"!b"&amp;A38),"")</f>
        <v/>
      </c>
      <c r="C38" s="1154">
        <f t="shared" ref="C38" ca="1" si="4">INDIRECT($B$1&amp;"!"&amp;VLOOKUP($B$2,lmdr,2,0)&amp;A38)</f>
        <v>0</v>
      </c>
      <c r="D38" s="492"/>
      <c r="E38" s="493"/>
    </row>
    <row r="39" spans="1:5" ht="15">
      <c r="A39" s="268">
        <v>61</v>
      </c>
      <c r="B39" s="275" t="str">
        <f t="shared" ca="1" si="2"/>
        <v/>
      </c>
      <c r="C39" s="276">
        <f t="shared" ca="1" si="0"/>
        <v>0</v>
      </c>
      <c r="D39" s="492"/>
      <c r="E39" s="493"/>
    </row>
    <row r="40" spans="1:5" ht="15">
      <c r="A40" s="268">
        <v>62</v>
      </c>
      <c r="B40" s="277" t="str">
        <f t="shared" ca="1" si="2"/>
        <v/>
      </c>
      <c r="C40" s="278">
        <f t="shared" ca="1" si="0"/>
        <v>0</v>
      </c>
      <c r="D40" s="490"/>
      <c r="E40" s="491"/>
    </row>
    <row r="41" spans="1:5" ht="15">
      <c r="A41" s="268">
        <v>64</v>
      </c>
      <c r="B41" s="275" t="str">
        <f t="shared" ca="1" si="2"/>
        <v/>
      </c>
      <c r="C41" s="276">
        <f t="shared" ca="1" si="0"/>
        <v>0</v>
      </c>
      <c r="D41" s="492"/>
      <c r="E41" s="493"/>
    </row>
    <row r="42" spans="1:5">
      <c r="A42" s="268">
        <v>65</v>
      </c>
      <c r="B42" s="282" t="str">
        <f t="shared" ca="1" si="2"/>
        <v/>
      </c>
      <c r="C42" s="817">
        <f t="shared" ref="C42:C44" ca="1" si="5">INDIRECT($B$1&amp;"!"&amp;VLOOKUP($B$2,lmdr,2,0)&amp;A42)</f>
        <v>0</v>
      </c>
      <c r="D42" s="490"/>
      <c r="E42" s="491"/>
    </row>
    <row r="43" spans="1:5">
      <c r="A43" s="268">
        <v>66</v>
      </c>
      <c r="B43" s="283" t="str">
        <f t="shared" ca="1" si="2"/>
        <v/>
      </c>
      <c r="C43" s="718">
        <f t="shared" ca="1" si="5"/>
        <v>0</v>
      </c>
      <c r="D43" s="818"/>
      <c r="E43" s="819"/>
    </row>
    <row r="44" spans="1:5">
      <c r="A44" s="268">
        <v>67</v>
      </c>
      <c r="B44" s="282" t="str">
        <f t="shared" ca="1" si="2"/>
        <v/>
      </c>
      <c r="C44" s="817">
        <f t="shared" ca="1" si="5"/>
        <v>0</v>
      </c>
      <c r="D44" s="818"/>
      <c r="E44" s="819"/>
    </row>
    <row r="45" spans="1:5">
      <c r="A45" s="268">
        <v>68</v>
      </c>
      <c r="B45" s="283" t="str">
        <f t="shared" ref="B45:B50" ca="1" si="6">IF(C45&lt;&gt;0,INDIRECT($B$1&amp;"!b"&amp;A45),"")</f>
        <v/>
      </c>
      <c r="C45" s="718">
        <f t="shared" ref="C45:C50" ca="1" si="7">INDIRECT($B$1&amp;"!"&amp;VLOOKUP($B$2,lmdr,2,0)&amp;A45)</f>
        <v>0</v>
      </c>
      <c r="D45" s="818"/>
      <c r="E45" s="819"/>
    </row>
    <row r="46" spans="1:5">
      <c r="A46" s="268">
        <v>69</v>
      </c>
      <c r="B46" s="282" t="str">
        <f t="shared" ca="1" si="6"/>
        <v/>
      </c>
      <c r="C46" s="817">
        <f t="shared" ca="1" si="7"/>
        <v>0</v>
      </c>
      <c r="D46" s="818"/>
      <c r="E46" s="819"/>
    </row>
    <row r="47" spans="1:5">
      <c r="A47" s="268">
        <v>70</v>
      </c>
      <c r="B47" s="282" t="str">
        <f t="shared" ref="B47" ca="1" si="8">IF(C47&lt;&gt;0,INDIRECT($B$1&amp;"!b"&amp;A47),"")</f>
        <v/>
      </c>
      <c r="C47" s="817">
        <f t="shared" ref="C47" ca="1" si="9">INDIRECT($B$1&amp;"!"&amp;VLOOKUP($B$2,lmdr,2,0)&amp;A47)</f>
        <v>0</v>
      </c>
      <c r="D47" s="818"/>
      <c r="E47" s="819"/>
    </row>
    <row r="48" spans="1:5">
      <c r="A48" s="268">
        <v>29</v>
      </c>
      <c r="B48" s="283" t="str">
        <f t="shared" ca="1" si="6"/>
        <v/>
      </c>
      <c r="C48" s="718">
        <f t="shared" ca="1" si="7"/>
        <v>0</v>
      </c>
      <c r="D48" s="818"/>
      <c r="E48" s="819"/>
    </row>
    <row r="49" spans="1:5">
      <c r="A49" s="268">
        <v>30</v>
      </c>
      <c r="B49" s="282" t="str">
        <f t="shared" ca="1" si="6"/>
        <v/>
      </c>
      <c r="C49" s="817">
        <f t="shared" ca="1" si="7"/>
        <v>0</v>
      </c>
      <c r="D49" s="818"/>
      <c r="E49" s="819"/>
    </row>
    <row r="50" spans="1:5">
      <c r="A50" s="268">
        <v>31</v>
      </c>
      <c r="B50" s="283" t="str">
        <f t="shared" ca="1" si="6"/>
        <v/>
      </c>
      <c r="C50" s="718">
        <f t="shared" ca="1" si="7"/>
        <v>0</v>
      </c>
      <c r="D50" s="818"/>
      <c r="E50" s="819"/>
    </row>
    <row r="51" spans="1:5">
      <c r="A51" s="268">
        <v>32</v>
      </c>
      <c r="B51" s="282" t="str">
        <f t="shared" ref="B51:B53" ca="1" si="10">IF(C51&lt;&gt;0,INDIRECT($B$1&amp;"!b"&amp;A51),"")</f>
        <v/>
      </c>
      <c r="C51" s="817">
        <f t="shared" ref="C51:C53" ca="1" si="11">INDIRECT($B$1&amp;"!"&amp;VLOOKUP($B$2,lmdr,2,0)&amp;A51)</f>
        <v>0</v>
      </c>
      <c r="D51" s="818"/>
      <c r="E51" s="819"/>
    </row>
    <row r="52" spans="1:5">
      <c r="A52" s="268">
        <v>71</v>
      </c>
      <c r="B52" s="283" t="str">
        <f t="shared" ca="1" si="10"/>
        <v/>
      </c>
      <c r="C52" s="718">
        <f t="shared" ca="1" si="11"/>
        <v>0</v>
      </c>
      <c r="D52" s="494"/>
      <c r="E52" s="491">
        <f ca="1">C48+C49+C50+C51+C52+C33</f>
        <v>0</v>
      </c>
    </row>
    <row r="53" spans="1:5">
      <c r="A53" s="268">
        <v>72</v>
      </c>
      <c r="B53" s="1152" t="str">
        <f t="shared" ca="1" si="10"/>
        <v/>
      </c>
      <c r="C53" s="1153">
        <f t="shared" ca="1" si="11"/>
        <v>0</v>
      </c>
      <c r="D53" s="495">
        <f ca="1">C23-C40-C35</f>
        <v>0</v>
      </c>
      <c r="E53" s="493">
        <f ca="1">C53-D53</f>
        <v>0</v>
      </c>
    </row>
    <row r="54" spans="1:5">
      <c r="A54" s="490"/>
      <c r="B54" s="490"/>
      <c r="C54" s="490"/>
      <c r="D54" s="494"/>
      <c r="E54" s="491"/>
    </row>
  </sheetData>
  <sheetProtection sheet="1" objects="1" scenarios="1" formatCells="0" formatColumns="0" formatRows="0"/>
  <printOptions horizontalCentered="1" verticalCentered="1"/>
  <pageMargins left="0.75000000000000011" right="0.75000000000000011" top="1" bottom="1" header="0.5" footer="0.5"/>
  <pageSetup paperSize="9" orientation="portrait" horizontalDpi="0" verticalDpi="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28">
    <tabColor rgb="FFFFFF00"/>
    <pageSetUpPr fitToPage="1"/>
  </sheetPr>
  <dimension ref="A1:W266"/>
  <sheetViews>
    <sheetView workbookViewId="0">
      <pane xSplit="4" ySplit="2" topLeftCell="E3" activePane="bottomRight" state="frozen"/>
      <selection activeCell="L7" sqref="L7"/>
      <selection pane="topRight" activeCell="L7" sqref="L7"/>
      <selection pane="bottomLeft" activeCell="L7" sqref="L7"/>
      <selection pane="bottomRight" activeCell="M11" sqref="M11"/>
    </sheetView>
  </sheetViews>
  <sheetFormatPr baseColWidth="10" defaultColWidth="20.85546875" defaultRowHeight="13"/>
  <cols>
    <col min="1" max="1" width="3.5703125" style="22" customWidth="1"/>
    <col min="2" max="2" width="32.42578125" style="3" customWidth="1"/>
    <col min="3" max="3" width="6.85546875" style="3" customWidth="1"/>
    <col min="4" max="4" width="6.42578125" style="3" customWidth="1"/>
    <col min="5" max="5" width="13.85546875" style="24" customWidth="1"/>
    <col min="6" max="6" width="10.140625" style="24" customWidth="1"/>
    <col min="7" max="7" width="10.28515625" style="24" customWidth="1"/>
    <col min="8" max="8" width="10.140625" style="24" customWidth="1"/>
    <col min="9" max="9" width="10.42578125" style="24" customWidth="1"/>
    <col min="10" max="10" width="10.140625" style="24" customWidth="1"/>
    <col min="11" max="11" width="11" style="24" customWidth="1"/>
    <col min="12" max="12" width="10.42578125" style="24" customWidth="1"/>
    <col min="13" max="16" width="12" style="24" customWidth="1"/>
    <col min="17" max="17" width="44.85546875" style="3" customWidth="1"/>
    <col min="18" max="18" width="9.7109375" style="3" customWidth="1"/>
    <col min="19" max="19" width="10.140625" style="3" customWidth="1"/>
    <col min="20" max="23" width="8.7109375" style="3" customWidth="1"/>
    <col min="24" max="16384" width="20.85546875" style="83"/>
  </cols>
  <sheetData>
    <row r="1" spans="1:23" ht="27" customHeight="1">
      <c r="A1" s="1">
        <v>1</v>
      </c>
      <c r="B1" s="62" t="s">
        <v>9</v>
      </c>
      <c r="C1" s="1237" t="str">
        <f>A!A1</f>
        <v>2024/2025</v>
      </c>
      <c r="D1" s="1238"/>
      <c r="E1" s="636" t="s">
        <v>629</v>
      </c>
      <c r="F1" s="77" t="str">
        <f>E1</f>
        <v>Øvrig leder</v>
      </c>
      <c r="G1" s="77" t="str">
        <f t="shared" ref="G1:P1" si="0">F1</f>
        <v>Øvrig leder</v>
      </c>
      <c r="H1" s="77" t="str">
        <f t="shared" si="0"/>
        <v>Øvrig leder</v>
      </c>
      <c r="I1" s="77" t="str">
        <f t="shared" si="0"/>
        <v>Øvrig leder</v>
      </c>
      <c r="J1" s="77" t="str">
        <f t="shared" si="0"/>
        <v>Øvrig leder</v>
      </c>
      <c r="K1" s="77" t="str">
        <f t="shared" si="0"/>
        <v>Øvrig leder</v>
      </c>
      <c r="L1" s="77" t="str">
        <f t="shared" si="0"/>
        <v>Øvrig leder</v>
      </c>
      <c r="M1" s="77" t="str">
        <f t="shared" si="0"/>
        <v>Øvrig leder</v>
      </c>
      <c r="N1" s="77" t="str">
        <f t="shared" si="0"/>
        <v>Øvrig leder</v>
      </c>
      <c r="O1" s="77" t="str">
        <f t="shared" si="0"/>
        <v>Øvrig leder</v>
      </c>
      <c r="P1" s="77" t="str">
        <f t="shared" si="0"/>
        <v>Øvrig leder</v>
      </c>
      <c r="Q1" s="3" t="s">
        <v>185</v>
      </c>
      <c r="R1" s="86"/>
      <c r="S1" s="86"/>
      <c r="T1" s="86"/>
      <c r="U1" s="86"/>
      <c r="V1" s="86"/>
      <c r="W1" s="86"/>
    </row>
    <row r="2" spans="1:23" ht="14" customHeight="1">
      <c r="A2" s="4">
        <f t="shared" ref="A2:A65" si="1">A1+1</f>
        <v>2</v>
      </c>
      <c r="B2" s="89" t="s">
        <v>36</v>
      </c>
      <c r="C2" s="1239" t="s">
        <v>401</v>
      </c>
      <c r="D2" s="1240"/>
      <c r="E2" s="860" t="str">
        <f>"AUG "&amp;MID($C$1,3,2)+1</f>
        <v>AUG 25</v>
      </c>
      <c r="F2" s="860" t="str">
        <f>"SEP "&amp;MID($C$1,3,2)+1</f>
        <v>SEP 25</v>
      </c>
      <c r="G2" s="860" t="str">
        <f>"OKT "&amp;MID($C$1,3,2)+1</f>
        <v>OKT 25</v>
      </c>
      <c r="H2" s="860" t="str">
        <f>"NOV "&amp;MID($C$1,3,2)+1</f>
        <v>NOV 25</v>
      </c>
      <c r="I2" s="860" t="str">
        <f>"DEC "&amp;MID($C$1,3,2)+1</f>
        <v>DEC 25</v>
      </c>
      <c r="J2" s="860" t="str">
        <f>"JAN "&amp;MID($C$1,3,2)+2</f>
        <v>JAN 26</v>
      </c>
      <c r="K2" s="860" t="str">
        <f>"FEB "&amp;MID($C$1,3,2)+2</f>
        <v>FEB 26</v>
      </c>
      <c r="L2" s="860" t="str">
        <f>"MAR "&amp;MID($C$1,3,2)+2</f>
        <v>MAR 26</v>
      </c>
      <c r="M2" s="860" t="str">
        <f>"APR "&amp;MID($C$1,3,2)+2</f>
        <v>APR 26</v>
      </c>
      <c r="N2" s="860" t="str">
        <f>"MAJ "&amp;MID($C$1,3,2)+2</f>
        <v>MAJ 26</v>
      </c>
      <c r="O2" s="860" t="str">
        <f>"JUN "&amp;MID($C$1,3,2)+2</f>
        <v>JUN 26</v>
      </c>
      <c r="P2" s="860" t="str">
        <f>"JUL "&amp;MID($C$1,3,2)+2</f>
        <v>JUL 26</v>
      </c>
      <c r="Q2" s="254" t="s">
        <v>164</v>
      </c>
      <c r="R2" s="86"/>
      <c r="S2" s="86"/>
      <c r="T2" s="86"/>
      <c r="U2" s="86"/>
      <c r="V2" s="86"/>
      <c r="W2" s="86"/>
    </row>
    <row r="3" spans="1:23" ht="27" customHeight="1">
      <c r="A3" s="4">
        <f t="shared" si="1"/>
        <v>3</v>
      </c>
      <c r="B3" s="1255" t="s">
        <v>37</v>
      </c>
      <c r="C3" s="1256"/>
      <c r="D3" s="1257"/>
      <c r="E3" s="658">
        <v>1</v>
      </c>
      <c r="F3" s="659">
        <v>1</v>
      </c>
      <c r="G3" s="660">
        <v>1</v>
      </c>
      <c r="H3" s="659">
        <v>1</v>
      </c>
      <c r="I3" s="660">
        <v>1</v>
      </c>
      <c r="J3" s="660">
        <v>1</v>
      </c>
      <c r="K3" s="752">
        <v>1</v>
      </c>
      <c r="L3" s="660">
        <v>1</v>
      </c>
      <c r="M3" s="659">
        <v>1</v>
      </c>
      <c r="N3" s="660">
        <v>1</v>
      </c>
      <c r="O3" s="659">
        <v>1</v>
      </c>
      <c r="P3" s="660">
        <v>1</v>
      </c>
      <c r="Q3" s="6" t="s">
        <v>369</v>
      </c>
      <c r="R3" s="86"/>
      <c r="S3" s="86"/>
      <c r="T3" s="86"/>
      <c r="U3" s="86"/>
      <c r="V3" s="86"/>
      <c r="W3" s="86"/>
    </row>
    <row r="4" spans="1:23" ht="42" customHeight="1">
      <c r="A4" s="4">
        <f t="shared" si="1"/>
        <v>4</v>
      </c>
      <c r="B4" s="1258" t="s">
        <v>696</v>
      </c>
      <c r="C4" s="1259"/>
      <c r="D4" s="1260"/>
      <c r="E4" s="345"/>
      <c r="F4" s="327">
        <f>E4</f>
        <v>0</v>
      </c>
      <c r="G4" s="327">
        <f t="shared" ref="G4:P5" si="2">F4</f>
        <v>0</v>
      </c>
      <c r="H4" s="327">
        <f t="shared" si="2"/>
        <v>0</v>
      </c>
      <c r="I4" s="327">
        <f t="shared" si="2"/>
        <v>0</v>
      </c>
      <c r="J4" s="327">
        <f>I4</f>
        <v>0</v>
      </c>
      <c r="K4" s="327">
        <f t="shared" si="2"/>
        <v>0</v>
      </c>
      <c r="L4" s="327">
        <f t="shared" si="2"/>
        <v>0</v>
      </c>
      <c r="M4" s="327">
        <f t="shared" si="2"/>
        <v>0</v>
      </c>
      <c r="N4" s="327">
        <f t="shared" si="2"/>
        <v>0</v>
      </c>
      <c r="O4" s="327">
        <f t="shared" si="2"/>
        <v>0</v>
      </c>
      <c r="P4" s="327">
        <f t="shared" si="2"/>
        <v>0</v>
      </c>
      <c r="Q4" s="259" t="s">
        <v>596</v>
      </c>
      <c r="R4" s="842">
        <v>353412</v>
      </c>
      <c r="S4" s="86"/>
      <c r="T4" s="86"/>
      <c r="U4" s="86"/>
      <c r="V4" s="86"/>
      <c r="W4" s="86"/>
    </row>
    <row r="5" spans="1:23" ht="24" customHeight="1">
      <c r="A5" s="4">
        <f>A4+1</f>
        <v>5</v>
      </c>
      <c r="B5" s="1250" t="s">
        <v>112</v>
      </c>
      <c r="C5" s="1251"/>
      <c r="D5" s="1252"/>
      <c r="E5" s="364"/>
      <c r="F5" s="754">
        <f>E5</f>
        <v>0</v>
      </c>
      <c r="G5" s="754">
        <f t="shared" si="2"/>
        <v>0</v>
      </c>
      <c r="H5" s="754">
        <f t="shared" si="2"/>
        <v>0</v>
      </c>
      <c r="I5" s="754">
        <f t="shared" si="2"/>
        <v>0</v>
      </c>
      <c r="J5" s="754">
        <f t="shared" si="2"/>
        <v>0</v>
      </c>
      <c r="K5" s="754">
        <f t="shared" si="2"/>
        <v>0</v>
      </c>
      <c r="L5" s="754">
        <f t="shared" si="2"/>
        <v>0</v>
      </c>
      <c r="M5" s="754">
        <f t="shared" ref="M5:N5" si="3">L5</f>
        <v>0</v>
      </c>
      <c r="N5" s="754">
        <f t="shared" si="3"/>
        <v>0</v>
      </c>
      <c r="O5" s="754">
        <f t="shared" si="2"/>
        <v>0</v>
      </c>
      <c r="P5" s="754">
        <f t="shared" si="2"/>
        <v>0</v>
      </c>
      <c r="Q5" s="6" t="s">
        <v>10</v>
      </c>
      <c r="R5" s="842">
        <v>396929</v>
      </c>
      <c r="S5" s="86"/>
      <c r="T5" s="86"/>
      <c r="U5" s="86"/>
      <c r="V5" s="86"/>
      <c r="W5" s="86"/>
    </row>
    <row r="6" spans="1:23" ht="14" customHeight="1">
      <c r="A6" s="4">
        <f t="shared" si="1"/>
        <v>6</v>
      </c>
      <c r="B6" s="1250" t="s">
        <v>210</v>
      </c>
      <c r="C6" s="1251"/>
      <c r="D6" s="1252"/>
      <c r="E6" s="687">
        <f>A!G6</f>
        <v>1.2330950000000001</v>
      </c>
      <c r="F6" s="687">
        <f>A!H6</f>
        <v>1.2330950000000001</v>
      </c>
      <c r="G6" s="687">
        <f>A!I6</f>
        <v>1.2330950000000001</v>
      </c>
      <c r="H6" s="1164"/>
      <c r="I6" s="687">
        <f>A!K6</f>
        <v>0</v>
      </c>
      <c r="J6" s="687">
        <f>A!L6</f>
        <v>0</v>
      </c>
      <c r="K6" s="687">
        <f>A!M6</f>
        <v>0</v>
      </c>
      <c r="L6" s="687">
        <f>A!N6</f>
        <v>0</v>
      </c>
      <c r="M6" s="346"/>
      <c r="N6" s="69">
        <f>M6</f>
        <v>0</v>
      </c>
      <c r="O6" s="69">
        <f>N6</f>
        <v>0</v>
      </c>
      <c r="P6" s="69">
        <f>O6</f>
        <v>0</v>
      </c>
      <c r="Q6" s="372" t="e">
        <f>"se i løntabel for april "&amp;LEFT(D1,4)+2&amp;", når den udkommer"</f>
        <v>#VALUE!</v>
      </c>
      <c r="R6" s="86"/>
      <c r="S6" s="86"/>
      <c r="T6" s="86"/>
      <c r="U6" s="86"/>
      <c r="V6" s="86"/>
      <c r="W6" s="86"/>
    </row>
    <row r="7" spans="1:23" ht="14" customHeight="1">
      <c r="A7" s="4">
        <f>A6+1</f>
        <v>7</v>
      </c>
      <c r="B7" s="1250" t="str">
        <f>Leder!B6</f>
        <v>Vælg her om den ansatte har ret til seniorbonus.</v>
      </c>
      <c r="C7" s="1251"/>
      <c r="D7" s="1252"/>
      <c r="E7" s="345"/>
      <c r="F7" s="1132" t="s">
        <v>641</v>
      </c>
      <c r="G7" s="1132" t="s">
        <v>641</v>
      </c>
      <c r="H7" s="1132" t="s">
        <v>641</v>
      </c>
      <c r="I7" s="1132" t="s">
        <v>641</v>
      </c>
      <c r="J7" s="1132" t="s">
        <v>641</v>
      </c>
      <c r="K7" s="1132" t="s">
        <v>641</v>
      </c>
      <c r="L7" s="1132" t="s">
        <v>641</v>
      </c>
      <c r="M7" s="1132" t="s">
        <v>641</v>
      </c>
      <c r="N7" s="1132" t="s">
        <v>641</v>
      </c>
      <c r="O7" s="1132" t="s">
        <v>641</v>
      </c>
      <c r="P7" s="1132" t="s">
        <v>641</v>
      </c>
      <c r="Q7" s="3" t="s">
        <v>99</v>
      </c>
      <c r="R7" s="86" t="s">
        <v>641</v>
      </c>
      <c r="S7" s="86"/>
      <c r="T7" s="86"/>
      <c r="U7" s="86"/>
      <c r="V7" s="86"/>
      <c r="W7" s="86"/>
    </row>
    <row r="8" spans="1:23" ht="24" customHeight="1">
      <c r="A8" s="4">
        <f t="shared" si="1"/>
        <v>8</v>
      </c>
      <c r="B8" s="1261" t="s">
        <v>34</v>
      </c>
      <c r="C8" s="1262"/>
      <c r="D8" s="1263"/>
      <c r="E8" s="365"/>
      <c r="F8" s="240">
        <f t="shared" ref="F8:F13" si="4">E8</f>
        <v>0</v>
      </c>
      <c r="G8" s="240">
        <f t="shared" ref="G8:P13" si="5">F8</f>
        <v>0</v>
      </c>
      <c r="H8" s="240">
        <f t="shared" si="5"/>
        <v>0</v>
      </c>
      <c r="I8" s="240">
        <f t="shared" si="5"/>
        <v>0</v>
      </c>
      <c r="J8" s="240">
        <f t="shared" si="5"/>
        <v>0</v>
      </c>
      <c r="K8" s="240">
        <f t="shared" si="5"/>
        <v>0</v>
      </c>
      <c r="L8" s="240">
        <f t="shared" si="5"/>
        <v>0</v>
      </c>
      <c r="M8" s="240">
        <f t="shared" si="5"/>
        <v>0</v>
      </c>
      <c r="N8" s="240">
        <f t="shared" si="5"/>
        <v>0</v>
      </c>
      <c r="O8" s="240">
        <f t="shared" si="5"/>
        <v>0</v>
      </c>
      <c r="P8" s="240">
        <f t="shared" si="5"/>
        <v>0</v>
      </c>
      <c r="Q8" s="6" t="s">
        <v>11</v>
      </c>
      <c r="R8" s="86"/>
      <c r="S8" s="86"/>
      <c r="T8" s="86"/>
      <c r="U8" s="86"/>
      <c r="V8" s="86"/>
      <c r="W8" s="86"/>
    </row>
    <row r="9" spans="1:23" ht="24" customHeight="1">
      <c r="A9" s="4">
        <f t="shared" si="1"/>
        <v>9</v>
      </c>
      <c r="B9" s="1264" t="s">
        <v>616</v>
      </c>
      <c r="C9" s="1265"/>
      <c r="D9" s="1266"/>
      <c r="E9" s="978"/>
      <c r="F9" s="979">
        <f t="shared" si="4"/>
        <v>0</v>
      </c>
      <c r="G9" s="979">
        <f t="shared" si="5"/>
        <v>0</v>
      </c>
      <c r="H9" s="979">
        <f t="shared" si="5"/>
        <v>0</v>
      </c>
      <c r="I9" s="979">
        <f t="shared" si="5"/>
        <v>0</v>
      </c>
      <c r="J9" s="979">
        <f>I9</f>
        <v>0</v>
      </c>
      <c r="K9" s="979">
        <f t="shared" si="5"/>
        <v>0</v>
      </c>
      <c r="L9" s="979">
        <f t="shared" si="5"/>
        <v>0</v>
      </c>
      <c r="M9" s="979">
        <f t="shared" ref="M9:P11" si="6">L9</f>
        <v>0</v>
      </c>
      <c r="N9" s="979">
        <f t="shared" si="6"/>
        <v>0</v>
      </c>
      <c r="O9" s="979">
        <f t="shared" si="6"/>
        <v>0</v>
      </c>
      <c r="P9" s="979">
        <f t="shared" si="6"/>
        <v>0</v>
      </c>
      <c r="Q9" s="6"/>
      <c r="R9" s="86" t="s">
        <v>404</v>
      </c>
      <c r="S9" s="86"/>
      <c r="T9" s="86"/>
      <c r="U9" s="86"/>
      <c r="V9" s="86"/>
      <c r="W9" s="86"/>
    </row>
    <row r="10" spans="1:23" ht="24" customHeight="1">
      <c r="A10" s="4">
        <f t="shared" si="1"/>
        <v>10</v>
      </c>
      <c r="B10" s="1241" t="s">
        <v>617</v>
      </c>
      <c r="C10" s="1242"/>
      <c r="D10" s="1243"/>
      <c r="E10" s="978"/>
      <c r="F10" s="979">
        <f t="shared" si="4"/>
        <v>0</v>
      </c>
      <c r="G10" s="979">
        <f t="shared" si="5"/>
        <v>0</v>
      </c>
      <c r="H10" s="979">
        <f t="shared" si="5"/>
        <v>0</v>
      </c>
      <c r="I10" s="979">
        <f t="shared" si="5"/>
        <v>0</v>
      </c>
      <c r="J10" s="979">
        <f>I10</f>
        <v>0</v>
      </c>
      <c r="K10" s="979">
        <f t="shared" si="5"/>
        <v>0</v>
      </c>
      <c r="L10" s="979">
        <f t="shared" si="5"/>
        <v>0</v>
      </c>
      <c r="M10" s="979">
        <f t="shared" si="6"/>
        <v>0</v>
      </c>
      <c r="N10" s="979">
        <f t="shared" si="6"/>
        <v>0</v>
      </c>
      <c r="O10" s="979">
        <f t="shared" si="6"/>
        <v>0</v>
      </c>
      <c r="P10" s="979">
        <f t="shared" si="6"/>
        <v>0</v>
      </c>
      <c r="Q10" s="6"/>
      <c r="R10" s="86"/>
      <c r="S10" s="86"/>
      <c r="T10" s="86"/>
      <c r="U10" s="86"/>
      <c r="V10" s="86"/>
      <c r="W10" s="86"/>
    </row>
    <row r="11" spans="1:23" ht="24" customHeight="1">
      <c r="A11" s="4">
        <v>12</v>
      </c>
      <c r="B11" s="1241" t="s">
        <v>597</v>
      </c>
      <c r="C11" s="1242"/>
      <c r="D11" s="1243"/>
      <c r="E11" s="978"/>
      <c r="F11" s="979">
        <f t="shared" si="4"/>
        <v>0</v>
      </c>
      <c r="G11" s="979">
        <f>F11</f>
        <v>0</v>
      </c>
      <c r="H11" s="979">
        <f>G11</f>
        <v>0</v>
      </c>
      <c r="I11" s="979">
        <f>H11</f>
        <v>0</v>
      </c>
      <c r="J11" s="979">
        <f>I11</f>
        <v>0</v>
      </c>
      <c r="K11" s="979">
        <f>J11</f>
        <v>0</v>
      </c>
      <c r="L11" s="979">
        <f t="shared" si="5"/>
        <v>0</v>
      </c>
      <c r="M11" s="979">
        <f t="shared" si="6"/>
        <v>0</v>
      </c>
      <c r="N11" s="979">
        <f t="shared" si="6"/>
        <v>0</v>
      </c>
      <c r="O11" s="979">
        <f t="shared" si="6"/>
        <v>0</v>
      </c>
      <c r="P11" s="979">
        <f t="shared" si="6"/>
        <v>0</v>
      </c>
      <c r="Q11" s="6"/>
      <c r="R11" s="86"/>
      <c r="S11" s="86"/>
      <c r="T11" s="86"/>
      <c r="U11" s="86"/>
      <c r="V11" s="86"/>
      <c r="W11" s="86"/>
    </row>
    <row r="12" spans="1:23" ht="24" customHeight="1">
      <c r="A12" s="4">
        <v>13</v>
      </c>
      <c r="B12" s="1267" t="s">
        <v>205</v>
      </c>
      <c r="C12" s="1232"/>
      <c r="D12" s="1233"/>
      <c r="E12" s="980"/>
      <c r="F12" s="981">
        <f t="shared" si="4"/>
        <v>0</v>
      </c>
      <c r="G12" s="981">
        <f t="shared" si="5"/>
        <v>0</v>
      </c>
      <c r="H12" s="981">
        <f t="shared" si="5"/>
        <v>0</v>
      </c>
      <c r="I12" s="981">
        <f t="shared" si="5"/>
        <v>0</v>
      </c>
      <c r="J12" s="981">
        <f t="shared" si="5"/>
        <v>0</v>
      </c>
      <c r="K12" s="981">
        <f t="shared" si="5"/>
        <v>0</v>
      </c>
      <c r="L12" s="981">
        <f t="shared" si="5"/>
        <v>0</v>
      </c>
      <c r="M12" s="981">
        <f t="shared" si="5"/>
        <v>0</v>
      </c>
      <c r="N12" s="981">
        <f t="shared" si="5"/>
        <v>0</v>
      </c>
      <c r="O12" s="981">
        <f t="shared" si="5"/>
        <v>0</v>
      </c>
      <c r="P12" s="981">
        <f t="shared" si="5"/>
        <v>0</v>
      </c>
      <c r="Q12" s="6" t="s">
        <v>6</v>
      </c>
      <c r="R12" s="86"/>
      <c r="S12" s="86"/>
      <c r="T12" s="86"/>
      <c r="U12" s="86"/>
      <c r="V12" s="86"/>
      <c r="W12" s="86"/>
    </row>
    <row r="13" spans="1:23" ht="24" customHeight="1">
      <c r="A13" s="4">
        <f t="shared" si="1"/>
        <v>14</v>
      </c>
      <c r="B13" s="1241" t="s">
        <v>33</v>
      </c>
      <c r="C13" s="1242"/>
      <c r="D13" s="1243"/>
      <c r="E13" s="982"/>
      <c r="F13" s="983">
        <f t="shared" si="4"/>
        <v>0</v>
      </c>
      <c r="G13" s="983">
        <f t="shared" si="5"/>
        <v>0</v>
      </c>
      <c r="H13" s="983">
        <f t="shared" si="5"/>
        <v>0</v>
      </c>
      <c r="I13" s="983">
        <f t="shared" si="5"/>
        <v>0</v>
      </c>
      <c r="J13" s="983">
        <f>I13</f>
        <v>0</v>
      </c>
      <c r="K13" s="983">
        <f t="shared" si="5"/>
        <v>0</v>
      </c>
      <c r="L13" s="983">
        <f t="shared" si="5"/>
        <v>0</v>
      </c>
      <c r="M13" s="983">
        <f t="shared" si="5"/>
        <v>0</v>
      </c>
      <c r="N13" s="983">
        <f t="shared" si="5"/>
        <v>0</v>
      </c>
      <c r="O13" s="983">
        <f t="shared" si="5"/>
        <v>0</v>
      </c>
      <c r="P13" s="983">
        <f t="shared" si="5"/>
        <v>0</v>
      </c>
      <c r="Q13" s="6" t="s">
        <v>5</v>
      </c>
      <c r="R13" s="86"/>
      <c r="S13" s="86"/>
      <c r="T13" s="86"/>
      <c r="U13" s="86"/>
      <c r="V13" s="86"/>
      <c r="W13" s="86"/>
    </row>
    <row r="14" spans="1:23" ht="14" customHeight="1">
      <c r="A14" s="4">
        <f t="shared" si="1"/>
        <v>15</v>
      </c>
      <c r="B14" s="1244" t="s">
        <v>218</v>
      </c>
      <c r="C14" s="1245"/>
      <c r="D14" s="1246"/>
      <c r="E14" s="984">
        <v>2</v>
      </c>
      <c r="F14" s="985"/>
      <c r="G14" s="985">
        <v>5</v>
      </c>
      <c r="H14" s="985"/>
      <c r="I14" s="985"/>
      <c r="J14" s="985"/>
      <c r="K14" s="985"/>
      <c r="L14" s="985"/>
      <c r="M14" s="985"/>
      <c r="N14" s="985"/>
      <c r="O14" s="985"/>
      <c r="P14" s="985">
        <v>18</v>
      </c>
      <c r="Q14" s="3" t="s">
        <v>611</v>
      </c>
      <c r="R14" s="86"/>
      <c r="S14" s="86"/>
      <c r="T14" s="86"/>
      <c r="U14" s="86"/>
      <c r="V14" s="86"/>
      <c r="W14" s="86"/>
    </row>
    <row r="15" spans="1:23" ht="27" customHeight="1">
      <c r="A15" s="4">
        <f t="shared" si="1"/>
        <v>16</v>
      </c>
      <c r="B15" s="1247" t="s">
        <v>224</v>
      </c>
      <c r="C15" s="1248"/>
      <c r="D15" s="1249"/>
      <c r="E15" s="986"/>
      <c r="F15" s="987"/>
      <c r="G15" s="987"/>
      <c r="H15" s="987"/>
      <c r="I15" s="987"/>
      <c r="J15" s="987"/>
      <c r="K15" s="987"/>
      <c r="L15" s="987"/>
      <c r="M15" s="987"/>
      <c r="N15" s="987"/>
      <c r="O15" s="987"/>
      <c r="P15" s="987">
        <v>0</v>
      </c>
      <c r="Q15" s="3" t="s">
        <v>497</v>
      </c>
      <c r="R15" s="86"/>
      <c r="S15" s="86"/>
      <c r="T15" s="86"/>
      <c r="U15" s="86"/>
      <c r="V15" s="86"/>
      <c r="W15" s="86"/>
    </row>
    <row r="16" spans="1:23" ht="14" customHeight="1">
      <c r="A16" s="4">
        <f t="shared" si="1"/>
        <v>17</v>
      </c>
      <c r="B16" s="1247" t="s">
        <v>618</v>
      </c>
      <c r="C16" s="1248"/>
      <c r="D16" s="1249"/>
      <c r="E16" s="988"/>
      <c r="F16" s="989"/>
      <c r="G16" s="989"/>
      <c r="H16" s="989"/>
      <c r="I16" s="989"/>
      <c r="J16" s="989"/>
      <c r="K16" s="989"/>
      <c r="L16" s="989"/>
      <c r="M16" s="989"/>
      <c r="N16" s="989"/>
      <c r="O16" s="989"/>
      <c r="P16" s="989"/>
      <c r="Q16" s="142" t="s">
        <v>254</v>
      </c>
      <c r="R16" s="86"/>
      <c r="S16" s="86"/>
      <c r="T16" s="86"/>
      <c r="U16" s="86"/>
      <c r="V16" s="86"/>
      <c r="W16" s="86"/>
    </row>
    <row r="17" spans="1:23" ht="14" customHeight="1">
      <c r="A17" s="4">
        <v>18</v>
      </c>
      <c r="B17" s="1244" t="s">
        <v>198</v>
      </c>
      <c r="C17" s="1245"/>
      <c r="D17" s="1246"/>
      <c r="E17" s="982"/>
      <c r="F17" s="990"/>
      <c r="G17" s="990"/>
      <c r="H17" s="990"/>
      <c r="I17" s="990"/>
      <c r="J17" s="990"/>
      <c r="K17" s="990"/>
      <c r="L17" s="990"/>
      <c r="M17" s="990"/>
      <c r="N17" s="990"/>
      <c r="O17" s="990"/>
      <c r="P17" s="990"/>
      <c r="Q17" s="140" t="s">
        <v>496</v>
      </c>
      <c r="R17" s="86"/>
      <c r="S17" s="86"/>
      <c r="T17" s="86"/>
      <c r="U17" s="86"/>
      <c r="V17" s="86"/>
      <c r="W17" s="86"/>
    </row>
    <row r="18" spans="1:23" ht="14" customHeight="1">
      <c r="A18" s="4">
        <f t="shared" si="1"/>
        <v>19</v>
      </c>
      <c r="B18" s="1268" t="s">
        <v>199</v>
      </c>
      <c r="C18" s="1269"/>
      <c r="D18" s="1270"/>
      <c r="E18" s="991"/>
      <c r="F18" s="992">
        <f>E18</f>
        <v>0</v>
      </c>
      <c r="G18" s="992">
        <f t="shared" ref="G18:P19" si="7">F18</f>
        <v>0</v>
      </c>
      <c r="H18" s="992">
        <f t="shared" si="7"/>
        <v>0</v>
      </c>
      <c r="I18" s="992">
        <f t="shared" si="7"/>
        <v>0</v>
      </c>
      <c r="J18" s="993">
        <f t="shared" si="7"/>
        <v>0</v>
      </c>
      <c r="K18" s="992">
        <f t="shared" si="7"/>
        <v>0</v>
      </c>
      <c r="L18" s="992">
        <f t="shared" si="7"/>
        <v>0</v>
      </c>
      <c r="M18" s="992">
        <f t="shared" si="7"/>
        <v>0</v>
      </c>
      <c r="N18" s="992">
        <f t="shared" si="7"/>
        <v>0</v>
      </c>
      <c r="O18" s="992">
        <f t="shared" si="7"/>
        <v>0</v>
      </c>
      <c r="P18" s="992">
        <f t="shared" si="7"/>
        <v>0</v>
      </c>
      <c r="Q18" s="3" t="s">
        <v>17</v>
      </c>
      <c r="R18" s="86"/>
      <c r="S18" s="86"/>
      <c r="T18" s="86"/>
      <c r="U18" s="86"/>
      <c r="V18" s="86"/>
      <c r="W18" s="86"/>
    </row>
    <row r="19" spans="1:23" ht="14" customHeight="1">
      <c r="A19" s="4">
        <f t="shared" si="1"/>
        <v>20</v>
      </c>
      <c r="B19" s="1244" t="s">
        <v>200</v>
      </c>
      <c r="C19" s="1245"/>
      <c r="D19" s="1246"/>
      <c r="E19" s="994"/>
      <c r="F19" s="995">
        <f>E19</f>
        <v>0</v>
      </c>
      <c r="G19" s="995">
        <f t="shared" si="7"/>
        <v>0</v>
      </c>
      <c r="H19" s="995">
        <f t="shared" si="7"/>
        <v>0</v>
      </c>
      <c r="I19" s="995">
        <f t="shared" si="7"/>
        <v>0</v>
      </c>
      <c r="J19" s="996">
        <f t="shared" si="7"/>
        <v>0</v>
      </c>
      <c r="K19" s="995">
        <f t="shared" si="7"/>
        <v>0</v>
      </c>
      <c r="L19" s="995">
        <f t="shared" si="7"/>
        <v>0</v>
      </c>
      <c r="M19" s="995">
        <f t="shared" si="7"/>
        <v>0</v>
      </c>
      <c r="N19" s="995">
        <f t="shared" si="7"/>
        <v>0</v>
      </c>
      <c r="O19" s="995">
        <f t="shared" si="7"/>
        <v>0</v>
      </c>
      <c r="P19" s="995">
        <f t="shared" si="7"/>
        <v>0</v>
      </c>
      <c r="Q19" s="140"/>
      <c r="R19" s="86"/>
      <c r="S19" s="86"/>
      <c r="T19" s="86"/>
      <c r="U19" s="86"/>
      <c r="V19" s="86"/>
      <c r="W19" s="86"/>
    </row>
    <row r="20" spans="1:23" ht="12" customHeight="1">
      <c r="A20" s="4">
        <f t="shared" si="1"/>
        <v>21</v>
      </c>
      <c r="B20" s="720" t="str">
        <f>Leder!B19</f>
        <v>Km.godtgørelse, lav sats (skattefri)</v>
      </c>
      <c r="C20" s="889">
        <f>Leder!C19</f>
        <v>2.23</v>
      </c>
      <c r="D20" s="1027"/>
      <c r="E20" s="997"/>
      <c r="F20" s="998"/>
      <c r="G20" s="998"/>
      <c r="H20" s="998"/>
      <c r="I20" s="998"/>
      <c r="J20" s="998"/>
      <c r="K20" s="998"/>
      <c r="L20" s="998"/>
      <c r="M20" s="998"/>
      <c r="N20" s="998"/>
      <c r="O20" s="998"/>
      <c r="P20" s="998"/>
      <c r="Q20" s="6" t="s">
        <v>266</v>
      </c>
      <c r="R20" s="86"/>
      <c r="S20" s="86"/>
      <c r="T20" s="86"/>
      <c r="U20" s="86"/>
      <c r="V20" s="86"/>
      <c r="W20" s="86"/>
    </row>
    <row r="21" spans="1:23" ht="12" customHeight="1">
      <c r="A21" s="4">
        <f t="shared" si="1"/>
        <v>22</v>
      </c>
      <c r="B21" s="721" t="str">
        <f>Leder!B20</f>
        <v xml:space="preserve">Km.godtgørelse, høj sats (skattefri) </v>
      </c>
      <c r="C21" s="889">
        <f>Leder!C20</f>
        <v>3.81</v>
      </c>
      <c r="D21" s="1026"/>
      <c r="E21" s="999"/>
      <c r="F21" s="1000"/>
      <c r="G21" s="1000"/>
      <c r="H21" s="1000"/>
      <c r="I21" s="1000"/>
      <c r="J21" s="1000"/>
      <c r="K21" s="1000"/>
      <c r="L21" s="1000"/>
      <c r="M21" s="1000"/>
      <c r="N21" s="1000"/>
      <c r="O21" s="1000"/>
      <c r="P21" s="1000"/>
      <c r="Q21" s="6" t="s">
        <v>266</v>
      </c>
      <c r="R21" s="86"/>
      <c r="S21" s="86"/>
      <c r="T21" s="86"/>
      <c r="U21" s="86"/>
      <c r="V21" s="86"/>
      <c r="W21" s="86"/>
    </row>
    <row r="22" spans="1:23" ht="12" customHeight="1">
      <c r="A22" s="4">
        <f t="shared" si="1"/>
        <v>23</v>
      </c>
      <c r="B22" s="1225" t="str">
        <f>Leder!B21</f>
        <v>Timedagpenge (skattefri) Beregn selv beløb</v>
      </c>
      <c r="C22" s="1226"/>
      <c r="D22" s="1227"/>
      <c r="E22" s="999"/>
      <c r="F22" s="1000"/>
      <c r="G22" s="1000"/>
      <c r="H22" s="1000"/>
      <c r="I22" s="1000"/>
      <c r="J22" s="1000"/>
      <c r="K22" s="1000"/>
      <c r="L22" s="1000"/>
      <c r="M22" s="1000"/>
      <c r="N22" s="1000"/>
      <c r="O22" s="1000"/>
      <c r="P22" s="1000"/>
      <c r="Q22" s="6" t="s">
        <v>266</v>
      </c>
      <c r="R22" s="86"/>
      <c r="S22" s="86"/>
      <c r="T22" s="86"/>
      <c r="U22" s="86"/>
      <c r="V22" s="86"/>
      <c r="W22" s="86"/>
    </row>
    <row r="23" spans="1:23" ht="12" customHeight="1">
      <c r="A23" s="4">
        <f t="shared" si="1"/>
        <v>24</v>
      </c>
      <c r="B23" s="1228" t="s">
        <v>128</v>
      </c>
      <c r="C23" s="1229"/>
      <c r="D23" s="1230"/>
      <c r="E23" s="999"/>
      <c r="F23" s="1001"/>
      <c r="G23" s="1001"/>
      <c r="H23" s="1001"/>
      <c r="I23" s="1001"/>
      <c r="J23" s="1001"/>
      <c r="K23" s="1001"/>
      <c r="L23" s="1001"/>
      <c r="M23" s="1001"/>
      <c r="N23" s="1001"/>
      <c r="O23" s="1001"/>
      <c r="P23" s="1001"/>
      <c r="Q23" s="6" t="s">
        <v>266</v>
      </c>
      <c r="R23" s="86"/>
      <c r="S23" s="86"/>
      <c r="T23" s="86"/>
      <c r="U23" s="86"/>
      <c r="V23" s="86"/>
      <c r="W23" s="86"/>
    </row>
    <row r="24" spans="1:23" ht="12" customHeight="1">
      <c r="A24" s="4">
        <f t="shared" si="1"/>
        <v>25</v>
      </c>
      <c r="B24" s="1231" t="s">
        <v>147</v>
      </c>
      <c r="C24" s="1232"/>
      <c r="D24" s="1233"/>
      <c r="E24" s="884"/>
      <c r="F24" s="229"/>
      <c r="G24" s="229"/>
      <c r="H24" s="229"/>
      <c r="I24" s="229"/>
      <c r="J24" s="229"/>
      <c r="K24" s="229"/>
      <c r="L24" s="229"/>
      <c r="M24" s="229"/>
      <c r="N24" s="885"/>
      <c r="O24" s="229"/>
      <c r="P24" s="229"/>
      <c r="Q24" s="6" t="s">
        <v>536</v>
      </c>
      <c r="R24" s="86"/>
      <c r="S24" s="86"/>
      <c r="T24" s="86"/>
      <c r="U24" s="86"/>
      <c r="V24" s="86"/>
      <c r="W24" s="86"/>
    </row>
    <row r="25" spans="1:23" ht="12" customHeight="1">
      <c r="A25" s="4">
        <f t="shared" si="1"/>
        <v>26</v>
      </c>
      <c r="B25" s="1234" t="s">
        <v>695</v>
      </c>
      <c r="C25" s="1235"/>
      <c r="D25" s="1236"/>
      <c r="E25" s="1025"/>
      <c r="F25" s="888"/>
      <c r="G25" s="888"/>
      <c r="H25" s="888"/>
      <c r="I25" s="888"/>
      <c r="J25" s="888"/>
      <c r="K25" s="888"/>
      <c r="L25" s="888"/>
      <c r="M25" s="888"/>
      <c r="N25" s="887"/>
      <c r="O25" s="253"/>
      <c r="P25" s="253"/>
      <c r="Q25" s="6" t="s">
        <v>246</v>
      </c>
      <c r="R25" s="86"/>
      <c r="S25" s="86"/>
      <c r="T25" s="86"/>
      <c r="U25" s="86"/>
      <c r="V25" s="86"/>
      <c r="W25" s="86"/>
    </row>
    <row r="26" spans="1:23" ht="12" customHeight="1">
      <c r="A26" s="4">
        <f t="shared" si="1"/>
        <v>27</v>
      </c>
      <c r="B26" s="1225" t="s">
        <v>634</v>
      </c>
      <c r="C26" s="1226"/>
      <c r="D26" s="1227"/>
      <c r="E26" s="473"/>
      <c r="F26" s="229"/>
      <c r="G26" s="229"/>
      <c r="H26" s="229"/>
      <c r="I26" s="229"/>
      <c r="J26" s="229"/>
      <c r="K26" s="229"/>
      <c r="L26" s="229"/>
      <c r="M26" s="229"/>
      <c r="N26" s="229"/>
      <c r="O26" s="229"/>
      <c r="P26" s="229"/>
      <c r="Q26" s="6" t="s">
        <v>8</v>
      </c>
      <c r="R26" s="86"/>
      <c r="S26" s="86"/>
      <c r="T26" s="86"/>
      <c r="U26" s="86"/>
      <c r="V26" s="86"/>
      <c r="W26" s="86"/>
    </row>
    <row r="27" spans="1:23" ht="12" customHeight="1">
      <c r="A27" s="4">
        <f t="shared" si="1"/>
        <v>28</v>
      </c>
      <c r="B27" s="178" t="s">
        <v>133</v>
      </c>
      <c r="C27" s="1219" t="s">
        <v>404</v>
      </c>
      <c r="D27" s="1220"/>
      <c r="E27" s="473"/>
      <c r="F27" s="229"/>
      <c r="G27" s="229"/>
      <c r="H27" s="229"/>
      <c r="I27" s="229"/>
      <c r="J27" s="229"/>
      <c r="K27" s="229"/>
      <c r="L27" s="229"/>
      <c r="M27" s="229"/>
      <c r="N27" s="229"/>
      <c r="O27" s="229"/>
      <c r="P27" s="229"/>
      <c r="Q27" s="85" t="s">
        <v>546</v>
      </c>
      <c r="R27" s="86"/>
      <c r="S27" s="86"/>
      <c r="T27" s="86"/>
      <c r="U27" s="86"/>
      <c r="V27" s="86"/>
      <c r="W27" s="86"/>
    </row>
    <row r="28" spans="1:23" ht="12" customHeight="1">
      <c r="A28" s="4">
        <f t="shared" si="1"/>
        <v>29</v>
      </c>
      <c r="B28" s="178" t="s">
        <v>633</v>
      </c>
      <c r="C28" s="1221" t="s">
        <v>404</v>
      </c>
      <c r="D28" s="1222"/>
      <c r="E28" s="473"/>
      <c r="F28" s="229"/>
      <c r="G28" s="229"/>
      <c r="H28" s="229"/>
      <c r="I28" s="229"/>
      <c r="J28" s="229"/>
      <c r="K28" s="229"/>
      <c r="L28" s="229"/>
      <c r="M28" s="229"/>
      <c r="N28" s="229"/>
      <c r="O28" s="229"/>
      <c r="P28" s="229"/>
      <c r="Q28" s="85" t="s">
        <v>546</v>
      </c>
      <c r="R28" s="86"/>
      <c r="S28" s="86"/>
      <c r="T28" s="86"/>
      <c r="U28" s="86"/>
      <c r="V28" s="86"/>
      <c r="W28" s="86"/>
    </row>
    <row r="29" spans="1:23" ht="12" customHeight="1">
      <c r="A29" s="4">
        <f t="shared" si="1"/>
        <v>30</v>
      </c>
      <c r="B29" s="755" t="s">
        <v>575</v>
      </c>
      <c r="C29" s="1223"/>
      <c r="D29" s="1224"/>
      <c r="E29" s="474"/>
      <c r="F29" s="233">
        <f>E29</f>
        <v>0</v>
      </c>
      <c r="G29" s="233">
        <f t="shared" ref="G29:P29" si="8">F29</f>
        <v>0</v>
      </c>
      <c r="H29" s="233">
        <f t="shared" si="8"/>
        <v>0</v>
      </c>
      <c r="I29" s="233">
        <f t="shared" si="8"/>
        <v>0</v>
      </c>
      <c r="J29" s="233">
        <f t="shared" si="8"/>
        <v>0</v>
      </c>
      <c r="K29" s="233">
        <f t="shared" si="8"/>
        <v>0</v>
      </c>
      <c r="L29" s="233">
        <f t="shared" si="8"/>
        <v>0</v>
      </c>
      <c r="M29" s="233">
        <f t="shared" si="8"/>
        <v>0</v>
      </c>
      <c r="N29" s="233">
        <f t="shared" si="8"/>
        <v>0</v>
      </c>
      <c r="O29" s="233">
        <f t="shared" si="8"/>
        <v>0</v>
      </c>
      <c r="P29" s="233">
        <f t="shared" si="8"/>
        <v>0</v>
      </c>
      <c r="Q29" s="141" t="s">
        <v>546</v>
      </c>
      <c r="R29" s="86"/>
      <c r="S29" s="86"/>
      <c r="T29" s="86"/>
      <c r="U29" s="86"/>
      <c r="V29" s="86"/>
      <c r="W29" s="86"/>
    </row>
    <row r="30" spans="1:23" ht="12" customHeight="1">
      <c r="A30" s="4">
        <f t="shared" si="1"/>
        <v>31</v>
      </c>
      <c r="B30" s="560" t="s">
        <v>538</v>
      </c>
      <c r="C30" s="1213" t="s">
        <v>544</v>
      </c>
      <c r="D30" s="1214"/>
      <c r="E30" s="473"/>
      <c r="F30" s="229">
        <f>E30</f>
        <v>0</v>
      </c>
      <c r="G30" s="229">
        <f t="shared" ref="G30:P30" si="9">F30</f>
        <v>0</v>
      </c>
      <c r="H30" s="229">
        <f t="shared" si="9"/>
        <v>0</v>
      </c>
      <c r="I30" s="229">
        <f t="shared" si="9"/>
        <v>0</v>
      </c>
      <c r="J30" s="229">
        <f t="shared" si="9"/>
        <v>0</v>
      </c>
      <c r="K30" s="229">
        <f t="shared" si="9"/>
        <v>0</v>
      </c>
      <c r="L30" s="229">
        <f t="shared" si="9"/>
        <v>0</v>
      </c>
      <c r="M30" s="229">
        <f t="shared" si="9"/>
        <v>0</v>
      </c>
      <c r="N30" s="229">
        <f t="shared" si="9"/>
        <v>0</v>
      </c>
      <c r="O30" s="229">
        <f t="shared" si="9"/>
        <v>0</v>
      </c>
      <c r="P30" s="229">
        <f t="shared" si="9"/>
        <v>0</v>
      </c>
      <c r="Q30" s="564" t="s">
        <v>542</v>
      </c>
      <c r="R30" s="86"/>
      <c r="S30" s="86"/>
      <c r="T30" s="86"/>
      <c r="U30" s="86"/>
      <c r="V30" s="86"/>
      <c r="W30" s="86"/>
    </row>
    <row r="31" spans="1:23" ht="12" customHeight="1">
      <c r="A31" s="4">
        <f t="shared" si="1"/>
        <v>32</v>
      </c>
      <c r="B31" s="561" t="s">
        <v>537</v>
      </c>
      <c r="C31" s="1215"/>
      <c r="D31" s="1216"/>
      <c r="E31" s="473"/>
      <c r="F31" s="229">
        <f t="shared" ref="F31:P32" si="10">E31</f>
        <v>0</v>
      </c>
      <c r="G31" s="229">
        <f t="shared" si="10"/>
        <v>0</v>
      </c>
      <c r="H31" s="229">
        <f t="shared" si="10"/>
        <v>0</v>
      </c>
      <c r="I31" s="229">
        <f t="shared" si="10"/>
        <v>0</v>
      </c>
      <c r="J31" s="229">
        <f t="shared" si="10"/>
        <v>0</v>
      </c>
      <c r="K31" s="229">
        <f t="shared" si="10"/>
        <v>0</v>
      </c>
      <c r="L31" s="229">
        <f t="shared" si="10"/>
        <v>0</v>
      </c>
      <c r="M31" s="229">
        <f t="shared" si="10"/>
        <v>0</v>
      </c>
      <c r="N31" s="229">
        <f t="shared" si="10"/>
        <v>0</v>
      </c>
      <c r="O31" s="229">
        <f t="shared" si="10"/>
        <v>0</v>
      </c>
      <c r="P31" s="229">
        <f t="shared" si="10"/>
        <v>0</v>
      </c>
      <c r="Q31" s="566" t="s">
        <v>541</v>
      </c>
      <c r="R31" s="86"/>
      <c r="S31" s="86"/>
      <c r="T31" s="86"/>
      <c r="U31" s="86"/>
      <c r="V31" s="86"/>
      <c r="W31" s="86"/>
    </row>
    <row r="32" spans="1:23" ht="12" customHeight="1">
      <c r="A32" s="4">
        <f t="shared" si="1"/>
        <v>33</v>
      </c>
      <c r="B32" s="562" t="s">
        <v>539</v>
      </c>
      <c r="C32" s="1217"/>
      <c r="D32" s="1218"/>
      <c r="E32" s="474"/>
      <c r="F32" s="233">
        <f t="shared" si="10"/>
        <v>0</v>
      </c>
      <c r="G32" s="233">
        <f t="shared" si="10"/>
        <v>0</v>
      </c>
      <c r="H32" s="233">
        <f t="shared" si="10"/>
        <v>0</v>
      </c>
      <c r="I32" s="233">
        <f t="shared" si="10"/>
        <v>0</v>
      </c>
      <c r="J32" s="233">
        <f t="shared" si="10"/>
        <v>0</v>
      </c>
      <c r="K32" s="233">
        <f t="shared" si="10"/>
        <v>0</v>
      </c>
      <c r="L32" s="233">
        <f t="shared" si="10"/>
        <v>0</v>
      </c>
      <c r="M32" s="233">
        <f t="shared" si="10"/>
        <v>0</v>
      </c>
      <c r="N32" s="233">
        <f t="shared" si="10"/>
        <v>0</v>
      </c>
      <c r="O32" s="233">
        <f t="shared" si="10"/>
        <v>0</v>
      </c>
      <c r="P32" s="233">
        <f t="shared" si="10"/>
        <v>0</v>
      </c>
      <c r="Q32" s="568" t="s">
        <v>543</v>
      </c>
      <c r="R32" s="86"/>
      <c r="S32" s="86"/>
      <c r="T32" s="86"/>
      <c r="U32" s="86"/>
      <c r="V32" s="86"/>
      <c r="W32" s="86"/>
    </row>
    <row r="33" spans="1:23" ht="32" customHeight="1">
      <c r="A33" s="4">
        <f t="shared" si="1"/>
        <v>34</v>
      </c>
      <c r="B33" s="180" t="s">
        <v>214</v>
      </c>
      <c r="C33" s="1202" t="str">
        <f>C2</f>
        <v>jan-juli</v>
      </c>
      <c r="D33" s="1203"/>
      <c r="E33" s="206" t="str">
        <f t="shared" ref="E33:P33" si="11">E2</f>
        <v>AUG 25</v>
      </c>
      <c r="F33" s="76" t="str">
        <f t="shared" si="11"/>
        <v>SEP 25</v>
      </c>
      <c r="G33" s="76" t="str">
        <f t="shared" si="11"/>
        <v>OKT 25</v>
      </c>
      <c r="H33" s="76" t="str">
        <f t="shared" si="11"/>
        <v>NOV 25</v>
      </c>
      <c r="I33" s="76" t="str">
        <f t="shared" si="11"/>
        <v>DEC 25</v>
      </c>
      <c r="J33" s="76" t="str">
        <f t="shared" si="11"/>
        <v>JAN 26</v>
      </c>
      <c r="K33" s="76" t="str">
        <f t="shared" si="11"/>
        <v>FEB 26</v>
      </c>
      <c r="L33" s="76" t="str">
        <f t="shared" si="11"/>
        <v>MAR 26</v>
      </c>
      <c r="M33" s="76" t="str">
        <f t="shared" si="11"/>
        <v>APR 26</v>
      </c>
      <c r="N33" s="76" t="str">
        <f t="shared" si="11"/>
        <v>MAJ 26</v>
      </c>
      <c r="O33" s="76" t="str">
        <f t="shared" si="11"/>
        <v>JUN 26</v>
      </c>
      <c r="P33" s="76" t="str">
        <f t="shared" si="11"/>
        <v>JUL 26</v>
      </c>
      <c r="Q33" s="80" t="s">
        <v>111</v>
      </c>
      <c r="R33" s="86"/>
      <c r="S33" s="86"/>
      <c r="T33" s="86"/>
      <c r="U33" s="86"/>
      <c r="V33" s="86"/>
      <c r="W33" s="86"/>
    </row>
    <row r="34" spans="1:23">
      <c r="A34" s="4">
        <f t="shared" si="1"/>
        <v>35</v>
      </c>
      <c r="B34" s="154" t="s">
        <v>0</v>
      </c>
      <c r="C34" s="220"/>
      <c r="D34" s="834"/>
      <c r="E34" s="207">
        <f t="shared" ref="E34:P34" si="12">ROUND(IF(E8&gt;0,E4*E6/12,0)*E8*E3,2)</f>
        <v>0</v>
      </c>
      <c r="F34" s="207">
        <f t="shared" si="12"/>
        <v>0</v>
      </c>
      <c r="G34" s="207">
        <f t="shared" si="12"/>
        <v>0</v>
      </c>
      <c r="H34" s="207">
        <f t="shared" si="12"/>
        <v>0</v>
      </c>
      <c r="I34" s="207">
        <f t="shared" si="12"/>
        <v>0</v>
      </c>
      <c r="J34" s="207">
        <f t="shared" si="12"/>
        <v>0</v>
      </c>
      <c r="K34" s="207">
        <f t="shared" si="12"/>
        <v>0</v>
      </c>
      <c r="L34" s="207">
        <f t="shared" si="12"/>
        <v>0</v>
      </c>
      <c r="M34" s="207">
        <f t="shared" si="12"/>
        <v>0</v>
      </c>
      <c r="N34" s="207">
        <f t="shared" si="12"/>
        <v>0</v>
      </c>
      <c r="O34" s="207">
        <f t="shared" si="12"/>
        <v>0</v>
      </c>
      <c r="P34" s="207">
        <f t="shared" si="12"/>
        <v>0</v>
      </c>
      <c r="Q34" s="117">
        <f t="shared" ref="Q34:Q56" si="13">SUM(E34:P34)</f>
        <v>0</v>
      </c>
      <c r="R34" s="86"/>
      <c r="S34" s="86"/>
      <c r="T34" s="86"/>
      <c r="U34" s="86"/>
      <c r="V34" s="86"/>
      <c r="W34" s="86"/>
    </row>
    <row r="35" spans="1:23">
      <c r="A35" s="4">
        <f t="shared" si="1"/>
        <v>36</v>
      </c>
      <c r="B35" s="155" t="s">
        <v>598</v>
      </c>
      <c r="C35" s="220"/>
      <c r="D35" s="834"/>
      <c r="E35" s="208">
        <f t="shared" ref="E35:P35" si="14">ROUND(E9*E$6*E$3/12,2)</f>
        <v>0</v>
      </c>
      <c r="F35" s="208">
        <f t="shared" si="14"/>
        <v>0</v>
      </c>
      <c r="G35" s="208">
        <f t="shared" si="14"/>
        <v>0</v>
      </c>
      <c r="H35" s="208">
        <f t="shared" si="14"/>
        <v>0</v>
      </c>
      <c r="I35" s="208">
        <f t="shared" si="14"/>
        <v>0</v>
      </c>
      <c r="J35" s="208">
        <f t="shared" si="14"/>
        <v>0</v>
      </c>
      <c r="K35" s="208">
        <f t="shared" si="14"/>
        <v>0</v>
      </c>
      <c r="L35" s="208">
        <f t="shared" si="14"/>
        <v>0</v>
      </c>
      <c r="M35" s="208">
        <f t="shared" si="14"/>
        <v>0</v>
      </c>
      <c r="N35" s="208">
        <f t="shared" si="14"/>
        <v>0</v>
      </c>
      <c r="O35" s="208">
        <f t="shared" si="14"/>
        <v>0</v>
      </c>
      <c r="P35" s="208">
        <f t="shared" si="14"/>
        <v>0</v>
      </c>
      <c r="Q35" s="106">
        <f t="shared" si="13"/>
        <v>0</v>
      </c>
      <c r="R35" s="86"/>
      <c r="S35" s="86"/>
      <c r="T35" s="86"/>
      <c r="U35" s="86"/>
      <c r="V35" s="86"/>
      <c r="W35" s="86"/>
    </row>
    <row r="36" spans="1:23">
      <c r="A36" s="4">
        <f t="shared" si="1"/>
        <v>37</v>
      </c>
      <c r="B36" s="155" t="s">
        <v>599</v>
      </c>
      <c r="C36" s="220"/>
      <c r="D36" s="834"/>
      <c r="E36" s="208">
        <f t="shared" ref="E36:P36" si="15">ROUND(E10*E$6*E$3*E$8/12,2)</f>
        <v>0</v>
      </c>
      <c r="F36" s="208">
        <f t="shared" si="15"/>
        <v>0</v>
      </c>
      <c r="G36" s="208">
        <f t="shared" si="15"/>
        <v>0</v>
      </c>
      <c r="H36" s="208">
        <f t="shared" si="15"/>
        <v>0</v>
      </c>
      <c r="I36" s="208">
        <f t="shared" si="15"/>
        <v>0</v>
      </c>
      <c r="J36" s="208">
        <f t="shared" si="15"/>
        <v>0</v>
      </c>
      <c r="K36" s="208">
        <f t="shared" si="15"/>
        <v>0</v>
      </c>
      <c r="L36" s="208">
        <f t="shared" si="15"/>
        <v>0</v>
      </c>
      <c r="M36" s="208">
        <f t="shared" si="15"/>
        <v>0</v>
      </c>
      <c r="N36" s="208">
        <f t="shared" si="15"/>
        <v>0</v>
      </c>
      <c r="O36" s="208">
        <f t="shared" si="15"/>
        <v>0</v>
      </c>
      <c r="P36" s="208">
        <f t="shared" si="15"/>
        <v>0</v>
      </c>
      <c r="Q36" s="106">
        <f t="shared" si="13"/>
        <v>0</v>
      </c>
      <c r="R36" s="86"/>
      <c r="S36" s="86"/>
      <c r="T36" s="86"/>
      <c r="U36" s="86"/>
      <c r="V36" s="86"/>
      <c r="W36" s="86"/>
    </row>
    <row r="37" spans="1:23">
      <c r="B37" s="155" t="s">
        <v>691</v>
      </c>
      <c r="C37" s="220"/>
      <c r="D37" s="834"/>
      <c r="E37" s="208">
        <f>IF(E7="Ja",(E34+E35+E36+E38)*0.8%,0)</f>
        <v>0</v>
      </c>
      <c r="F37" s="208">
        <f t="shared" ref="F37:P37" si="16">IF(F7="Ja",(F34+F35+F36+F38)*0.8%,0)</f>
        <v>0</v>
      </c>
      <c r="G37" s="208">
        <f t="shared" si="16"/>
        <v>0</v>
      </c>
      <c r="H37" s="208">
        <f t="shared" si="16"/>
        <v>0</v>
      </c>
      <c r="I37" s="208">
        <f t="shared" si="16"/>
        <v>0</v>
      </c>
      <c r="J37" s="208">
        <f t="shared" si="16"/>
        <v>0</v>
      </c>
      <c r="K37" s="208">
        <f t="shared" si="16"/>
        <v>0</v>
      </c>
      <c r="L37" s="208">
        <f t="shared" si="16"/>
        <v>0</v>
      </c>
      <c r="M37" s="208">
        <f t="shared" si="16"/>
        <v>0</v>
      </c>
      <c r="N37" s="208">
        <f t="shared" si="16"/>
        <v>0</v>
      </c>
      <c r="O37" s="208">
        <f t="shared" si="16"/>
        <v>0</v>
      </c>
      <c r="P37" s="208">
        <f t="shared" si="16"/>
        <v>0</v>
      </c>
      <c r="Q37" s="106"/>
      <c r="R37" s="86"/>
      <c r="S37" s="86"/>
      <c r="T37" s="86"/>
      <c r="U37" s="86"/>
      <c r="V37" s="86"/>
      <c r="W37" s="86"/>
    </row>
    <row r="38" spans="1:23">
      <c r="A38" s="22">
        <v>42</v>
      </c>
      <c r="B38" s="155" t="s">
        <v>580</v>
      </c>
      <c r="C38" s="220"/>
      <c r="D38" s="834"/>
      <c r="E38" s="208">
        <f t="shared" ref="E38:P38" si="17">E11/12*E6</f>
        <v>0</v>
      </c>
      <c r="F38" s="208">
        <f t="shared" si="17"/>
        <v>0</v>
      </c>
      <c r="G38" s="208">
        <f t="shared" si="17"/>
        <v>0</v>
      </c>
      <c r="H38" s="208">
        <f t="shared" si="17"/>
        <v>0</v>
      </c>
      <c r="I38" s="208">
        <f t="shared" si="17"/>
        <v>0</v>
      </c>
      <c r="J38" s="208">
        <f t="shared" si="17"/>
        <v>0</v>
      </c>
      <c r="K38" s="208">
        <f t="shared" si="17"/>
        <v>0</v>
      </c>
      <c r="L38" s="208">
        <f t="shared" si="17"/>
        <v>0</v>
      </c>
      <c r="M38" s="208">
        <f t="shared" si="17"/>
        <v>0</v>
      </c>
      <c r="N38" s="208">
        <f t="shared" si="17"/>
        <v>0</v>
      </c>
      <c r="O38" s="208">
        <f t="shared" si="17"/>
        <v>0</v>
      </c>
      <c r="P38" s="208">
        <f t="shared" si="17"/>
        <v>0</v>
      </c>
      <c r="Q38" s="106"/>
      <c r="R38" s="86"/>
      <c r="S38" s="86"/>
      <c r="T38" s="86"/>
      <c r="U38" s="86"/>
      <c r="V38" s="86"/>
      <c r="W38" s="86"/>
    </row>
    <row r="39" spans="1:23">
      <c r="A39" s="22">
        <v>43</v>
      </c>
      <c r="B39" s="155" t="s">
        <v>160</v>
      </c>
      <c r="C39" s="220"/>
      <c r="D39" s="834"/>
      <c r="E39" s="208">
        <f t="shared" ref="E39:P39" si="18">IF(E8&gt;0,108.35*E3,0)</f>
        <v>0</v>
      </c>
      <c r="F39" s="208">
        <f t="shared" si="18"/>
        <v>0</v>
      </c>
      <c r="G39" s="208">
        <f t="shared" si="18"/>
        <v>0</v>
      </c>
      <c r="H39" s="208">
        <f t="shared" si="18"/>
        <v>0</v>
      </c>
      <c r="I39" s="208">
        <f t="shared" si="18"/>
        <v>0</v>
      </c>
      <c r="J39" s="208">
        <f t="shared" si="18"/>
        <v>0</v>
      </c>
      <c r="K39" s="208">
        <f t="shared" si="18"/>
        <v>0</v>
      </c>
      <c r="L39" s="208">
        <f t="shared" si="18"/>
        <v>0</v>
      </c>
      <c r="M39" s="208">
        <f t="shared" si="18"/>
        <v>0</v>
      </c>
      <c r="N39" s="208">
        <f t="shared" si="18"/>
        <v>0</v>
      </c>
      <c r="O39" s="208">
        <f t="shared" si="18"/>
        <v>0</v>
      </c>
      <c r="P39" s="208">
        <f t="shared" si="18"/>
        <v>0</v>
      </c>
      <c r="Q39" s="106">
        <f t="shared" si="13"/>
        <v>0</v>
      </c>
      <c r="R39" s="86"/>
      <c r="S39" s="86"/>
      <c r="T39" s="86"/>
      <c r="U39" s="86"/>
      <c r="V39" s="86"/>
      <c r="W39" s="86"/>
    </row>
    <row r="40" spans="1:23">
      <c r="A40" s="22">
        <f t="shared" si="1"/>
        <v>44</v>
      </c>
      <c r="B40" s="155" t="s">
        <v>250</v>
      </c>
      <c r="C40" s="220"/>
      <c r="D40" s="834"/>
      <c r="E40" s="208">
        <f t="shared" ref="E40:P40" si="19">-(MAX(0,MIN(E14*1,E15*1))+E17)*4.62%*SUM(E34:E38)</f>
        <v>0</v>
      </c>
      <c r="F40" s="208">
        <f t="shared" si="19"/>
        <v>0</v>
      </c>
      <c r="G40" s="208">
        <f t="shared" si="19"/>
        <v>0</v>
      </c>
      <c r="H40" s="208">
        <f t="shared" si="19"/>
        <v>0</v>
      </c>
      <c r="I40" s="208">
        <f t="shared" si="19"/>
        <v>0</v>
      </c>
      <c r="J40" s="208">
        <f t="shared" si="19"/>
        <v>0</v>
      </c>
      <c r="K40" s="208">
        <f t="shared" si="19"/>
        <v>0</v>
      </c>
      <c r="L40" s="208">
        <f t="shared" si="19"/>
        <v>0</v>
      </c>
      <c r="M40" s="208">
        <f t="shared" si="19"/>
        <v>0</v>
      </c>
      <c r="N40" s="208">
        <f t="shared" si="19"/>
        <v>0</v>
      </c>
      <c r="O40" s="208">
        <f t="shared" si="19"/>
        <v>0</v>
      </c>
      <c r="P40" s="208">
        <f t="shared" si="19"/>
        <v>0</v>
      </c>
      <c r="Q40" s="106">
        <f t="shared" si="13"/>
        <v>0</v>
      </c>
      <c r="R40" s="86"/>
      <c r="S40" s="86"/>
      <c r="T40" s="86"/>
      <c r="U40" s="86"/>
      <c r="V40" s="86"/>
      <c r="W40" s="86"/>
    </row>
    <row r="41" spans="1:23">
      <c r="A41" s="22">
        <f t="shared" si="1"/>
        <v>45</v>
      </c>
      <c r="B41" s="155" t="s">
        <v>192</v>
      </c>
      <c r="C41" s="220"/>
      <c r="D41" s="834"/>
      <c r="E41" s="208">
        <f t="shared" ref="E41:P41" si="20">E16</f>
        <v>0</v>
      </c>
      <c r="F41" s="208">
        <f t="shared" si="20"/>
        <v>0</v>
      </c>
      <c r="G41" s="208">
        <f t="shared" si="20"/>
        <v>0</v>
      </c>
      <c r="H41" s="208">
        <f t="shared" si="20"/>
        <v>0</v>
      </c>
      <c r="I41" s="208">
        <f t="shared" si="20"/>
        <v>0</v>
      </c>
      <c r="J41" s="208">
        <f t="shared" si="20"/>
        <v>0</v>
      </c>
      <c r="K41" s="208">
        <f t="shared" si="20"/>
        <v>0</v>
      </c>
      <c r="L41" s="208">
        <f t="shared" si="20"/>
        <v>0</v>
      </c>
      <c r="M41" s="208">
        <f t="shared" si="20"/>
        <v>0</v>
      </c>
      <c r="N41" s="208">
        <f t="shared" si="20"/>
        <v>0</v>
      </c>
      <c r="O41" s="208">
        <f t="shared" si="20"/>
        <v>0</v>
      </c>
      <c r="P41" s="208">
        <f t="shared" si="20"/>
        <v>0</v>
      </c>
      <c r="Q41" s="106">
        <f t="shared" si="13"/>
        <v>0</v>
      </c>
      <c r="R41" s="86"/>
      <c r="S41" s="86"/>
      <c r="T41" s="86"/>
      <c r="U41" s="86"/>
      <c r="V41" s="86"/>
      <c r="W41" s="86"/>
    </row>
    <row r="42" spans="1:23">
      <c r="A42" s="22">
        <f t="shared" si="1"/>
        <v>46</v>
      </c>
      <c r="B42" s="156" t="s">
        <v>575</v>
      </c>
      <c r="C42" s="221"/>
      <c r="D42" s="835"/>
      <c r="E42" s="487">
        <f t="shared" ref="E42:P42" si="21">E29</f>
        <v>0</v>
      </c>
      <c r="F42" s="208">
        <f t="shared" si="21"/>
        <v>0</v>
      </c>
      <c r="G42" s="208">
        <f t="shared" si="21"/>
        <v>0</v>
      </c>
      <c r="H42" s="208">
        <f t="shared" si="21"/>
        <v>0</v>
      </c>
      <c r="I42" s="208">
        <f t="shared" si="21"/>
        <v>0</v>
      </c>
      <c r="J42" s="208">
        <f t="shared" si="21"/>
        <v>0</v>
      </c>
      <c r="K42" s="208">
        <f t="shared" si="21"/>
        <v>0</v>
      </c>
      <c r="L42" s="208">
        <f t="shared" si="21"/>
        <v>0</v>
      </c>
      <c r="M42" s="208">
        <f t="shared" si="21"/>
        <v>0</v>
      </c>
      <c r="N42" s="208">
        <f t="shared" si="21"/>
        <v>0</v>
      </c>
      <c r="O42" s="208">
        <f t="shared" si="21"/>
        <v>0</v>
      </c>
      <c r="P42" s="208">
        <f t="shared" si="21"/>
        <v>0</v>
      </c>
      <c r="Q42" s="123"/>
      <c r="R42" s="86"/>
      <c r="S42" s="86"/>
      <c r="T42" s="86"/>
      <c r="U42" s="86"/>
      <c r="V42" s="86"/>
      <c r="W42" s="86"/>
    </row>
    <row r="43" spans="1:23">
      <c r="A43" s="22">
        <f t="shared" si="1"/>
        <v>47</v>
      </c>
      <c r="B43" s="156" t="s">
        <v>700</v>
      </c>
      <c r="C43" s="220"/>
      <c r="D43" s="834"/>
      <c r="E43" s="211">
        <f>IF(E20&gt;0,$C$20*E20,0)</f>
        <v>0</v>
      </c>
      <c r="F43" s="211">
        <f t="shared" ref="F43:I43" si="22">IF(F20&gt;0,$C$20*F20,0)</f>
        <v>0</v>
      </c>
      <c r="G43" s="211">
        <f t="shared" si="22"/>
        <v>0</v>
      </c>
      <c r="H43" s="211">
        <f t="shared" si="22"/>
        <v>0</v>
      </c>
      <c r="I43" s="211">
        <f t="shared" si="22"/>
        <v>0</v>
      </c>
      <c r="J43" s="211">
        <f>IF(J20&gt;0,$D$20*J20,0)</f>
        <v>0</v>
      </c>
      <c r="K43" s="211">
        <f t="shared" ref="K43:P43" si="23">IF(K20&gt;0,$D$20*K20,0)</f>
        <v>0</v>
      </c>
      <c r="L43" s="211">
        <f t="shared" si="23"/>
        <v>0</v>
      </c>
      <c r="M43" s="211">
        <f t="shared" si="23"/>
        <v>0</v>
      </c>
      <c r="N43" s="211">
        <f t="shared" si="23"/>
        <v>0</v>
      </c>
      <c r="O43" s="211">
        <f>IF(O20&gt;0,$D$20*O20,0)</f>
        <v>0</v>
      </c>
      <c r="P43" s="211">
        <f t="shared" si="23"/>
        <v>0</v>
      </c>
      <c r="Q43" s="107"/>
      <c r="R43" s="86"/>
      <c r="S43" s="86"/>
      <c r="T43" s="86"/>
      <c r="U43" s="86"/>
      <c r="V43" s="86"/>
      <c r="W43" s="86"/>
    </row>
    <row r="44" spans="1:23">
      <c r="A44" s="22">
        <f t="shared" si="1"/>
        <v>48</v>
      </c>
      <c r="B44" s="156" t="s">
        <v>699</v>
      </c>
      <c r="C44" s="220"/>
      <c r="D44" s="834"/>
      <c r="E44" s="211">
        <f>IF(E21&gt;0,$C$21*E21,0)</f>
        <v>0</v>
      </c>
      <c r="F44" s="211">
        <f t="shared" ref="F44:I44" si="24">IF(F21&gt;0,$C$21*F21,0)</f>
        <v>0</v>
      </c>
      <c r="G44" s="211">
        <f t="shared" si="24"/>
        <v>0</v>
      </c>
      <c r="H44" s="211">
        <f t="shared" si="24"/>
        <v>0</v>
      </c>
      <c r="I44" s="211">
        <f t="shared" si="24"/>
        <v>0</v>
      </c>
      <c r="J44" s="211">
        <f>IF(J21&gt;0,$D$21*J21,0)</f>
        <v>0</v>
      </c>
      <c r="K44" s="211">
        <f t="shared" ref="K44:P44" si="25">IF(K21&gt;0,$D$21*K21,0)</f>
        <v>0</v>
      </c>
      <c r="L44" s="211">
        <f t="shared" si="25"/>
        <v>0</v>
      </c>
      <c r="M44" s="211">
        <f t="shared" si="25"/>
        <v>0</v>
      </c>
      <c r="N44" s="211">
        <f t="shared" si="25"/>
        <v>0</v>
      </c>
      <c r="O44" s="211">
        <f t="shared" si="25"/>
        <v>0</v>
      </c>
      <c r="P44" s="211">
        <f t="shared" si="25"/>
        <v>0</v>
      </c>
      <c r="Q44" s="107"/>
      <c r="R44" s="86"/>
      <c r="S44" s="86"/>
      <c r="T44" s="86"/>
      <c r="U44" s="86"/>
      <c r="V44" s="86"/>
      <c r="W44" s="86"/>
    </row>
    <row r="45" spans="1:23">
      <c r="A45" s="22">
        <f t="shared" si="1"/>
        <v>49</v>
      </c>
      <c r="B45" s="155" t="s">
        <v>698</v>
      </c>
      <c r="C45" s="1147"/>
      <c r="D45" s="1148"/>
      <c r="E45" s="208">
        <f t="shared" ref="E45:P45" si="26">E22+IF(E23&gt;0,MIN(E23*E6,8000),0)</f>
        <v>0</v>
      </c>
      <c r="F45" s="208">
        <f t="shared" si="26"/>
        <v>0</v>
      </c>
      <c r="G45" s="208">
        <f t="shared" si="26"/>
        <v>0</v>
      </c>
      <c r="H45" s="208">
        <f t="shared" si="26"/>
        <v>0</v>
      </c>
      <c r="I45" s="208">
        <f t="shared" si="26"/>
        <v>0</v>
      </c>
      <c r="J45" s="208">
        <f t="shared" si="26"/>
        <v>0</v>
      </c>
      <c r="K45" s="208">
        <f t="shared" si="26"/>
        <v>0</v>
      </c>
      <c r="L45" s="208">
        <f t="shared" si="26"/>
        <v>0</v>
      </c>
      <c r="M45" s="208">
        <f t="shared" si="26"/>
        <v>0</v>
      </c>
      <c r="N45" s="208">
        <f t="shared" si="26"/>
        <v>0</v>
      </c>
      <c r="O45" s="208">
        <f t="shared" si="26"/>
        <v>0</v>
      </c>
      <c r="P45" s="208">
        <f t="shared" si="26"/>
        <v>0</v>
      </c>
      <c r="Q45" s="107">
        <f t="shared" ref="Q45:Q46" si="27">SUM(E45:P45)</f>
        <v>0</v>
      </c>
      <c r="R45" s="86"/>
      <c r="S45" s="86"/>
      <c r="T45" s="86"/>
      <c r="U45" s="86"/>
      <c r="V45" s="86"/>
      <c r="W45" s="86"/>
    </row>
    <row r="46" spans="1:23">
      <c r="A46" s="22">
        <f t="shared" si="1"/>
        <v>50</v>
      </c>
      <c r="B46" s="181" t="s">
        <v>579</v>
      </c>
      <c r="C46" s="843"/>
      <c r="D46" s="1149"/>
      <c r="E46" s="209">
        <f>IF(E23&gt;0,MAX(E23*E6-8000,0),0)</f>
        <v>0</v>
      </c>
      <c r="F46" s="209">
        <f t="shared" ref="F46:P46" si="28">IF(F23&gt;0,MAX(F23*F6-8000,0),0)</f>
        <v>0</v>
      </c>
      <c r="G46" s="209">
        <f t="shared" si="28"/>
        <v>0</v>
      </c>
      <c r="H46" s="209">
        <f t="shared" si="28"/>
        <v>0</v>
      </c>
      <c r="I46" s="209">
        <f t="shared" si="28"/>
        <v>0</v>
      </c>
      <c r="J46" s="209">
        <f t="shared" si="28"/>
        <v>0</v>
      </c>
      <c r="K46" s="209">
        <f t="shared" si="28"/>
        <v>0</v>
      </c>
      <c r="L46" s="209">
        <f t="shared" si="28"/>
        <v>0</v>
      </c>
      <c r="M46" s="209">
        <f t="shared" si="28"/>
        <v>0</v>
      </c>
      <c r="N46" s="209">
        <f t="shared" si="28"/>
        <v>0</v>
      </c>
      <c r="O46" s="209">
        <f t="shared" si="28"/>
        <v>0</v>
      </c>
      <c r="P46" s="209">
        <f t="shared" si="28"/>
        <v>0</v>
      </c>
      <c r="Q46" s="107">
        <f t="shared" si="27"/>
        <v>0</v>
      </c>
      <c r="R46" s="86"/>
      <c r="S46" s="86"/>
      <c r="T46" s="86"/>
      <c r="U46" s="86"/>
      <c r="V46" s="86"/>
      <c r="W46" s="86"/>
    </row>
    <row r="47" spans="1:23">
      <c r="A47" s="22">
        <f t="shared" si="1"/>
        <v>51</v>
      </c>
      <c r="B47" s="75" t="s">
        <v>104</v>
      </c>
      <c r="C47" s="220"/>
      <c r="D47" s="834"/>
      <c r="E47" s="210">
        <f>SUM(E34:E46)</f>
        <v>0</v>
      </c>
      <c r="F47" s="210">
        <f t="shared" ref="F47:P47" si="29">SUM(F34:F46)</f>
        <v>0</v>
      </c>
      <c r="G47" s="210">
        <f t="shared" si="29"/>
        <v>0</v>
      </c>
      <c r="H47" s="210">
        <f t="shared" si="29"/>
        <v>0</v>
      </c>
      <c r="I47" s="210">
        <f t="shared" si="29"/>
        <v>0</v>
      </c>
      <c r="J47" s="210">
        <f t="shared" si="29"/>
        <v>0</v>
      </c>
      <c r="K47" s="210">
        <f t="shared" si="29"/>
        <v>0</v>
      </c>
      <c r="L47" s="210">
        <f t="shared" si="29"/>
        <v>0</v>
      </c>
      <c r="M47" s="210">
        <f t="shared" si="29"/>
        <v>0</v>
      </c>
      <c r="N47" s="210">
        <f t="shared" si="29"/>
        <v>0</v>
      </c>
      <c r="O47" s="210">
        <f t="shared" si="29"/>
        <v>0</v>
      </c>
      <c r="P47" s="210">
        <f t="shared" si="29"/>
        <v>0</v>
      </c>
      <c r="Q47" s="81">
        <f t="shared" si="13"/>
        <v>0</v>
      </c>
      <c r="R47" s="86"/>
      <c r="S47" s="86"/>
      <c r="T47" s="86"/>
      <c r="U47" s="86"/>
      <c r="V47" s="86"/>
      <c r="W47" s="86"/>
    </row>
    <row r="48" spans="1:23">
      <c r="A48" s="22">
        <f t="shared" si="1"/>
        <v>52</v>
      </c>
      <c r="B48" s="154" t="s">
        <v>7</v>
      </c>
      <c r="C48" s="220"/>
      <c r="D48" s="834"/>
      <c r="E48" s="207">
        <f t="shared" ref="E48:P48" si="30">ROUND(E34*17.3%/3,2)*(E$5="L")</f>
        <v>0</v>
      </c>
      <c r="F48" s="207">
        <f t="shared" si="30"/>
        <v>0</v>
      </c>
      <c r="G48" s="207">
        <f t="shared" si="30"/>
        <v>0</v>
      </c>
      <c r="H48" s="207">
        <f t="shared" si="30"/>
        <v>0</v>
      </c>
      <c r="I48" s="207">
        <f t="shared" si="30"/>
        <v>0</v>
      </c>
      <c r="J48" s="207">
        <f t="shared" si="30"/>
        <v>0</v>
      </c>
      <c r="K48" s="207">
        <f t="shared" si="30"/>
        <v>0</v>
      </c>
      <c r="L48" s="207">
        <f t="shared" si="30"/>
        <v>0</v>
      </c>
      <c r="M48" s="207">
        <f t="shared" si="30"/>
        <v>0</v>
      </c>
      <c r="N48" s="207">
        <f t="shared" si="30"/>
        <v>0</v>
      </c>
      <c r="O48" s="207">
        <f t="shared" si="30"/>
        <v>0</v>
      </c>
      <c r="P48" s="207">
        <f t="shared" si="30"/>
        <v>0</v>
      </c>
      <c r="Q48" s="104">
        <f t="shared" si="13"/>
        <v>0</v>
      </c>
      <c r="R48" s="86"/>
      <c r="S48" s="86"/>
      <c r="T48" s="86"/>
      <c r="U48" s="86"/>
      <c r="V48" s="86"/>
      <c r="W48" s="86"/>
    </row>
    <row r="49" spans="1:23">
      <c r="A49" s="22">
        <f t="shared" si="1"/>
        <v>53</v>
      </c>
      <c r="B49" s="155" t="s">
        <v>1</v>
      </c>
      <c r="C49" s="220"/>
      <c r="D49" s="834"/>
      <c r="E49" s="207">
        <f t="shared" ref="E49:P49" si="31">ROUND(E35*17.3%/3,2)*(E$5="L")</f>
        <v>0</v>
      </c>
      <c r="F49" s="207">
        <f t="shared" si="31"/>
        <v>0</v>
      </c>
      <c r="G49" s="207">
        <f t="shared" si="31"/>
        <v>0</v>
      </c>
      <c r="H49" s="207">
        <f t="shared" si="31"/>
        <v>0</v>
      </c>
      <c r="I49" s="207">
        <f t="shared" si="31"/>
        <v>0</v>
      </c>
      <c r="J49" s="207">
        <f t="shared" si="31"/>
        <v>0</v>
      </c>
      <c r="K49" s="207">
        <f t="shared" si="31"/>
        <v>0</v>
      </c>
      <c r="L49" s="207">
        <f t="shared" si="31"/>
        <v>0</v>
      </c>
      <c r="M49" s="207">
        <f t="shared" si="31"/>
        <v>0</v>
      </c>
      <c r="N49" s="207">
        <f t="shared" si="31"/>
        <v>0</v>
      </c>
      <c r="O49" s="207">
        <f t="shared" si="31"/>
        <v>0</v>
      </c>
      <c r="P49" s="207">
        <f t="shared" si="31"/>
        <v>0</v>
      </c>
      <c r="Q49" s="106">
        <f t="shared" si="13"/>
        <v>0</v>
      </c>
      <c r="R49" s="86"/>
      <c r="S49" s="86"/>
      <c r="T49" s="86"/>
      <c r="U49" s="86"/>
      <c r="V49" s="86"/>
      <c r="W49" s="86"/>
    </row>
    <row r="50" spans="1:23">
      <c r="A50" s="22">
        <f t="shared" si="1"/>
        <v>54</v>
      </c>
      <c r="B50" s="155" t="s">
        <v>2</v>
      </c>
      <c r="C50" s="220"/>
      <c r="D50" s="220"/>
      <c r="E50" s="207">
        <f t="shared" ref="E50:P50" si="32">ROUND(E36*17.3%/3,2)*(E$5="L")</f>
        <v>0</v>
      </c>
      <c r="F50" s="207">
        <f t="shared" si="32"/>
        <v>0</v>
      </c>
      <c r="G50" s="207">
        <f t="shared" si="32"/>
        <v>0</v>
      </c>
      <c r="H50" s="207">
        <f t="shared" si="32"/>
        <v>0</v>
      </c>
      <c r="I50" s="207">
        <f t="shared" si="32"/>
        <v>0</v>
      </c>
      <c r="J50" s="207">
        <f t="shared" si="32"/>
        <v>0</v>
      </c>
      <c r="K50" s="207">
        <f t="shared" si="32"/>
        <v>0</v>
      </c>
      <c r="L50" s="207">
        <f t="shared" si="32"/>
        <v>0</v>
      </c>
      <c r="M50" s="207">
        <f t="shared" si="32"/>
        <v>0</v>
      </c>
      <c r="N50" s="207">
        <f t="shared" si="32"/>
        <v>0</v>
      </c>
      <c r="O50" s="207">
        <f t="shared" si="32"/>
        <v>0</v>
      </c>
      <c r="P50" s="207">
        <f t="shared" si="32"/>
        <v>0</v>
      </c>
      <c r="Q50" s="106">
        <f t="shared" si="13"/>
        <v>0</v>
      </c>
      <c r="R50" s="86"/>
      <c r="S50" s="86"/>
      <c r="T50" s="86"/>
      <c r="U50" s="86"/>
      <c r="V50" s="86"/>
      <c r="W50" s="86"/>
    </row>
    <row r="51" spans="1:23">
      <c r="A51" s="22">
        <f t="shared" si="1"/>
        <v>55</v>
      </c>
      <c r="B51" s="155" t="s">
        <v>581</v>
      </c>
      <c r="C51" s="220"/>
      <c r="D51" s="834"/>
      <c r="E51" s="207">
        <f t="shared" ref="E51:P51" si="33">ROUND(E38*17.3%/3,2)*(E$5="L")</f>
        <v>0</v>
      </c>
      <c r="F51" s="207">
        <f t="shared" si="33"/>
        <v>0</v>
      </c>
      <c r="G51" s="207">
        <f t="shared" si="33"/>
        <v>0</v>
      </c>
      <c r="H51" s="207">
        <f t="shared" si="33"/>
        <v>0</v>
      </c>
      <c r="I51" s="207">
        <f t="shared" si="33"/>
        <v>0</v>
      </c>
      <c r="J51" s="207">
        <f t="shared" si="33"/>
        <v>0</v>
      </c>
      <c r="K51" s="207">
        <f t="shared" si="33"/>
        <v>0</v>
      </c>
      <c r="L51" s="207">
        <f t="shared" si="33"/>
        <v>0</v>
      </c>
      <c r="M51" s="207">
        <f t="shared" si="33"/>
        <v>0</v>
      </c>
      <c r="N51" s="207">
        <f t="shared" si="33"/>
        <v>0</v>
      </c>
      <c r="O51" s="207">
        <f t="shared" si="33"/>
        <v>0</v>
      </c>
      <c r="P51" s="207">
        <f t="shared" si="33"/>
        <v>0</v>
      </c>
      <c r="Q51" s="106">
        <f>SUM(E51:P51)</f>
        <v>0</v>
      </c>
      <c r="R51" s="86"/>
      <c r="S51" s="86"/>
      <c r="T51" s="86"/>
      <c r="U51" s="86"/>
      <c r="V51" s="86"/>
      <c r="W51" s="86"/>
    </row>
    <row r="52" spans="1:23">
      <c r="A52" s="22">
        <f t="shared" si="1"/>
        <v>56</v>
      </c>
      <c r="B52" s="155" t="s">
        <v>693</v>
      </c>
      <c r="C52" s="220"/>
      <c r="D52" s="834"/>
      <c r="E52" s="207">
        <f t="shared" ref="E52:P52" si="34">ROUND(E37*17.3%/3,2)*(E$5="L")</f>
        <v>0</v>
      </c>
      <c r="F52" s="207">
        <f t="shared" si="34"/>
        <v>0</v>
      </c>
      <c r="G52" s="207">
        <f t="shared" si="34"/>
        <v>0</v>
      </c>
      <c r="H52" s="207">
        <f t="shared" si="34"/>
        <v>0</v>
      </c>
      <c r="I52" s="207">
        <f t="shared" si="34"/>
        <v>0</v>
      </c>
      <c r="J52" s="207">
        <f t="shared" si="34"/>
        <v>0</v>
      </c>
      <c r="K52" s="207">
        <f t="shared" si="34"/>
        <v>0</v>
      </c>
      <c r="L52" s="207">
        <f t="shared" si="34"/>
        <v>0</v>
      </c>
      <c r="M52" s="207">
        <f t="shared" si="34"/>
        <v>0</v>
      </c>
      <c r="N52" s="207">
        <f t="shared" si="34"/>
        <v>0</v>
      </c>
      <c r="O52" s="207">
        <f t="shared" si="34"/>
        <v>0</v>
      </c>
      <c r="P52" s="207">
        <f t="shared" si="34"/>
        <v>0</v>
      </c>
      <c r="Q52" s="106"/>
      <c r="R52" s="86"/>
      <c r="S52" s="86"/>
      <c r="T52" s="86"/>
      <c r="U52" s="86"/>
      <c r="V52" s="86"/>
      <c r="W52" s="86"/>
    </row>
    <row r="53" spans="1:23">
      <c r="A53" s="22">
        <f t="shared" si="1"/>
        <v>57</v>
      </c>
      <c r="B53" s="155" t="s">
        <v>108</v>
      </c>
      <c r="C53" s="221"/>
      <c r="D53" s="835"/>
      <c r="E53" s="208">
        <f t="shared" ref="E53:P53" si="35">MAX((E34+E35+E36+E37+E38+E40+E41-IF(E13&gt;0,VLOOKUP(E13,Skalalontabel12,7,0),0)*E6*E8/12)*18%/3,0)*(LEFT(E5)&lt;&gt;"L")</f>
        <v>0</v>
      </c>
      <c r="F53" s="208">
        <f t="shared" si="35"/>
        <v>0</v>
      </c>
      <c r="G53" s="208">
        <f t="shared" si="35"/>
        <v>0</v>
      </c>
      <c r="H53" s="208">
        <f t="shared" si="35"/>
        <v>0</v>
      </c>
      <c r="I53" s="208">
        <f t="shared" si="35"/>
        <v>0</v>
      </c>
      <c r="J53" s="208">
        <f t="shared" si="35"/>
        <v>0</v>
      </c>
      <c r="K53" s="208">
        <f t="shared" si="35"/>
        <v>0</v>
      </c>
      <c r="L53" s="208">
        <f t="shared" si="35"/>
        <v>0</v>
      </c>
      <c r="M53" s="208">
        <f t="shared" si="35"/>
        <v>0</v>
      </c>
      <c r="N53" s="208">
        <f t="shared" si="35"/>
        <v>0</v>
      </c>
      <c r="O53" s="208">
        <f t="shared" si="35"/>
        <v>0</v>
      </c>
      <c r="P53" s="208">
        <f t="shared" si="35"/>
        <v>0</v>
      </c>
      <c r="Q53" s="106">
        <f t="shared" si="13"/>
        <v>0</v>
      </c>
      <c r="R53" s="86"/>
      <c r="S53" s="86"/>
      <c r="T53" s="86"/>
      <c r="U53" s="86"/>
      <c r="V53" s="86"/>
      <c r="W53" s="86"/>
    </row>
    <row r="54" spans="1:23">
      <c r="A54" s="22">
        <f t="shared" si="1"/>
        <v>58</v>
      </c>
      <c r="B54" s="156" t="s">
        <v>35</v>
      </c>
      <c r="C54" s="222"/>
      <c r="D54" s="836"/>
      <c r="E54" s="487">
        <f t="shared" ref="E54:P54" si="36">IF(OR(E41=0,E8=0),0,(E48+E50+E51+E52)/E8*4.62%*(E16-E8)*(E14-E15))</f>
        <v>0</v>
      </c>
      <c r="F54" s="487">
        <f t="shared" si="36"/>
        <v>0</v>
      </c>
      <c r="G54" s="487">
        <f t="shared" si="36"/>
        <v>0</v>
      </c>
      <c r="H54" s="487">
        <f t="shared" si="36"/>
        <v>0</v>
      </c>
      <c r="I54" s="487">
        <f t="shared" si="36"/>
        <v>0</v>
      </c>
      <c r="J54" s="487">
        <f t="shared" si="36"/>
        <v>0</v>
      </c>
      <c r="K54" s="487">
        <f t="shared" si="36"/>
        <v>0</v>
      </c>
      <c r="L54" s="487">
        <f t="shared" si="36"/>
        <v>0</v>
      </c>
      <c r="M54" s="487">
        <f t="shared" si="36"/>
        <v>0</v>
      </c>
      <c r="N54" s="487">
        <f t="shared" si="36"/>
        <v>0</v>
      </c>
      <c r="O54" s="487">
        <f t="shared" si="36"/>
        <v>0</v>
      </c>
      <c r="P54" s="487">
        <f t="shared" si="36"/>
        <v>0</v>
      </c>
      <c r="Q54" s="123">
        <f t="shared" si="13"/>
        <v>0</v>
      </c>
      <c r="R54" s="86"/>
      <c r="S54" s="86"/>
      <c r="T54" s="86"/>
      <c r="U54" s="86"/>
      <c r="V54" s="86"/>
      <c r="W54" s="86"/>
    </row>
    <row r="55" spans="1:23">
      <c r="A55" s="22">
        <f t="shared" si="1"/>
        <v>59</v>
      </c>
      <c r="B55" s="3" t="s">
        <v>498</v>
      </c>
      <c r="C55" s="222"/>
      <c r="D55" s="836"/>
      <c r="E55" s="207">
        <f>ROUND((E27+E28)*17.3%/3,2)*(E$5="L")</f>
        <v>0</v>
      </c>
      <c r="F55" s="207">
        <f t="shared" ref="F55:P55" si="37">ROUND((F27+F28)*17.3%/3,2)*(F$5="L")</f>
        <v>0</v>
      </c>
      <c r="G55" s="207">
        <f t="shared" si="37"/>
        <v>0</v>
      </c>
      <c r="H55" s="207">
        <f t="shared" si="37"/>
        <v>0</v>
      </c>
      <c r="I55" s="207">
        <f t="shared" si="37"/>
        <v>0</v>
      </c>
      <c r="J55" s="207">
        <f t="shared" si="37"/>
        <v>0</v>
      </c>
      <c r="K55" s="207">
        <f t="shared" si="37"/>
        <v>0</v>
      </c>
      <c r="L55" s="207">
        <f t="shared" si="37"/>
        <v>0</v>
      </c>
      <c r="M55" s="207">
        <f t="shared" si="37"/>
        <v>0</v>
      </c>
      <c r="N55" s="207">
        <f t="shared" si="37"/>
        <v>0</v>
      </c>
      <c r="O55" s="207">
        <f t="shared" si="37"/>
        <v>0</v>
      </c>
      <c r="P55" s="207">
        <f t="shared" si="37"/>
        <v>0</v>
      </c>
      <c r="Q55" s="123">
        <f t="shared" si="13"/>
        <v>0</v>
      </c>
      <c r="R55" s="86"/>
      <c r="S55" s="86"/>
      <c r="T55" s="86"/>
      <c r="U55" s="86"/>
      <c r="V55" s="86"/>
      <c r="W55" s="86"/>
    </row>
    <row r="56" spans="1:23" ht="14" thickBot="1">
      <c r="A56" s="22">
        <f t="shared" si="1"/>
        <v>60</v>
      </c>
      <c r="B56" s="151" t="s">
        <v>181</v>
      </c>
      <c r="C56" s="844"/>
      <c r="D56" s="845"/>
      <c r="E56" s="212">
        <f>SUM(E48:E55)</f>
        <v>0</v>
      </c>
      <c r="F56" s="212">
        <f t="shared" ref="F56:P56" si="38">SUM(F48:F55)</f>
        <v>0</v>
      </c>
      <c r="G56" s="212">
        <f t="shared" si="38"/>
        <v>0</v>
      </c>
      <c r="H56" s="212">
        <f t="shared" si="38"/>
        <v>0</v>
      </c>
      <c r="I56" s="212">
        <f t="shared" si="38"/>
        <v>0</v>
      </c>
      <c r="J56" s="212">
        <f t="shared" si="38"/>
        <v>0</v>
      </c>
      <c r="K56" s="212">
        <f t="shared" si="38"/>
        <v>0</v>
      </c>
      <c r="L56" s="212">
        <f t="shared" si="38"/>
        <v>0</v>
      </c>
      <c r="M56" s="212">
        <f t="shared" si="38"/>
        <v>0</v>
      </c>
      <c r="N56" s="212">
        <f t="shared" si="38"/>
        <v>0</v>
      </c>
      <c r="O56" s="212">
        <f t="shared" si="38"/>
        <v>0</v>
      </c>
      <c r="P56" s="212">
        <f t="shared" si="38"/>
        <v>0</v>
      </c>
      <c r="Q56" s="153">
        <f t="shared" si="13"/>
        <v>0</v>
      </c>
      <c r="R56" s="86"/>
      <c r="S56" s="86"/>
      <c r="T56" s="86"/>
      <c r="U56" s="86"/>
      <c r="V56" s="86"/>
      <c r="W56" s="86"/>
    </row>
    <row r="57" spans="1:23" ht="14" thickTop="1">
      <c r="A57" s="22">
        <f t="shared" si="1"/>
        <v>61</v>
      </c>
      <c r="B57" s="182" t="s">
        <v>96</v>
      </c>
      <c r="C57" s="222"/>
      <c r="D57" s="836"/>
      <c r="E57" s="213">
        <f>ROUND(E69/3,2)</f>
        <v>0</v>
      </c>
      <c r="F57" s="213">
        <f t="shared" ref="F57:P57" si="39">ROUND(F69/3,2)</f>
        <v>0</v>
      </c>
      <c r="G57" s="213">
        <f t="shared" si="39"/>
        <v>0</v>
      </c>
      <c r="H57" s="213">
        <f t="shared" si="39"/>
        <v>0</v>
      </c>
      <c r="I57" s="213">
        <f t="shared" si="39"/>
        <v>0</v>
      </c>
      <c r="J57" s="213">
        <f t="shared" si="39"/>
        <v>0</v>
      </c>
      <c r="K57" s="213">
        <f t="shared" si="39"/>
        <v>0</v>
      </c>
      <c r="L57" s="213">
        <f t="shared" si="39"/>
        <v>0</v>
      </c>
      <c r="M57" s="213">
        <f t="shared" si="39"/>
        <v>0</v>
      </c>
      <c r="N57" s="213">
        <f t="shared" si="39"/>
        <v>0</v>
      </c>
      <c r="O57" s="213">
        <f t="shared" si="39"/>
        <v>0</v>
      </c>
      <c r="P57" s="213">
        <f t="shared" si="39"/>
        <v>0</v>
      </c>
      <c r="Q57" s="104">
        <f>SUM(E57:P57)</f>
        <v>0</v>
      </c>
      <c r="R57" s="86"/>
      <c r="S57" s="86"/>
      <c r="T57" s="86"/>
      <c r="U57" s="86"/>
      <c r="V57" s="86"/>
      <c r="W57" s="86"/>
    </row>
    <row r="58" spans="1:23">
      <c r="A58" s="22">
        <f t="shared" si="1"/>
        <v>62</v>
      </c>
      <c r="B58" s="182" t="s">
        <v>91</v>
      </c>
      <c r="C58" s="222"/>
      <c r="D58" s="836"/>
      <c r="E58" s="213">
        <f>SUM(E34:E42)-E57+E46</f>
        <v>0</v>
      </c>
      <c r="F58" s="213">
        <f t="shared" ref="F58:P58" si="40">SUM(F34:F42)-F57+F46</f>
        <v>0</v>
      </c>
      <c r="G58" s="213">
        <f t="shared" si="40"/>
        <v>0</v>
      </c>
      <c r="H58" s="213">
        <f t="shared" si="40"/>
        <v>0</v>
      </c>
      <c r="I58" s="213">
        <f t="shared" si="40"/>
        <v>0</v>
      </c>
      <c r="J58" s="213">
        <f t="shared" si="40"/>
        <v>0</v>
      </c>
      <c r="K58" s="213">
        <f t="shared" si="40"/>
        <v>0</v>
      </c>
      <c r="L58" s="213">
        <f t="shared" si="40"/>
        <v>0</v>
      </c>
      <c r="M58" s="213">
        <f t="shared" si="40"/>
        <v>0</v>
      </c>
      <c r="N58" s="213">
        <f t="shared" si="40"/>
        <v>0</v>
      </c>
      <c r="O58" s="213">
        <f t="shared" si="40"/>
        <v>0</v>
      </c>
      <c r="P58" s="213">
        <f t="shared" si="40"/>
        <v>0</v>
      </c>
      <c r="Q58" s="104">
        <f t="shared" ref="Q58:Q74" si="41">SUM(E58:P58)</f>
        <v>0</v>
      </c>
      <c r="R58" s="86"/>
      <c r="S58" s="86"/>
      <c r="T58" s="86"/>
      <c r="U58" s="86"/>
      <c r="V58" s="86"/>
      <c r="W58" s="86"/>
    </row>
    <row r="59" spans="1:23">
      <c r="A59" s="22">
        <f t="shared" si="1"/>
        <v>63</v>
      </c>
      <c r="B59" s="183" t="s">
        <v>92</v>
      </c>
      <c r="C59" s="222"/>
      <c r="D59" s="836"/>
      <c r="E59" s="214">
        <f>ROUND(E58*8%,0)</f>
        <v>0</v>
      </c>
      <c r="F59" s="214">
        <f t="shared" ref="F59:P59" si="42">ROUND(F58*8%,0)</f>
        <v>0</v>
      </c>
      <c r="G59" s="214">
        <f t="shared" si="42"/>
        <v>0</v>
      </c>
      <c r="H59" s="214">
        <f t="shared" si="42"/>
        <v>0</v>
      </c>
      <c r="I59" s="214">
        <f t="shared" si="42"/>
        <v>0</v>
      </c>
      <c r="J59" s="214">
        <f t="shared" si="42"/>
        <v>0</v>
      </c>
      <c r="K59" s="214">
        <f t="shared" si="42"/>
        <v>0</v>
      </c>
      <c r="L59" s="214">
        <f t="shared" si="42"/>
        <v>0</v>
      </c>
      <c r="M59" s="214">
        <f t="shared" si="42"/>
        <v>0</v>
      </c>
      <c r="N59" s="214">
        <f t="shared" si="42"/>
        <v>0</v>
      </c>
      <c r="O59" s="214">
        <f t="shared" si="42"/>
        <v>0</v>
      </c>
      <c r="P59" s="214">
        <f t="shared" si="42"/>
        <v>0</v>
      </c>
      <c r="Q59" s="106">
        <f t="shared" si="41"/>
        <v>0</v>
      </c>
      <c r="R59" s="86"/>
      <c r="S59" s="86"/>
      <c r="T59" s="86"/>
      <c r="U59" s="86"/>
      <c r="V59" s="86"/>
      <c r="W59" s="86"/>
    </row>
    <row r="60" spans="1:23">
      <c r="A60" s="22">
        <f t="shared" si="1"/>
        <v>64</v>
      </c>
      <c r="B60" s="183" t="s">
        <v>93</v>
      </c>
      <c r="C60" s="222"/>
      <c r="D60" s="836"/>
      <c r="E60" s="214">
        <f>E58-E59</f>
        <v>0</v>
      </c>
      <c r="F60" s="214">
        <f t="shared" ref="F60:P60" si="43">F58-F59</f>
        <v>0</v>
      </c>
      <c r="G60" s="214">
        <f t="shared" si="43"/>
        <v>0</v>
      </c>
      <c r="H60" s="214">
        <f t="shared" si="43"/>
        <v>0</v>
      </c>
      <c r="I60" s="214">
        <f t="shared" si="43"/>
        <v>0</v>
      </c>
      <c r="J60" s="214">
        <f t="shared" si="43"/>
        <v>0</v>
      </c>
      <c r="K60" s="214">
        <f t="shared" si="43"/>
        <v>0</v>
      </c>
      <c r="L60" s="214">
        <f t="shared" si="43"/>
        <v>0</v>
      </c>
      <c r="M60" s="214">
        <f t="shared" si="43"/>
        <v>0</v>
      </c>
      <c r="N60" s="214">
        <f t="shared" si="43"/>
        <v>0</v>
      </c>
      <c r="O60" s="214">
        <f t="shared" si="43"/>
        <v>0</v>
      </c>
      <c r="P60" s="214">
        <f t="shared" si="43"/>
        <v>0</v>
      </c>
      <c r="Q60" s="106">
        <f t="shared" si="41"/>
        <v>0</v>
      </c>
      <c r="R60" s="86"/>
      <c r="S60" s="86"/>
      <c r="T60" s="86"/>
      <c r="U60" s="86"/>
      <c r="V60" s="86"/>
      <c r="W60" s="86"/>
    </row>
    <row r="61" spans="1:23">
      <c r="A61" s="22">
        <f t="shared" si="1"/>
        <v>65</v>
      </c>
      <c r="B61" s="183" t="s">
        <v>105</v>
      </c>
      <c r="C61" s="222"/>
      <c r="D61" s="836"/>
      <c r="E61" s="214">
        <f t="shared" ref="E61:P61" si="44">ROUND(E60-E19,-1)</f>
        <v>0</v>
      </c>
      <c r="F61" s="214">
        <f t="shared" si="44"/>
        <v>0</v>
      </c>
      <c r="G61" s="214">
        <f t="shared" si="44"/>
        <v>0</v>
      </c>
      <c r="H61" s="214">
        <f t="shared" si="44"/>
        <v>0</v>
      </c>
      <c r="I61" s="214">
        <f t="shared" si="44"/>
        <v>0</v>
      </c>
      <c r="J61" s="214">
        <f t="shared" si="44"/>
        <v>0</v>
      </c>
      <c r="K61" s="214">
        <f t="shared" si="44"/>
        <v>0</v>
      </c>
      <c r="L61" s="214">
        <f t="shared" si="44"/>
        <v>0</v>
      </c>
      <c r="M61" s="214">
        <f t="shared" si="44"/>
        <v>0</v>
      </c>
      <c r="N61" s="214">
        <f t="shared" si="44"/>
        <v>0</v>
      </c>
      <c r="O61" s="214">
        <f t="shared" si="44"/>
        <v>0</v>
      </c>
      <c r="P61" s="214">
        <f t="shared" si="44"/>
        <v>0</v>
      </c>
      <c r="Q61" s="106"/>
      <c r="R61" s="86"/>
      <c r="S61" s="86"/>
      <c r="T61" s="86"/>
      <c r="U61" s="86"/>
      <c r="V61" s="86"/>
      <c r="W61" s="86"/>
    </row>
    <row r="62" spans="1:23">
      <c r="A62" s="22">
        <f t="shared" si="1"/>
        <v>66</v>
      </c>
      <c r="B62" s="183" t="s">
        <v>94</v>
      </c>
      <c r="C62" s="222"/>
      <c r="D62" s="836"/>
      <c r="E62" s="214">
        <f t="shared" ref="E62:P62" si="45">ROUND(E61*E18/100,0)</f>
        <v>0</v>
      </c>
      <c r="F62" s="214">
        <f t="shared" si="45"/>
        <v>0</v>
      </c>
      <c r="G62" s="214">
        <f t="shared" si="45"/>
        <v>0</v>
      </c>
      <c r="H62" s="214">
        <f t="shared" si="45"/>
        <v>0</v>
      </c>
      <c r="I62" s="214">
        <f t="shared" si="45"/>
        <v>0</v>
      </c>
      <c r="J62" s="214">
        <f t="shared" si="45"/>
        <v>0</v>
      </c>
      <c r="K62" s="214">
        <f t="shared" si="45"/>
        <v>0</v>
      </c>
      <c r="L62" s="214">
        <f t="shared" si="45"/>
        <v>0</v>
      </c>
      <c r="M62" s="214">
        <f t="shared" si="45"/>
        <v>0</v>
      </c>
      <c r="N62" s="214">
        <f t="shared" si="45"/>
        <v>0</v>
      </c>
      <c r="O62" s="214">
        <f t="shared" si="45"/>
        <v>0</v>
      </c>
      <c r="P62" s="214">
        <f t="shared" si="45"/>
        <v>0</v>
      </c>
      <c r="Q62" s="106">
        <f t="shared" si="41"/>
        <v>0</v>
      </c>
      <c r="R62" s="86"/>
      <c r="S62" s="86"/>
      <c r="T62" s="86"/>
      <c r="U62" s="86"/>
      <c r="V62" s="86"/>
      <c r="W62" s="86"/>
    </row>
    <row r="63" spans="1:23">
      <c r="A63" s="22">
        <f t="shared" si="1"/>
        <v>67</v>
      </c>
      <c r="B63" s="746" t="str">
        <f>"Feriegodtgørelsesgrundlag, jan-dec "&amp;MID($C$1,3,2)+1</f>
        <v>Feriegodtgørelsesgrundlag, jan-dec 25</v>
      </c>
      <c r="C63" s="1253"/>
      <c r="D63" s="1254"/>
      <c r="E63" s="890">
        <f t="shared" ref="E63:N63" si="46">SUM(E34:E41)</f>
        <v>0</v>
      </c>
      <c r="F63" s="741">
        <f t="shared" si="46"/>
        <v>0</v>
      </c>
      <c r="G63" s="741">
        <f t="shared" si="46"/>
        <v>0</v>
      </c>
      <c r="H63" s="741">
        <f t="shared" si="46"/>
        <v>0</v>
      </c>
      <c r="I63" s="741">
        <f t="shared" si="46"/>
        <v>0</v>
      </c>
      <c r="J63" s="741">
        <f t="shared" si="46"/>
        <v>0</v>
      </c>
      <c r="K63" s="741">
        <f t="shared" si="46"/>
        <v>0</v>
      </c>
      <c r="L63" s="741">
        <f t="shared" si="46"/>
        <v>0</v>
      </c>
      <c r="M63" s="741">
        <f t="shared" si="46"/>
        <v>0</v>
      </c>
      <c r="N63" s="741">
        <f t="shared" si="46"/>
        <v>0</v>
      </c>
      <c r="O63" s="157"/>
      <c r="P63" s="157"/>
      <c r="Q63" s="742">
        <f>SUM(D63:E63)</f>
        <v>0</v>
      </c>
      <c r="R63" s="86"/>
      <c r="S63" s="86"/>
      <c r="T63" s="86"/>
      <c r="U63" s="86"/>
      <c r="V63" s="86"/>
      <c r="W63" s="86"/>
    </row>
    <row r="64" spans="1:23">
      <c r="A64" s="22">
        <f t="shared" si="1"/>
        <v>68</v>
      </c>
      <c r="B64" s="745" t="str">
        <f>"Feriegodtgørelsesgrundlag, jan-dec "&amp;MID($C$1,3,2)+2</f>
        <v>Feriegodtgørelsesgrundlag, jan-dec 26</v>
      </c>
      <c r="C64" s="843"/>
      <c r="D64" s="834"/>
      <c r="E64" s="740"/>
      <c r="F64" s="157"/>
      <c r="G64" s="157"/>
      <c r="H64" s="157"/>
      <c r="I64" s="157"/>
      <c r="J64" s="157"/>
      <c r="K64" s="157"/>
      <c r="L64" s="157"/>
      <c r="M64" s="157"/>
      <c r="N64" s="157"/>
      <c r="O64" s="743">
        <f>SUM(O34:O41)</f>
        <v>0</v>
      </c>
      <c r="P64" s="743">
        <f>SUM(P34:P41)</f>
        <v>0</v>
      </c>
      <c r="Q64" s="744">
        <f t="shared" si="41"/>
        <v>0</v>
      </c>
      <c r="R64" s="86"/>
      <c r="S64" s="86"/>
      <c r="T64" s="86"/>
      <c r="U64" s="86"/>
      <c r="V64" s="86"/>
      <c r="W64" s="86"/>
    </row>
    <row r="65" spans="1:23">
      <c r="A65" s="22">
        <f t="shared" si="1"/>
        <v>69</v>
      </c>
      <c r="B65" s="183" t="s">
        <v>180</v>
      </c>
      <c r="C65" s="222"/>
      <c r="D65" s="836"/>
      <c r="E65" s="214">
        <f>E56</f>
        <v>0</v>
      </c>
      <c r="F65" s="109">
        <f t="shared" ref="F65:P65" si="47">F56</f>
        <v>0</v>
      </c>
      <c r="G65" s="109">
        <f t="shared" si="47"/>
        <v>0</v>
      </c>
      <c r="H65" s="109">
        <f t="shared" si="47"/>
        <v>0</v>
      </c>
      <c r="I65" s="109">
        <f t="shared" si="47"/>
        <v>0</v>
      </c>
      <c r="J65" s="109">
        <f t="shared" si="47"/>
        <v>0</v>
      </c>
      <c r="K65" s="109">
        <f t="shared" si="47"/>
        <v>0</v>
      </c>
      <c r="L65" s="109">
        <f t="shared" si="47"/>
        <v>0</v>
      </c>
      <c r="M65" s="109">
        <f t="shared" si="47"/>
        <v>0</v>
      </c>
      <c r="N65" s="109">
        <f t="shared" si="47"/>
        <v>0</v>
      </c>
      <c r="O65" s="109">
        <f t="shared" si="47"/>
        <v>0</v>
      </c>
      <c r="P65" s="109">
        <f t="shared" si="47"/>
        <v>0</v>
      </c>
      <c r="Q65" s="106">
        <f t="shared" si="41"/>
        <v>0</v>
      </c>
      <c r="R65" s="86"/>
      <c r="S65" s="86"/>
      <c r="T65" s="86"/>
      <c r="U65" s="86"/>
      <c r="V65" s="86"/>
      <c r="W65" s="86"/>
    </row>
    <row r="66" spans="1:23">
      <c r="A66" s="22">
        <f t="shared" ref="A66:A76" si="48">A65+1</f>
        <v>70</v>
      </c>
      <c r="B66" s="183" t="s">
        <v>184</v>
      </c>
      <c r="C66" s="222"/>
      <c r="D66" s="836"/>
      <c r="E66" s="214">
        <f>E65*2</f>
        <v>0</v>
      </c>
      <c r="F66" s="109">
        <f t="shared" ref="F66:P66" si="49">F65*2</f>
        <v>0</v>
      </c>
      <c r="G66" s="109">
        <f t="shared" si="49"/>
        <v>0</v>
      </c>
      <c r="H66" s="109">
        <f t="shared" si="49"/>
        <v>0</v>
      </c>
      <c r="I66" s="109">
        <f t="shared" si="49"/>
        <v>0</v>
      </c>
      <c r="J66" s="109">
        <f t="shared" si="49"/>
        <v>0</v>
      </c>
      <c r="K66" s="109">
        <f t="shared" si="49"/>
        <v>0</v>
      </c>
      <c r="L66" s="109">
        <f t="shared" si="49"/>
        <v>0</v>
      </c>
      <c r="M66" s="109">
        <f t="shared" si="49"/>
        <v>0</v>
      </c>
      <c r="N66" s="109">
        <f t="shared" si="49"/>
        <v>0</v>
      </c>
      <c r="O66" s="109">
        <f t="shared" si="49"/>
        <v>0</v>
      </c>
      <c r="P66" s="109">
        <f t="shared" si="49"/>
        <v>0</v>
      </c>
      <c r="Q66" s="106">
        <f t="shared" si="41"/>
        <v>0</v>
      </c>
      <c r="R66" s="86"/>
      <c r="S66" s="86"/>
      <c r="T66" s="86"/>
      <c r="U66" s="86"/>
      <c r="V66" s="86"/>
      <c r="W66" s="86"/>
    </row>
    <row r="67" spans="1:23">
      <c r="A67" s="22">
        <f t="shared" si="48"/>
        <v>71</v>
      </c>
      <c r="B67" s="183" t="s">
        <v>38</v>
      </c>
      <c r="C67" s="222"/>
      <c r="D67" s="836"/>
      <c r="E67" s="214">
        <f>E69*2/3</f>
        <v>0</v>
      </c>
      <c r="F67" s="109">
        <f t="shared" ref="F67:P67" si="50">F69*2/3</f>
        <v>0</v>
      </c>
      <c r="G67" s="109">
        <f t="shared" si="50"/>
        <v>0</v>
      </c>
      <c r="H67" s="109">
        <f t="shared" si="50"/>
        <v>0</v>
      </c>
      <c r="I67" s="109">
        <f t="shared" si="50"/>
        <v>0</v>
      </c>
      <c r="J67" s="109">
        <f t="shared" si="50"/>
        <v>0</v>
      </c>
      <c r="K67" s="109">
        <f t="shared" si="50"/>
        <v>0</v>
      </c>
      <c r="L67" s="109">
        <f t="shared" si="50"/>
        <v>0</v>
      </c>
      <c r="M67" s="109">
        <f t="shared" si="50"/>
        <v>0</v>
      </c>
      <c r="N67" s="109">
        <f t="shared" si="50"/>
        <v>0</v>
      </c>
      <c r="O67" s="109">
        <f t="shared" si="50"/>
        <v>0</v>
      </c>
      <c r="P67" s="109">
        <f t="shared" si="50"/>
        <v>0</v>
      </c>
      <c r="Q67" s="106">
        <f t="shared" si="41"/>
        <v>0</v>
      </c>
      <c r="R67" s="86"/>
      <c r="S67" s="86"/>
      <c r="T67" s="86"/>
      <c r="U67" s="86"/>
      <c r="V67" s="86"/>
      <c r="W67" s="86"/>
    </row>
    <row r="68" spans="1:23">
      <c r="A68" s="22">
        <f t="shared" si="48"/>
        <v>72</v>
      </c>
      <c r="B68" s="183" t="s">
        <v>109</v>
      </c>
      <c r="C68" s="222"/>
      <c r="D68" s="836"/>
      <c r="E68" s="214">
        <f>E65+E66</f>
        <v>0</v>
      </c>
      <c r="F68" s="109">
        <f t="shared" ref="F68:P68" si="51">F65+F66</f>
        <v>0</v>
      </c>
      <c r="G68" s="109">
        <f t="shared" si="51"/>
        <v>0</v>
      </c>
      <c r="H68" s="109">
        <f t="shared" si="51"/>
        <v>0</v>
      </c>
      <c r="I68" s="109">
        <f t="shared" si="51"/>
        <v>0</v>
      </c>
      <c r="J68" s="109">
        <f t="shared" si="51"/>
        <v>0</v>
      </c>
      <c r="K68" s="109">
        <f t="shared" si="51"/>
        <v>0</v>
      </c>
      <c r="L68" s="109">
        <f t="shared" si="51"/>
        <v>0</v>
      </c>
      <c r="M68" s="109">
        <f t="shared" si="51"/>
        <v>0</v>
      </c>
      <c r="N68" s="109">
        <f t="shared" si="51"/>
        <v>0</v>
      </c>
      <c r="O68" s="109">
        <f t="shared" si="51"/>
        <v>0</v>
      </c>
      <c r="P68" s="109">
        <f t="shared" si="51"/>
        <v>0</v>
      </c>
      <c r="Q68" s="106">
        <f t="shared" si="41"/>
        <v>0</v>
      </c>
      <c r="R68" s="86"/>
      <c r="S68" s="86"/>
      <c r="T68" s="86"/>
      <c r="U68" s="86"/>
      <c r="V68" s="86"/>
      <c r="W68" s="86"/>
    </row>
    <row r="69" spans="1:23">
      <c r="A69" s="22">
        <f t="shared" si="48"/>
        <v>73</v>
      </c>
      <c r="B69" s="183" t="s">
        <v>110</v>
      </c>
      <c r="C69" s="222"/>
      <c r="D69" s="836"/>
      <c r="E69" s="500">
        <f t="shared" ref="E69:P69" si="52">297/3*(((E8*E3)&gt;=9/37)+((E8*E3)&gt;=18/37)+((E8*E3)&gt;=27/37))</f>
        <v>0</v>
      </c>
      <c r="F69" s="500">
        <f t="shared" si="52"/>
        <v>0</v>
      </c>
      <c r="G69" s="500">
        <f t="shared" si="52"/>
        <v>0</v>
      </c>
      <c r="H69" s="500">
        <f t="shared" si="52"/>
        <v>0</v>
      </c>
      <c r="I69" s="500">
        <f t="shared" si="52"/>
        <v>0</v>
      </c>
      <c r="J69" s="500">
        <f t="shared" si="52"/>
        <v>0</v>
      </c>
      <c r="K69" s="500">
        <f t="shared" si="52"/>
        <v>0</v>
      </c>
      <c r="L69" s="500">
        <f t="shared" si="52"/>
        <v>0</v>
      </c>
      <c r="M69" s="500">
        <f t="shared" si="52"/>
        <v>0</v>
      </c>
      <c r="N69" s="500">
        <f t="shared" si="52"/>
        <v>0</v>
      </c>
      <c r="O69" s="500">
        <f t="shared" si="52"/>
        <v>0</v>
      </c>
      <c r="P69" s="500">
        <f t="shared" si="52"/>
        <v>0</v>
      </c>
      <c r="Q69" s="106">
        <f t="shared" si="41"/>
        <v>0</v>
      </c>
      <c r="R69" s="86"/>
      <c r="S69" s="86"/>
      <c r="T69" s="86"/>
      <c r="U69" s="86"/>
      <c r="V69" s="86"/>
      <c r="W69" s="86"/>
    </row>
    <row r="70" spans="1:23">
      <c r="A70" s="22">
        <f t="shared" si="48"/>
        <v>74</v>
      </c>
      <c r="B70" s="183" t="s">
        <v>132</v>
      </c>
      <c r="C70" s="222"/>
      <c r="D70" s="836"/>
      <c r="E70" s="214">
        <f t="shared" ref="E70:P70" si="53">IF(OR(LEFT(E5)="P",LEFT(E5)="E"),VLOOKUP(VALUE(MID(E5,2,2)),Skalalontabel12,7,0)*E6/12*15%*MIN(1,E8),0)</f>
        <v>0</v>
      </c>
      <c r="F70" s="214">
        <f t="shared" si="53"/>
        <v>0</v>
      </c>
      <c r="G70" s="214">
        <f t="shared" si="53"/>
        <v>0</v>
      </c>
      <c r="H70" s="214">
        <f t="shared" si="53"/>
        <v>0</v>
      </c>
      <c r="I70" s="214">
        <f t="shared" si="53"/>
        <v>0</v>
      </c>
      <c r="J70" s="214">
        <f t="shared" si="53"/>
        <v>0</v>
      </c>
      <c r="K70" s="214">
        <f t="shared" si="53"/>
        <v>0</v>
      </c>
      <c r="L70" s="214">
        <f t="shared" si="53"/>
        <v>0</v>
      </c>
      <c r="M70" s="214">
        <f t="shared" si="53"/>
        <v>0</v>
      </c>
      <c r="N70" s="214">
        <f t="shared" si="53"/>
        <v>0</v>
      </c>
      <c r="O70" s="214">
        <f t="shared" si="53"/>
        <v>0</v>
      </c>
      <c r="P70" s="214">
        <f t="shared" si="53"/>
        <v>0</v>
      </c>
      <c r="Q70" s="106">
        <f t="shared" si="41"/>
        <v>0</v>
      </c>
      <c r="R70" s="86"/>
      <c r="S70" s="86"/>
      <c r="T70" s="86"/>
      <c r="U70" s="86"/>
      <c r="V70" s="86"/>
      <c r="W70" s="86"/>
    </row>
    <row r="71" spans="1:23">
      <c r="A71" s="22">
        <f t="shared" si="48"/>
        <v>75</v>
      </c>
      <c r="B71" s="183" t="s">
        <v>95</v>
      </c>
      <c r="C71" s="222"/>
      <c r="D71" s="836"/>
      <c r="E71" s="214">
        <f t="shared" ref="E71:P71" si="54">108.35*(E8&gt;=0.4054)</f>
        <v>0</v>
      </c>
      <c r="F71" s="109">
        <f t="shared" si="54"/>
        <v>0</v>
      </c>
      <c r="G71" s="109">
        <f t="shared" si="54"/>
        <v>0</v>
      </c>
      <c r="H71" s="109">
        <f t="shared" si="54"/>
        <v>0</v>
      </c>
      <c r="I71" s="109">
        <f t="shared" si="54"/>
        <v>0</v>
      </c>
      <c r="J71" s="109">
        <f t="shared" si="54"/>
        <v>0</v>
      </c>
      <c r="K71" s="109">
        <f t="shared" si="54"/>
        <v>0</v>
      </c>
      <c r="L71" s="109">
        <f t="shared" si="54"/>
        <v>0</v>
      </c>
      <c r="M71" s="109">
        <f t="shared" si="54"/>
        <v>0</v>
      </c>
      <c r="N71" s="109">
        <f t="shared" si="54"/>
        <v>0</v>
      </c>
      <c r="O71" s="109">
        <f t="shared" si="54"/>
        <v>0</v>
      </c>
      <c r="P71" s="109">
        <f t="shared" si="54"/>
        <v>0</v>
      </c>
      <c r="Q71" s="106">
        <f t="shared" si="41"/>
        <v>0</v>
      </c>
      <c r="R71" s="86"/>
      <c r="S71" s="86"/>
      <c r="T71" s="86"/>
      <c r="U71" s="86"/>
      <c r="V71" s="86"/>
      <c r="W71" s="86"/>
    </row>
    <row r="72" spans="1:23">
      <c r="A72" s="22">
        <f t="shared" si="48"/>
        <v>76</v>
      </c>
      <c r="B72" s="184" t="s">
        <v>215</v>
      </c>
      <c r="C72" s="222"/>
      <c r="D72" s="836"/>
      <c r="E72" s="215">
        <f t="shared" ref="E72:P72" si="55">E47-(E62+E57+E59+E71)-E29-E30-E31-E32</f>
        <v>0</v>
      </c>
      <c r="F72" s="215">
        <f t="shared" si="55"/>
        <v>0</v>
      </c>
      <c r="G72" s="215">
        <f t="shared" si="55"/>
        <v>0</v>
      </c>
      <c r="H72" s="215">
        <f t="shared" si="55"/>
        <v>0</v>
      </c>
      <c r="I72" s="215">
        <f t="shared" si="55"/>
        <v>0</v>
      </c>
      <c r="J72" s="215">
        <f t="shared" si="55"/>
        <v>0</v>
      </c>
      <c r="K72" s="215">
        <f t="shared" si="55"/>
        <v>0</v>
      </c>
      <c r="L72" s="215">
        <f t="shared" si="55"/>
        <v>0</v>
      </c>
      <c r="M72" s="215">
        <f t="shared" si="55"/>
        <v>0</v>
      </c>
      <c r="N72" s="215">
        <f t="shared" si="55"/>
        <v>0</v>
      </c>
      <c r="O72" s="215">
        <f t="shared" si="55"/>
        <v>0</v>
      </c>
      <c r="P72" s="215">
        <f t="shared" si="55"/>
        <v>0</v>
      </c>
      <c r="Q72" s="114">
        <f>SUM(D72:P72)</f>
        <v>0</v>
      </c>
      <c r="R72" s="87"/>
      <c r="S72" s="87"/>
      <c r="T72" s="86"/>
      <c r="U72" s="86"/>
      <c r="V72" s="86"/>
      <c r="W72" s="86"/>
    </row>
    <row r="73" spans="1:23">
      <c r="A73" s="22">
        <f t="shared" si="48"/>
        <v>77</v>
      </c>
      <c r="B73" s="747" t="str">
        <f>"Feriepengeberegningsgrundlag, jan-dec "&amp;MID($C$1,3,2)+1</f>
        <v>Feriepengeberegningsgrundlag, jan-dec 25</v>
      </c>
      <c r="C73" s="1211"/>
      <c r="D73" s="1212"/>
      <c r="E73" s="748">
        <f>(SUM(E34:E41)+E56+E57)*(1-12/260*E14)</f>
        <v>0</v>
      </c>
      <c r="F73" s="748">
        <f>(SUM(F34:F41)+F56+F57)*(1-12/260*F14)</f>
        <v>0</v>
      </c>
      <c r="G73" s="748">
        <f>(SUM(G34:G41)+G56+G57)*(1-12/260*G14)</f>
        <v>0</v>
      </c>
      <c r="H73" s="748">
        <f>(SUM(H34:H41)+H56+H57)*(1-12/260*H14)</f>
        <v>0</v>
      </c>
      <c r="I73" s="748">
        <f>(SUM(I34:I41)+I56+I57)*(1-12/260*I14)</f>
        <v>0</v>
      </c>
      <c r="J73" s="135" t="s">
        <v>220</v>
      </c>
      <c r="K73" s="118"/>
      <c r="L73" s="118"/>
      <c r="M73" s="118"/>
      <c r="N73" s="118"/>
      <c r="O73" s="118"/>
      <c r="P73" s="118"/>
      <c r="Q73" s="749">
        <f>SUM(D73:I73)</f>
        <v>0</v>
      </c>
      <c r="R73" s="122"/>
      <c r="S73" s="122"/>
      <c r="T73" s="86"/>
      <c r="U73" s="86"/>
      <c r="V73" s="86"/>
      <c r="W73" s="86"/>
    </row>
    <row r="74" spans="1:23">
      <c r="A74" s="22">
        <f t="shared" si="48"/>
        <v>78</v>
      </c>
      <c r="B74" s="750" t="str">
        <f>"Feriepengeberegningsgrundlag, jan-dec "&amp;MID($C$1,3,2)+2</f>
        <v>Feriepengeberegningsgrundlag, jan-dec 26</v>
      </c>
      <c r="C74" s="843"/>
      <c r="D74" s="834"/>
      <c r="E74" s="136" t="s">
        <v>220</v>
      </c>
      <c r="F74" s="131"/>
      <c r="G74" s="131"/>
      <c r="H74" s="131"/>
      <c r="I74" s="133"/>
      <c r="J74" s="733">
        <f t="shared" ref="J74:P74" si="56">(SUM(J$34:J$41)+J$56+J57)*(1-12/260*J$14)</f>
        <v>0</v>
      </c>
      <c r="K74" s="733">
        <f t="shared" si="56"/>
        <v>0</v>
      </c>
      <c r="L74" s="733">
        <f t="shared" si="56"/>
        <v>0</v>
      </c>
      <c r="M74" s="733">
        <f t="shared" si="56"/>
        <v>0</v>
      </c>
      <c r="N74" s="733">
        <f t="shared" si="56"/>
        <v>0</v>
      </c>
      <c r="O74" s="733">
        <f t="shared" si="56"/>
        <v>0</v>
      </c>
      <c r="P74" s="733">
        <f t="shared" si="56"/>
        <v>0</v>
      </c>
      <c r="Q74" s="751">
        <f t="shared" si="41"/>
        <v>0</v>
      </c>
      <c r="R74" s="122"/>
      <c r="S74" s="122"/>
      <c r="T74" s="86"/>
      <c r="U74" s="86"/>
      <c r="V74" s="86"/>
      <c r="W74" s="86"/>
    </row>
    <row r="75" spans="1:23" s="119" customFormat="1">
      <c r="A75" s="22">
        <f t="shared" si="48"/>
        <v>79</v>
      </c>
      <c r="B75" s="128" t="s">
        <v>221</v>
      </c>
      <c r="C75" s="223"/>
      <c r="D75" s="837"/>
      <c r="E75" s="216">
        <f t="shared" ref="E75:P75" si="57">IF(E8&gt;0,(E34+E36+E37+E38)/E8,0)</f>
        <v>0</v>
      </c>
      <c r="F75" s="216">
        <f t="shared" si="57"/>
        <v>0</v>
      </c>
      <c r="G75" s="216">
        <f t="shared" si="57"/>
        <v>0</v>
      </c>
      <c r="H75" s="216">
        <f t="shared" si="57"/>
        <v>0</v>
      </c>
      <c r="I75" s="216">
        <f t="shared" si="57"/>
        <v>0</v>
      </c>
      <c r="J75" s="216">
        <f t="shared" si="57"/>
        <v>0</v>
      </c>
      <c r="K75" s="216">
        <f t="shared" si="57"/>
        <v>0</v>
      </c>
      <c r="L75" s="216">
        <f t="shared" si="57"/>
        <v>0</v>
      </c>
      <c r="M75" s="216">
        <f t="shared" si="57"/>
        <v>0</v>
      </c>
      <c r="N75" s="216">
        <f t="shared" si="57"/>
        <v>0</v>
      </c>
      <c r="O75" s="216">
        <f t="shared" si="57"/>
        <v>0</v>
      </c>
      <c r="P75" s="216">
        <f t="shared" si="57"/>
        <v>0</v>
      </c>
      <c r="Q75" s="130"/>
      <c r="R75" s="86"/>
      <c r="S75" s="86"/>
      <c r="T75" s="86"/>
      <c r="U75" s="86"/>
      <c r="V75" s="86"/>
      <c r="W75" s="86"/>
    </row>
    <row r="76" spans="1:23" s="119" customFormat="1">
      <c r="A76" s="22">
        <f t="shared" si="48"/>
        <v>80</v>
      </c>
      <c r="B76" s="119" t="s">
        <v>252</v>
      </c>
      <c r="C76" s="838"/>
      <c r="D76" s="839"/>
      <c r="E76" s="120">
        <f t="shared" ref="E76:P76" si="58">IF(E8&gt;0,(E48+E50+E51+E52)/E8,0)</f>
        <v>0</v>
      </c>
      <c r="F76" s="120">
        <f t="shared" si="58"/>
        <v>0</v>
      </c>
      <c r="G76" s="120">
        <f t="shared" si="58"/>
        <v>0</v>
      </c>
      <c r="H76" s="120">
        <f t="shared" si="58"/>
        <v>0</v>
      </c>
      <c r="I76" s="120">
        <f t="shared" si="58"/>
        <v>0</v>
      </c>
      <c r="J76" s="120">
        <f t="shared" si="58"/>
        <v>0</v>
      </c>
      <c r="K76" s="120">
        <f t="shared" si="58"/>
        <v>0</v>
      </c>
      <c r="L76" s="120">
        <f t="shared" si="58"/>
        <v>0</v>
      </c>
      <c r="M76" s="120">
        <f t="shared" si="58"/>
        <v>0</v>
      </c>
      <c r="N76" s="120">
        <f t="shared" si="58"/>
        <v>0</v>
      </c>
      <c r="O76" s="120">
        <f t="shared" si="58"/>
        <v>0</v>
      </c>
      <c r="P76" s="120">
        <f t="shared" si="58"/>
        <v>0</v>
      </c>
      <c r="R76" s="86"/>
      <c r="S76" s="86"/>
      <c r="T76" s="86"/>
      <c r="U76" s="86"/>
      <c r="V76" s="86"/>
      <c r="W76" s="86"/>
    </row>
    <row r="77" spans="1:23">
      <c r="R77" s="86"/>
      <c r="S77" s="86"/>
      <c r="T77" s="86"/>
      <c r="U77" s="86"/>
      <c r="V77" s="86"/>
      <c r="W77" s="86"/>
    </row>
    <row r="78" spans="1:23" s="3" customFormat="1">
      <c r="A78" s="87"/>
      <c r="B78" s="86"/>
      <c r="C78" s="86"/>
      <c r="D78" s="86"/>
      <c r="E78" s="115"/>
      <c r="F78" s="115"/>
      <c r="G78" s="115"/>
      <c r="H78" s="115"/>
      <c r="I78" s="115"/>
      <c r="J78" s="115"/>
      <c r="K78" s="115"/>
      <c r="L78" s="115"/>
      <c r="M78" s="115"/>
      <c r="N78" s="115"/>
      <c r="O78" s="115"/>
      <c r="P78" s="115"/>
      <c r="Q78" s="86"/>
      <c r="R78" s="86"/>
      <c r="S78" s="86"/>
      <c r="T78" s="86"/>
      <c r="U78" s="86"/>
      <c r="V78" s="86"/>
      <c r="W78" s="86"/>
    </row>
    <row r="79" spans="1:23" s="3" customFormat="1">
      <c r="A79" s="87"/>
      <c r="B79" s="86"/>
      <c r="C79" s="86"/>
      <c r="D79" s="86"/>
      <c r="E79" s="115"/>
      <c r="F79" s="88"/>
      <c r="G79" s="88"/>
      <c r="H79" s="88"/>
      <c r="I79" s="88"/>
      <c r="J79" s="88"/>
      <c r="K79" s="88"/>
      <c r="L79" s="88"/>
      <c r="M79" s="88"/>
      <c r="N79" s="88"/>
      <c r="O79" s="88"/>
      <c r="P79" s="88"/>
      <c r="Q79" s="86"/>
      <c r="R79" s="86"/>
      <c r="S79" s="86"/>
      <c r="T79" s="86"/>
      <c r="U79" s="86"/>
      <c r="V79" s="86"/>
      <c r="W79" s="86"/>
    </row>
    <row r="80" spans="1:23" s="3" customFormat="1">
      <c r="A80" s="87"/>
      <c r="B80" s="86"/>
      <c r="C80" s="86"/>
      <c r="D80" s="86"/>
      <c r="E80" s="88"/>
      <c r="F80" s="88"/>
      <c r="G80" s="88"/>
      <c r="H80" s="88"/>
      <c r="I80" s="88"/>
      <c r="J80" s="88"/>
      <c r="K80" s="88"/>
      <c r="L80" s="88"/>
      <c r="M80" s="88"/>
      <c r="N80" s="88"/>
      <c r="O80" s="88"/>
      <c r="P80" s="88"/>
      <c r="Q80" s="86"/>
      <c r="R80" s="86"/>
      <c r="S80" s="86"/>
      <c r="T80" s="86"/>
      <c r="U80" s="86"/>
      <c r="V80" s="86"/>
      <c r="W80" s="86"/>
    </row>
    <row r="81" spans="1:23" s="3" customFormat="1">
      <c r="A81" s="87"/>
      <c r="B81" s="86"/>
      <c r="C81" s="86"/>
      <c r="D81" s="86"/>
      <c r="E81" s="88"/>
      <c r="F81" s="88"/>
      <c r="G81" s="88"/>
      <c r="H81" s="88"/>
      <c r="I81" s="88"/>
      <c r="J81" s="88"/>
      <c r="K81" s="88"/>
      <c r="L81" s="88"/>
      <c r="M81" s="88"/>
      <c r="N81" s="88"/>
      <c r="O81" s="88"/>
      <c r="P81" s="88"/>
      <c r="Q81" s="86"/>
      <c r="R81" s="86"/>
      <c r="S81" s="86"/>
      <c r="T81" s="86"/>
      <c r="U81" s="86"/>
      <c r="V81" s="86"/>
      <c r="W81" s="86"/>
    </row>
    <row r="82" spans="1:23" s="3" customFormat="1">
      <c r="A82" s="87"/>
      <c r="B82" s="86"/>
      <c r="C82" s="86"/>
      <c r="D82" s="86"/>
      <c r="E82" s="88"/>
      <c r="F82" s="88"/>
      <c r="G82" s="88"/>
      <c r="H82" s="88"/>
      <c r="I82" s="88"/>
      <c r="J82" s="88"/>
      <c r="K82" s="88"/>
      <c r="L82" s="88"/>
      <c r="M82" s="88"/>
      <c r="N82" s="88"/>
      <c r="O82" s="88"/>
      <c r="P82" s="88"/>
      <c r="Q82" s="86"/>
      <c r="R82" s="86"/>
      <c r="S82" s="86"/>
      <c r="T82" s="86"/>
      <c r="U82" s="86"/>
      <c r="V82" s="86"/>
      <c r="W82" s="86"/>
    </row>
    <row r="83" spans="1:23">
      <c r="A83" s="82"/>
      <c r="B83" s="83"/>
      <c r="C83" s="83"/>
      <c r="D83" s="83"/>
      <c r="E83" s="84"/>
      <c r="F83" s="84"/>
      <c r="G83" s="84"/>
      <c r="H83" s="84"/>
      <c r="I83" s="84"/>
      <c r="J83" s="84"/>
      <c r="K83" s="84"/>
      <c r="L83" s="84"/>
      <c r="M83" s="84"/>
      <c r="N83" s="84"/>
      <c r="O83" s="84"/>
      <c r="P83" s="84"/>
      <c r="Q83" s="83"/>
    </row>
    <row r="84" spans="1:23">
      <c r="A84" s="82"/>
      <c r="B84" s="83"/>
      <c r="C84" s="83"/>
      <c r="D84" s="83"/>
      <c r="E84" s="84"/>
      <c r="F84" s="84"/>
      <c r="G84" s="84"/>
      <c r="H84" s="84"/>
      <c r="I84" s="84"/>
      <c r="J84" s="84"/>
      <c r="K84" s="84"/>
      <c r="L84" s="84"/>
      <c r="M84" s="84"/>
      <c r="N84" s="84"/>
      <c r="O84" s="84"/>
      <c r="P84" s="84"/>
      <c r="Q84" s="83"/>
    </row>
    <row r="85" spans="1:23">
      <c r="A85" s="82"/>
      <c r="B85" s="83"/>
      <c r="C85" s="83"/>
      <c r="D85" s="83"/>
      <c r="E85" s="84"/>
      <c r="F85" s="84"/>
      <c r="G85" s="84"/>
      <c r="H85" s="84"/>
      <c r="I85" s="84"/>
      <c r="J85" s="84"/>
      <c r="K85" s="84"/>
      <c r="L85" s="84"/>
      <c r="M85" s="84"/>
      <c r="N85" s="84"/>
      <c r="O85" s="84"/>
      <c r="P85" s="84"/>
      <c r="Q85" s="83"/>
    </row>
    <row r="86" spans="1:23">
      <c r="A86" s="82"/>
      <c r="B86" s="83"/>
      <c r="C86" s="83"/>
      <c r="D86" s="83"/>
      <c r="E86" s="84"/>
      <c r="F86" s="84"/>
      <c r="G86" s="84"/>
      <c r="H86" s="84"/>
      <c r="I86" s="84"/>
      <c r="J86" s="84"/>
      <c r="K86" s="84"/>
      <c r="L86" s="84"/>
      <c r="M86" s="84"/>
      <c r="N86" s="84"/>
      <c r="O86" s="84"/>
      <c r="P86" s="84"/>
      <c r="Q86" s="83"/>
    </row>
    <row r="87" spans="1:23">
      <c r="A87" s="82"/>
      <c r="B87" s="83"/>
      <c r="C87" s="83"/>
      <c r="D87" s="83"/>
      <c r="E87" s="84"/>
      <c r="F87" s="84"/>
      <c r="G87" s="84"/>
      <c r="H87" s="84"/>
      <c r="I87" s="84"/>
      <c r="J87" s="84"/>
      <c r="K87" s="84"/>
      <c r="L87" s="84"/>
      <c r="M87" s="84"/>
      <c r="N87" s="84"/>
      <c r="O87" s="84"/>
      <c r="P87" s="84"/>
      <c r="Q87" s="83"/>
    </row>
    <row r="88" spans="1:23">
      <c r="A88" s="82"/>
      <c r="B88" s="83"/>
      <c r="C88" s="83"/>
      <c r="D88" s="83"/>
      <c r="E88" s="84"/>
      <c r="F88" s="84"/>
      <c r="G88" s="84"/>
      <c r="H88" s="84"/>
      <c r="I88" s="84"/>
      <c r="J88" s="84"/>
      <c r="K88" s="84"/>
      <c r="L88" s="84"/>
      <c r="M88" s="84"/>
      <c r="N88" s="84"/>
      <c r="O88" s="84"/>
      <c r="P88" s="84"/>
      <c r="Q88" s="83"/>
    </row>
    <row r="89" spans="1:23">
      <c r="A89" s="82"/>
      <c r="B89" s="83"/>
      <c r="C89" s="83"/>
      <c r="D89" s="83"/>
      <c r="E89" s="84"/>
      <c r="F89" s="84"/>
      <c r="G89" s="84"/>
      <c r="H89" s="84"/>
      <c r="I89" s="84"/>
      <c r="J89" s="84"/>
      <c r="K89" s="84"/>
      <c r="L89" s="84"/>
      <c r="M89" s="84"/>
      <c r="N89" s="84"/>
      <c r="O89" s="84"/>
      <c r="P89" s="84"/>
      <c r="Q89" s="83"/>
    </row>
    <row r="90" spans="1:23">
      <c r="A90" s="82"/>
      <c r="B90" s="83"/>
      <c r="C90" s="83"/>
      <c r="D90" s="83"/>
      <c r="E90" s="84"/>
      <c r="F90" s="84"/>
      <c r="G90" s="84"/>
      <c r="H90" s="84"/>
      <c r="I90" s="84"/>
      <c r="J90" s="84"/>
      <c r="K90" s="84"/>
      <c r="L90" s="84"/>
      <c r="M90" s="84"/>
      <c r="N90" s="84"/>
      <c r="O90" s="84"/>
      <c r="P90" s="84"/>
      <c r="Q90" s="83"/>
    </row>
    <row r="91" spans="1:23">
      <c r="A91" s="82"/>
      <c r="B91" s="83"/>
      <c r="C91" s="83"/>
      <c r="D91" s="83"/>
      <c r="E91" s="84"/>
      <c r="F91" s="84"/>
      <c r="G91" s="84"/>
      <c r="H91" s="84"/>
      <c r="I91" s="84"/>
      <c r="J91" s="84"/>
      <c r="K91" s="84"/>
      <c r="L91" s="84"/>
      <c r="M91" s="84"/>
      <c r="N91" s="84"/>
      <c r="O91" s="84"/>
      <c r="P91" s="84"/>
      <c r="Q91" s="83"/>
    </row>
    <row r="92" spans="1:23">
      <c r="A92" s="82"/>
      <c r="B92" s="83"/>
      <c r="C92" s="83"/>
      <c r="D92" s="83"/>
      <c r="E92" s="84"/>
      <c r="F92" s="84"/>
      <c r="G92" s="84"/>
      <c r="H92" s="84"/>
      <c r="I92" s="84"/>
      <c r="J92" s="84"/>
      <c r="K92" s="84"/>
      <c r="L92" s="84"/>
      <c r="M92" s="84"/>
      <c r="N92" s="84"/>
      <c r="O92" s="84"/>
      <c r="P92" s="84"/>
      <c r="Q92" s="83"/>
    </row>
    <row r="93" spans="1:23">
      <c r="A93" s="82"/>
      <c r="B93" s="83"/>
      <c r="C93" s="83"/>
      <c r="D93" s="83"/>
      <c r="E93" s="84"/>
      <c r="F93" s="84"/>
      <c r="G93" s="84"/>
      <c r="H93" s="84"/>
      <c r="I93" s="84"/>
      <c r="J93" s="84"/>
      <c r="K93" s="84"/>
      <c r="L93" s="84"/>
      <c r="M93" s="84"/>
      <c r="N93" s="84"/>
      <c r="O93" s="84"/>
      <c r="P93" s="84"/>
      <c r="Q93" s="83"/>
    </row>
    <row r="94" spans="1:23">
      <c r="A94" s="82"/>
      <c r="B94" s="83"/>
      <c r="C94" s="83"/>
      <c r="D94" s="83"/>
      <c r="E94" s="84"/>
      <c r="F94" s="84"/>
      <c r="G94" s="84"/>
      <c r="H94" s="84"/>
      <c r="I94" s="84"/>
      <c r="J94" s="84"/>
      <c r="K94" s="84"/>
      <c r="L94" s="84"/>
      <c r="M94" s="84"/>
      <c r="N94" s="84"/>
      <c r="O94" s="84"/>
      <c r="P94" s="84"/>
      <c r="Q94" s="83"/>
    </row>
    <row r="95" spans="1:23">
      <c r="A95" s="82"/>
      <c r="B95" s="83"/>
      <c r="C95" s="83"/>
      <c r="D95" s="83"/>
      <c r="E95" s="84"/>
      <c r="F95" s="84"/>
      <c r="G95" s="84"/>
      <c r="H95" s="84"/>
      <c r="I95" s="84"/>
      <c r="J95" s="84"/>
      <c r="K95" s="84"/>
      <c r="L95" s="84"/>
      <c r="M95" s="84"/>
      <c r="N95" s="84"/>
      <c r="O95" s="84"/>
      <c r="P95" s="84"/>
      <c r="Q95" s="83"/>
    </row>
    <row r="96" spans="1:23">
      <c r="A96" s="82"/>
      <c r="B96" s="83"/>
      <c r="C96" s="83"/>
      <c r="D96" s="83"/>
      <c r="E96" s="84"/>
      <c r="F96" s="84"/>
      <c r="G96" s="84"/>
      <c r="H96" s="84"/>
      <c r="I96" s="84"/>
      <c r="J96" s="84"/>
      <c r="K96" s="84"/>
      <c r="L96" s="84"/>
      <c r="M96" s="84"/>
      <c r="N96" s="84"/>
      <c r="O96" s="84"/>
      <c r="P96" s="84"/>
      <c r="Q96" s="83"/>
    </row>
    <row r="97" spans="1:17">
      <c r="A97" s="82"/>
      <c r="B97" s="83"/>
      <c r="C97" s="83"/>
      <c r="D97" s="83"/>
      <c r="E97" s="84"/>
      <c r="F97" s="84"/>
      <c r="G97" s="84"/>
      <c r="H97" s="84"/>
      <c r="I97" s="84"/>
      <c r="J97" s="84"/>
      <c r="K97" s="84"/>
      <c r="L97" s="84"/>
      <c r="M97" s="84"/>
      <c r="N97" s="84"/>
      <c r="O97" s="84"/>
      <c r="P97" s="84"/>
      <c r="Q97" s="83"/>
    </row>
    <row r="98" spans="1:17">
      <c r="A98" s="82"/>
      <c r="B98" s="83"/>
      <c r="C98" s="83"/>
      <c r="D98" s="83"/>
      <c r="E98" s="84"/>
      <c r="F98" s="84"/>
      <c r="G98" s="84"/>
      <c r="H98" s="84"/>
      <c r="I98" s="84"/>
      <c r="J98" s="84"/>
      <c r="K98" s="84"/>
      <c r="L98" s="84"/>
      <c r="M98" s="84"/>
      <c r="N98" s="84"/>
      <c r="O98" s="84"/>
      <c r="P98" s="84"/>
      <c r="Q98" s="83"/>
    </row>
    <row r="99" spans="1:17">
      <c r="A99" s="82"/>
      <c r="B99" s="83"/>
      <c r="C99" s="83"/>
      <c r="D99" s="83"/>
      <c r="E99" s="84"/>
      <c r="F99" s="84"/>
      <c r="G99" s="84"/>
      <c r="H99" s="84"/>
      <c r="I99" s="84"/>
      <c r="J99" s="84"/>
      <c r="K99" s="84"/>
      <c r="L99" s="84"/>
      <c r="M99" s="84"/>
      <c r="N99" s="84"/>
      <c r="O99" s="84"/>
      <c r="P99" s="84"/>
      <c r="Q99" s="83"/>
    </row>
    <row r="100" spans="1:17">
      <c r="A100" s="82"/>
      <c r="B100" s="83"/>
      <c r="C100" s="83"/>
      <c r="D100" s="83"/>
      <c r="E100" s="84"/>
      <c r="F100" s="84"/>
      <c r="G100" s="84"/>
      <c r="H100" s="84"/>
      <c r="I100" s="84"/>
      <c r="J100" s="84"/>
      <c r="K100" s="84"/>
      <c r="L100" s="84"/>
      <c r="M100" s="84"/>
      <c r="N100" s="84"/>
      <c r="O100" s="84"/>
      <c r="P100" s="84"/>
      <c r="Q100" s="83"/>
    </row>
    <row r="101" spans="1:17">
      <c r="A101" s="82"/>
      <c r="B101" s="83"/>
      <c r="C101" s="83"/>
      <c r="D101" s="83"/>
      <c r="E101" s="84"/>
      <c r="F101" s="84"/>
      <c r="G101" s="84"/>
      <c r="H101" s="84"/>
      <c r="I101" s="84"/>
      <c r="J101" s="84"/>
      <c r="K101" s="84"/>
      <c r="L101" s="84"/>
      <c r="M101" s="84"/>
      <c r="N101" s="84"/>
      <c r="O101" s="84"/>
      <c r="P101" s="84"/>
      <c r="Q101" s="83"/>
    </row>
    <row r="102" spans="1:17">
      <c r="A102" s="82"/>
      <c r="B102" s="83"/>
      <c r="C102" s="83"/>
      <c r="D102" s="83"/>
      <c r="E102" s="84"/>
      <c r="F102" s="84"/>
      <c r="G102" s="84"/>
      <c r="H102" s="84"/>
      <c r="I102" s="84"/>
      <c r="J102" s="84"/>
      <c r="K102" s="84"/>
      <c r="L102" s="84"/>
      <c r="M102" s="84"/>
      <c r="N102" s="84"/>
      <c r="O102" s="84"/>
      <c r="P102" s="84"/>
      <c r="Q102" s="83"/>
    </row>
    <row r="103" spans="1:17">
      <c r="A103" s="82"/>
      <c r="B103" s="83"/>
      <c r="C103" s="83"/>
      <c r="D103" s="83"/>
      <c r="E103" s="84"/>
      <c r="F103" s="84"/>
      <c r="G103" s="84"/>
      <c r="H103" s="84"/>
      <c r="I103" s="84"/>
      <c r="J103" s="84"/>
      <c r="K103" s="84"/>
      <c r="L103" s="84"/>
      <c r="M103" s="84"/>
      <c r="N103" s="84"/>
      <c r="O103" s="84"/>
      <c r="P103" s="84"/>
      <c r="Q103" s="83"/>
    </row>
    <row r="104" spans="1:17">
      <c r="A104" s="82"/>
      <c r="B104" s="83"/>
      <c r="C104" s="83"/>
      <c r="D104" s="83"/>
      <c r="E104" s="84"/>
      <c r="F104" s="84"/>
      <c r="G104" s="84"/>
      <c r="H104" s="84"/>
      <c r="I104" s="84"/>
      <c r="J104" s="84"/>
      <c r="K104" s="84"/>
      <c r="L104" s="84"/>
      <c r="M104" s="84"/>
      <c r="N104" s="84"/>
      <c r="O104" s="84"/>
      <c r="P104" s="84"/>
      <c r="Q104" s="83"/>
    </row>
    <row r="105" spans="1:17">
      <c r="A105" s="82"/>
      <c r="B105" s="83"/>
      <c r="C105" s="83"/>
      <c r="D105" s="83"/>
      <c r="E105" s="84"/>
      <c r="F105" s="84"/>
      <c r="G105" s="84"/>
      <c r="H105" s="84"/>
      <c r="I105" s="84"/>
      <c r="J105" s="84"/>
      <c r="K105" s="84"/>
      <c r="L105" s="84"/>
      <c r="M105" s="84"/>
      <c r="N105" s="84"/>
      <c r="O105" s="84"/>
      <c r="P105" s="84"/>
      <c r="Q105" s="83"/>
    </row>
    <row r="106" spans="1:17">
      <c r="A106" s="82"/>
      <c r="B106" s="83"/>
      <c r="C106" s="83"/>
      <c r="D106" s="83"/>
      <c r="E106" s="84"/>
      <c r="F106" s="84"/>
      <c r="G106" s="84"/>
      <c r="H106" s="84"/>
      <c r="I106" s="84"/>
      <c r="J106" s="84"/>
      <c r="K106" s="84"/>
      <c r="L106" s="84"/>
      <c r="M106" s="84"/>
      <c r="N106" s="84"/>
      <c r="O106" s="84"/>
      <c r="P106" s="84"/>
      <c r="Q106" s="83"/>
    </row>
    <row r="107" spans="1:17">
      <c r="A107" s="82"/>
      <c r="B107" s="83"/>
      <c r="C107" s="83"/>
      <c r="D107" s="83"/>
      <c r="E107" s="84"/>
      <c r="F107" s="84"/>
      <c r="G107" s="84"/>
      <c r="H107" s="84"/>
      <c r="I107" s="84"/>
      <c r="J107" s="84"/>
      <c r="K107" s="84"/>
      <c r="L107" s="84"/>
      <c r="M107" s="84"/>
      <c r="N107" s="84"/>
      <c r="O107" s="84"/>
      <c r="P107" s="84"/>
      <c r="Q107" s="83"/>
    </row>
    <row r="108" spans="1:17">
      <c r="A108" s="82"/>
      <c r="B108" s="83"/>
      <c r="C108" s="83"/>
      <c r="D108" s="83"/>
      <c r="E108" s="84"/>
      <c r="F108" s="84"/>
      <c r="G108" s="84"/>
      <c r="H108" s="84"/>
      <c r="I108" s="84"/>
      <c r="J108" s="84"/>
      <c r="K108" s="84"/>
      <c r="L108" s="84"/>
      <c r="M108" s="84"/>
      <c r="N108" s="84"/>
      <c r="O108" s="84"/>
      <c r="P108" s="84"/>
      <c r="Q108" s="83"/>
    </row>
    <row r="109" spans="1:17">
      <c r="A109" s="82"/>
      <c r="B109" s="83"/>
      <c r="C109" s="83"/>
      <c r="D109" s="83"/>
      <c r="E109" s="84"/>
      <c r="F109" s="84"/>
      <c r="G109" s="84"/>
      <c r="H109" s="84"/>
      <c r="I109" s="84"/>
      <c r="J109" s="84"/>
      <c r="K109" s="84"/>
      <c r="L109" s="84"/>
      <c r="M109" s="84"/>
      <c r="N109" s="84"/>
      <c r="O109" s="84"/>
      <c r="P109" s="84"/>
      <c r="Q109" s="83"/>
    </row>
    <row r="110" spans="1:17">
      <c r="A110" s="82"/>
      <c r="B110" s="83"/>
      <c r="C110" s="83"/>
      <c r="D110" s="83"/>
      <c r="E110" s="84"/>
      <c r="F110" s="84"/>
      <c r="G110" s="84"/>
      <c r="H110" s="84"/>
      <c r="I110" s="84"/>
      <c r="J110" s="84"/>
      <c r="K110" s="84"/>
      <c r="L110" s="84"/>
      <c r="M110" s="84"/>
      <c r="N110" s="84"/>
      <c r="O110" s="84"/>
      <c r="P110" s="84"/>
      <c r="Q110" s="83"/>
    </row>
    <row r="111" spans="1:17">
      <c r="A111" s="82"/>
      <c r="B111" s="83"/>
      <c r="C111" s="83"/>
      <c r="D111" s="83"/>
      <c r="E111" s="84"/>
      <c r="F111" s="84"/>
      <c r="G111" s="84"/>
      <c r="H111" s="84"/>
      <c r="I111" s="84"/>
      <c r="J111" s="84"/>
      <c r="K111" s="84"/>
      <c r="L111" s="84"/>
      <c r="M111" s="84"/>
      <c r="N111" s="84"/>
      <c r="O111" s="84"/>
      <c r="P111" s="84"/>
      <c r="Q111" s="83"/>
    </row>
    <row r="112" spans="1:17">
      <c r="A112" s="82"/>
      <c r="B112" s="83"/>
      <c r="C112" s="83"/>
      <c r="D112" s="83"/>
      <c r="E112" s="84"/>
      <c r="F112" s="84"/>
      <c r="G112" s="84"/>
      <c r="H112" s="84"/>
      <c r="I112" s="84"/>
      <c r="J112" s="84"/>
      <c r="K112" s="84"/>
      <c r="L112" s="84"/>
      <c r="M112" s="84"/>
      <c r="N112" s="84"/>
      <c r="O112" s="84"/>
      <c r="P112" s="84"/>
      <c r="Q112" s="83"/>
    </row>
    <row r="113" spans="1:17">
      <c r="A113" s="82"/>
      <c r="B113" s="83"/>
      <c r="C113" s="83"/>
      <c r="D113" s="83"/>
      <c r="E113" s="84"/>
      <c r="F113" s="84"/>
      <c r="G113" s="84"/>
      <c r="H113" s="84"/>
      <c r="I113" s="84"/>
      <c r="J113" s="84"/>
      <c r="K113" s="84"/>
      <c r="L113" s="84"/>
      <c r="M113" s="84"/>
      <c r="N113" s="84"/>
      <c r="O113" s="84"/>
      <c r="P113" s="84"/>
      <c r="Q113" s="83"/>
    </row>
    <row r="114" spans="1:17">
      <c r="A114" s="82"/>
      <c r="B114" s="83"/>
      <c r="C114" s="83"/>
      <c r="D114" s="83"/>
      <c r="E114" s="84"/>
      <c r="F114" s="84"/>
      <c r="G114" s="84"/>
      <c r="H114" s="84"/>
      <c r="I114" s="84"/>
      <c r="J114" s="84"/>
      <c r="K114" s="84"/>
      <c r="L114" s="84"/>
      <c r="M114" s="84"/>
      <c r="N114" s="84"/>
      <c r="O114" s="84"/>
      <c r="P114" s="84"/>
      <c r="Q114" s="83"/>
    </row>
    <row r="115" spans="1:17">
      <c r="A115" s="82"/>
      <c r="B115" s="83"/>
      <c r="C115" s="83"/>
      <c r="D115" s="83"/>
      <c r="E115" s="84"/>
      <c r="F115" s="84"/>
      <c r="G115" s="84"/>
      <c r="H115" s="84"/>
      <c r="I115" s="84"/>
      <c r="J115" s="84"/>
      <c r="K115" s="84"/>
      <c r="L115" s="84"/>
      <c r="M115" s="84"/>
      <c r="N115" s="84"/>
      <c r="O115" s="84"/>
      <c r="P115" s="84"/>
      <c r="Q115" s="83"/>
    </row>
    <row r="116" spans="1:17">
      <c r="A116" s="82"/>
      <c r="B116" s="83"/>
      <c r="C116" s="83"/>
      <c r="D116" s="83"/>
      <c r="E116" s="84"/>
      <c r="F116" s="84"/>
      <c r="G116" s="84"/>
      <c r="H116" s="84"/>
      <c r="I116" s="84"/>
      <c r="J116" s="84"/>
      <c r="K116" s="84"/>
      <c r="L116" s="84"/>
      <c r="M116" s="84"/>
      <c r="N116" s="84"/>
      <c r="O116" s="84"/>
      <c r="P116" s="84"/>
      <c r="Q116" s="83"/>
    </row>
    <row r="117" spans="1:17">
      <c r="A117" s="82"/>
      <c r="B117" s="83"/>
      <c r="C117" s="83"/>
      <c r="D117" s="83"/>
      <c r="E117" s="84"/>
      <c r="F117" s="84"/>
      <c r="G117" s="84"/>
      <c r="H117" s="84"/>
      <c r="I117" s="84"/>
      <c r="J117" s="84"/>
      <c r="K117" s="84"/>
      <c r="L117" s="84"/>
      <c r="M117" s="84"/>
      <c r="N117" s="84"/>
      <c r="O117" s="84"/>
      <c r="P117" s="84"/>
      <c r="Q117" s="83"/>
    </row>
    <row r="118" spans="1:17">
      <c r="A118" s="82"/>
      <c r="B118" s="83"/>
      <c r="C118" s="83"/>
      <c r="D118" s="83"/>
      <c r="E118" s="84"/>
      <c r="F118" s="84"/>
      <c r="G118" s="84"/>
      <c r="H118" s="84"/>
      <c r="I118" s="84"/>
      <c r="J118" s="84"/>
      <c r="K118" s="84"/>
      <c r="L118" s="84"/>
      <c r="M118" s="84"/>
      <c r="N118" s="84"/>
      <c r="O118" s="84"/>
      <c r="P118" s="84"/>
      <c r="Q118" s="83"/>
    </row>
    <row r="119" spans="1:17">
      <c r="A119" s="82"/>
      <c r="B119" s="83"/>
      <c r="C119" s="83"/>
      <c r="D119" s="83"/>
      <c r="E119" s="84"/>
      <c r="F119" s="84"/>
      <c r="G119" s="84"/>
      <c r="H119" s="84"/>
      <c r="I119" s="84"/>
      <c r="J119" s="84"/>
      <c r="K119" s="84"/>
      <c r="L119" s="84"/>
      <c r="M119" s="84"/>
      <c r="N119" s="84"/>
      <c r="O119" s="84"/>
      <c r="P119" s="84"/>
      <c r="Q119" s="83"/>
    </row>
    <row r="120" spans="1:17">
      <c r="A120" s="82"/>
      <c r="B120" s="83"/>
      <c r="C120" s="83"/>
      <c r="D120" s="83"/>
      <c r="E120" s="84"/>
      <c r="F120" s="84"/>
      <c r="G120" s="84"/>
      <c r="H120" s="84"/>
      <c r="I120" s="84"/>
      <c r="J120" s="84"/>
      <c r="K120" s="84"/>
      <c r="L120" s="84"/>
      <c r="M120" s="84"/>
      <c r="N120" s="84"/>
      <c r="O120" s="84"/>
      <c r="P120" s="84"/>
      <c r="Q120" s="83"/>
    </row>
    <row r="121" spans="1:17">
      <c r="A121" s="82"/>
      <c r="B121" s="83"/>
      <c r="C121" s="83"/>
      <c r="D121" s="83"/>
      <c r="E121" s="84"/>
      <c r="F121" s="84"/>
      <c r="G121" s="84"/>
      <c r="H121" s="84"/>
      <c r="I121" s="84"/>
      <c r="J121" s="84"/>
      <c r="K121" s="84"/>
      <c r="L121" s="84"/>
      <c r="M121" s="84"/>
      <c r="N121" s="84"/>
      <c r="O121" s="84"/>
      <c r="P121" s="84"/>
      <c r="Q121" s="83"/>
    </row>
    <row r="122" spans="1:17">
      <c r="A122" s="82"/>
      <c r="B122" s="83"/>
      <c r="C122" s="83"/>
      <c r="D122" s="83"/>
      <c r="E122" s="84"/>
      <c r="F122" s="84"/>
      <c r="G122" s="84"/>
      <c r="H122" s="84"/>
      <c r="I122" s="84"/>
      <c r="J122" s="84"/>
      <c r="K122" s="84"/>
      <c r="L122" s="84"/>
      <c r="M122" s="84"/>
      <c r="N122" s="84"/>
      <c r="O122" s="84"/>
      <c r="P122" s="84"/>
      <c r="Q122" s="83"/>
    </row>
    <row r="123" spans="1:17">
      <c r="A123" s="82"/>
      <c r="B123" s="83"/>
      <c r="C123" s="83"/>
      <c r="D123" s="83"/>
      <c r="E123" s="84"/>
      <c r="F123" s="84"/>
      <c r="G123" s="84"/>
      <c r="H123" s="84"/>
      <c r="I123" s="84"/>
      <c r="J123" s="84"/>
      <c r="K123" s="84"/>
      <c r="L123" s="84"/>
      <c r="M123" s="84"/>
      <c r="N123" s="84"/>
      <c r="O123" s="84"/>
      <c r="P123" s="84"/>
      <c r="Q123" s="83"/>
    </row>
    <row r="124" spans="1:17">
      <c r="A124" s="82"/>
      <c r="B124" s="83"/>
      <c r="C124" s="83"/>
      <c r="D124" s="83"/>
      <c r="E124" s="84"/>
      <c r="F124" s="84"/>
      <c r="G124" s="84"/>
      <c r="H124" s="84"/>
      <c r="I124" s="84"/>
      <c r="J124" s="84"/>
      <c r="K124" s="84"/>
      <c r="L124" s="84"/>
      <c r="M124" s="84"/>
      <c r="N124" s="84"/>
      <c r="O124" s="84"/>
      <c r="P124" s="84"/>
      <c r="Q124" s="83"/>
    </row>
    <row r="125" spans="1:17">
      <c r="A125" s="82"/>
      <c r="B125" s="83"/>
      <c r="C125" s="83"/>
      <c r="D125" s="83"/>
      <c r="E125" s="84"/>
      <c r="F125" s="84"/>
      <c r="G125" s="84"/>
      <c r="H125" s="84"/>
      <c r="I125" s="84"/>
      <c r="J125" s="84"/>
      <c r="K125" s="84"/>
      <c r="L125" s="84"/>
      <c r="M125" s="84"/>
      <c r="N125" s="84"/>
      <c r="O125" s="84"/>
      <c r="P125" s="84"/>
      <c r="Q125" s="83"/>
    </row>
    <row r="126" spans="1:17">
      <c r="A126" s="82"/>
      <c r="B126" s="83"/>
      <c r="C126" s="83"/>
      <c r="D126" s="83"/>
      <c r="E126" s="84"/>
      <c r="F126" s="84"/>
      <c r="G126" s="84"/>
      <c r="H126" s="84"/>
      <c r="I126" s="84"/>
      <c r="J126" s="84"/>
      <c r="K126" s="84"/>
      <c r="L126" s="84"/>
      <c r="M126" s="84"/>
      <c r="N126" s="84"/>
      <c r="O126" s="84"/>
      <c r="P126" s="84"/>
      <c r="Q126" s="83"/>
    </row>
    <row r="127" spans="1:17">
      <c r="A127" s="82"/>
      <c r="B127" s="83"/>
      <c r="C127" s="83"/>
      <c r="D127" s="83"/>
      <c r="E127" s="84"/>
      <c r="F127" s="84"/>
      <c r="G127" s="84"/>
      <c r="H127" s="84"/>
      <c r="I127" s="84"/>
      <c r="J127" s="84"/>
      <c r="K127" s="84"/>
      <c r="L127" s="84"/>
      <c r="M127" s="84"/>
      <c r="N127" s="84"/>
      <c r="O127" s="84"/>
      <c r="P127" s="84"/>
      <c r="Q127" s="83"/>
    </row>
    <row r="128" spans="1:17">
      <c r="A128" s="82"/>
      <c r="B128" s="83"/>
      <c r="C128" s="83"/>
      <c r="D128" s="83"/>
      <c r="E128" s="84"/>
      <c r="F128" s="84"/>
      <c r="G128" s="84"/>
      <c r="H128" s="84"/>
      <c r="I128" s="84"/>
      <c r="J128" s="84"/>
      <c r="K128" s="84"/>
      <c r="L128" s="84"/>
      <c r="M128" s="84"/>
      <c r="N128" s="84"/>
      <c r="O128" s="84"/>
      <c r="P128" s="84"/>
      <c r="Q128" s="83"/>
    </row>
    <row r="129" spans="1:17">
      <c r="A129" s="82"/>
      <c r="B129" s="83"/>
      <c r="C129" s="83"/>
      <c r="D129" s="83"/>
      <c r="E129" s="84"/>
      <c r="F129" s="84"/>
      <c r="G129" s="84"/>
      <c r="H129" s="84"/>
      <c r="I129" s="84"/>
      <c r="J129" s="84"/>
      <c r="K129" s="84"/>
      <c r="L129" s="84"/>
      <c r="M129" s="84"/>
      <c r="N129" s="84"/>
      <c r="O129" s="84"/>
      <c r="P129" s="84"/>
      <c r="Q129" s="83"/>
    </row>
    <row r="130" spans="1:17">
      <c r="A130" s="82"/>
      <c r="B130" s="83"/>
      <c r="C130" s="83"/>
      <c r="D130" s="83"/>
      <c r="E130" s="84"/>
      <c r="F130" s="84"/>
      <c r="G130" s="84"/>
      <c r="H130" s="84"/>
      <c r="I130" s="84"/>
      <c r="J130" s="84"/>
      <c r="K130" s="84"/>
      <c r="L130" s="84"/>
      <c r="M130" s="84"/>
      <c r="N130" s="84"/>
      <c r="O130" s="84"/>
      <c r="P130" s="84"/>
      <c r="Q130" s="83"/>
    </row>
    <row r="131" spans="1:17">
      <c r="A131" s="82"/>
      <c r="B131" s="83"/>
      <c r="C131" s="83"/>
      <c r="D131" s="83"/>
      <c r="E131" s="84"/>
      <c r="F131" s="84"/>
      <c r="G131" s="84"/>
      <c r="H131" s="84"/>
      <c r="I131" s="84"/>
      <c r="J131" s="84"/>
      <c r="K131" s="84"/>
      <c r="L131" s="84"/>
      <c r="M131" s="84"/>
      <c r="N131" s="84"/>
      <c r="O131" s="84"/>
      <c r="P131" s="84"/>
      <c r="Q131" s="83"/>
    </row>
    <row r="132" spans="1:17">
      <c r="A132" s="82"/>
      <c r="B132" s="83"/>
      <c r="C132" s="83"/>
      <c r="D132" s="83"/>
      <c r="E132" s="84"/>
      <c r="F132" s="84"/>
      <c r="G132" s="84"/>
      <c r="H132" s="84"/>
      <c r="I132" s="84"/>
      <c r="J132" s="84"/>
      <c r="K132" s="84"/>
      <c r="L132" s="84"/>
      <c r="M132" s="84"/>
      <c r="N132" s="84"/>
      <c r="O132" s="84"/>
      <c r="P132" s="84"/>
      <c r="Q132" s="83"/>
    </row>
    <row r="133" spans="1:17">
      <c r="A133" s="82"/>
      <c r="B133" s="83"/>
      <c r="C133" s="83"/>
      <c r="D133" s="83"/>
      <c r="E133" s="84"/>
      <c r="F133" s="84"/>
      <c r="G133" s="84"/>
      <c r="H133" s="84"/>
      <c r="I133" s="84"/>
      <c r="J133" s="84"/>
      <c r="K133" s="84"/>
      <c r="L133" s="84"/>
      <c r="M133" s="84"/>
      <c r="N133" s="84"/>
      <c r="O133" s="84"/>
      <c r="P133" s="84"/>
      <c r="Q133" s="83"/>
    </row>
    <row r="134" spans="1:17">
      <c r="A134" s="82"/>
      <c r="B134" s="83"/>
      <c r="C134" s="83"/>
      <c r="D134" s="83"/>
      <c r="E134" s="84"/>
      <c r="F134" s="84"/>
      <c r="G134" s="84"/>
      <c r="H134" s="84"/>
      <c r="I134" s="84"/>
      <c r="J134" s="84"/>
      <c r="K134" s="84"/>
      <c r="L134" s="84"/>
      <c r="M134" s="84"/>
      <c r="N134" s="84"/>
      <c r="O134" s="84"/>
      <c r="P134" s="84"/>
      <c r="Q134" s="83"/>
    </row>
    <row r="135" spans="1:17">
      <c r="A135" s="82"/>
      <c r="B135" s="83"/>
      <c r="C135" s="83"/>
      <c r="D135" s="83"/>
      <c r="E135" s="84"/>
      <c r="F135" s="84"/>
      <c r="G135" s="84"/>
      <c r="H135" s="84"/>
      <c r="I135" s="84"/>
      <c r="J135" s="84"/>
      <c r="K135" s="84"/>
      <c r="L135" s="84"/>
      <c r="M135" s="84"/>
      <c r="N135" s="84"/>
      <c r="O135" s="84"/>
      <c r="P135" s="84"/>
      <c r="Q135" s="83"/>
    </row>
    <row r="136" spans="1:17">
      <c r="A136" s="82"/>
      <c r="B136" s="83"/>
      <c r="C136" s="83"/>
      <c r="D136" s="83"/>
      <c r="E136" s="84"/>
      <c r="F136" s="84"/>
      <c r="G136" s="84"/>
      <c r="H136" s="84"/>
      <c r="I136" s="84"/>
      <c r="J136" s="84"/>
      <c r="K136" s="84"/>
      <c r="L136" s="84"/>
      <c r="M136" s="84"/>
      <c r="N136" s="84"/>
      <c r="O136" s="84"/>
      <c r="P136" s="84"/>
      <c r="Q136" s="83"/>
    </row>
    <row r="137" spans="1:17">
      <c r="A137" s="82"/>
      <c r="B137" s="83"/>
      <c r="C137" s="83"/>
      <c r="D137" s="83"/>
      <c r="E137" s="84"/>
      <c r="F137" s="84"/>
      <c r="G137" s="84"/>
      <c r="H137" s="84"/>
      <c r="I137" s="84"/>
      <c r="J137" s="84"/>
      <c r="K137" s="84"/>
      <c r="L137" s="84"/>
      <c r="M137" s="84"/>
      <c r="N137" s="84"/>
      <c r="O137" s="84"/>
      <c r="P137" s="84"/>
      <c r="Q137" s="83"/>
    </row>
    <row r="138" spans="1:17">
      <c r="A138" s="82"/>
      <c r="B138" s="83"/>
      <c r="C138" s="83"/>
      <c r="D138" s="83"/>
      <c r="E138" s="84"/>
      <c r="F138" s="84"/>
      <c r="G138" s="84"/>
      <c r="H138" s="84"/>
      <c r="I138" s="84"/>
      <c r="J138" s="84"/>
      <c r="K138" s="84"/>
      <c r="L138" s="84"/>
      <c r="M138" s="84"/>
      <c r="N138" s="84"/>
      <c r="O138" s="84"/>
      <c r="P138" s="84"/>
      <c r="Q138" s="83"/>
    </row>
    <row r="139" spans="1:17">
      <c r="A139" s="82"/>
      <c r="B139" s="83"/>
      <c r="C139" s="83"/>
      <c r="D139" s="83"/>
      <c r="E139" s="84"/>
      <c r="F139" s="84"/>
      <c r="G139" s="84"/>
      <c r="H139" s="84"/>
      <c r="I139" s="84"/>
      <c r="J139" s="84"/>
      <c r="K139" s="84"/>
      <c r="L139" s="84"/>
      <c r="M139" s="84"/>
      <c r="N139" s="84"/>
      <c r="O139" s="84"/>
      <c r="P139" s="84"/>
      <c r="Q139" s="83"/>
    </row>
    <row r="140" spans="1:17">
      <c r="A140" s="82"/>
      <c r="B140" s="83"/>
      <c r="C140" s="83"/>
      <c r="D140" s="83"/>
      <c r="E140" s="84"/>
      <c r="F140" s="84"/>
      <c r="G140" s="84"/>
      <c r="H140" s="84"/>
      <c r="I140" s="84"/>
      <c r="J140" s="84"/>
      <c r="K140" s="84"/>
      <c r="L140" s="84"/>
      <c r="M140" s="84"/>
      <c r="N140" s="84"/>
      <c r="O140" s="84"/>
      <c r="P140" s="84"/>
      <c r="Q140" s="83"/>
    </row>
    <row r="141" spans="1:17">
      <c r="A141" s="82"/>
      <c r="B141" s="83"/>
      <c r="C141" s="83"/>
      <c r="D141" s="83"/>
      <c r="E141" s="84"/>
      <c r="F141" s="84"/>
      <c r="G141" s="84"/>
      <c r="H141" s="84"/>
      <c r="I141" s="84"/>
      <c r="J141" s="84"/>
      <c r="K141" s="84"/>
      <c r="L141" s="84"/>
      <c r="M141" s="84"/>
      <c r="N141" s="84"/>
      <c r="O141" s="84"/>
      <c r="P141" s="84"/>
      <c r="Q141" s="83"/>
    </row>
    <row r="142" spans="1:17">
      <c r="A142" s="82"/>
      <c r="B142" s="83"/>
      <c r="C142" s="83"/>
      <c r="D142" s="83"/>
      <c r="E142" s="84"/>
      <c r="F142" s="84"/>
      <c r="G142" s="84"/>
      <c r="H142" s="84"/>
      <c r="I142" s="84"/>
      <c r="J142" s="84"/>
      <c r="K142" s="84"/>
      <c r="L142" s="84"/>
      <c r="M142" s="84"/>
      <c r="N142" s="84"/>
      <c r="O142" s="84"/>
      <c r="P142" s="84"/>
      <c r="Q142" s="83"/>
    </row>
    <row r="143" spans="1:17">
      <c r="A143" s="82"/>
      <c r="B143" s="83"/>
      <c r="C143" s="83"/>
      <c r="D143" s="83"/>
      <c r="E143" s="84"/>
      <c r="F143" s="84"/>
      <c r="G143" s="84"/>
      <c r="H143" s="84"/>
      <c r="I143" s="84"/>
      <c r="J143" s="84"/>
      <c r="K143" s="84"/>
      <c r="L143" s="84"/>
      <c r="M143" s="84"/>
      <c r="N143" s="84"/>
      <c r="O143" s="84"/>
      <c r="P143" s="84"/>
      <c r="Q143" s="83"/>
    </row>
    <row r="144" spans="1:17">
      <c r="A144" s="82"/>
      <c r="B144" s="83"/>
      <c r="C144" s="83"/>
      <c r="D144" s="83"/>
      <c r="E144" s="84"/>
      <c r="F144" s="84"/>
      <c r="G144" s="84"/>
      <c r="H144" s="84"/>
      <c r="I144" s="84"/>
      <c r="J144" s="84"/>
      <c r="K144" s="84"/>
      <c r="L144" s="84"/>
      <c r="M144" s="84"/>
      <c r="N144" s="84"/>
      <c r="O144" s="84"/>
      <c r="P144" s="84"/>
      <c r="Q144" s="83"/>
    </row>
    <row r="145" spans="1:17">
      <c r="A145" s="82"/>
      <c r="B145" s="83"/>
      <c r="C145" s="83"/>
      <c r="D145" s="83"/>
      <c r="E145" s="84"/>
      <c r="F145" s="84"/>
      <c r="G145" s="84"/>
      <c r="H145" s="84"/>
      <c r="I145" s="84"/>
      <c r="J145" s="84"/>
      <c r="K145" s="84"/>
      <c r="L145" s="84"/>
      <c r="M145" s="84"/>
      <c r="N145" s="84"/>
      <c r="O145" s="84"/>
      <c r="P145" s="84"/>
      <c r="Q145" s="83"/>
    </row>
    <row r="146" spans="1:17">
      <c r="A146" s="82"/>
      <c r="B146" s="83"/>
      <c r="C146" s="83"/>
      <c r="D146" s="83"/>
      <c r="E146" s="84"/>
      <c r="F146" s="84"/>
      <c r="G146" s="84"/>
      <c r="H146" s="84"/>
      <c r="I146" s="84"/>
      <c r="J146" s="84"/>
      <c r="K146" s="84"/>
      <c r="L146" s="84"/>
      <c r="M146" s="84"/>
      <c r="N146" s="84"/>
      <c r="O146" s="84"/>
      <c r="P146" s="84"/>
      <c r="Q146" s="83"/>
    </row>
    <row r="147" spans="1:17">
      <c r="A147" s="82"/>
      <c r="B147" s="83"/>
      <c r="C147" s="83"/>
      <c r="D147" s="83"/>
      <c r="E147" s="84"/>
      <c r="F147" s="84"/>
      <c r="G147" s="84"/>
      <c r="H147" s="84"/>
      <c r="I147" s="84"/>
      <c r="J147" s="84"/>
      <c r="K147" s="84"/>
      <c r="L147" s="84"/>
      <c r="M147" s="84"/>
      <c r="N147" s="84"/>
      <c r="O147" s="84"/>
      <c r="P147" s="84"/>
      <c r="Q147" s="83"/>
    </row>
    <row r="148" spans="1:17">
      <c r="A148" s="82"/>
      <c r="B148" s="83"/>
      <c r="C148" s="83"/>
      <c r="D148" s="83"/>
      <c r="E148" s="84"/>
      <c r="F148" s="84"/>
      <c r="G148" s="84"/>
      <c r="H148" s="84"/>
      <c r="I148" s="84"/>
      <c r="J148" s="84"/>
      <c r="K148" s="84"/>
      <c r="L148" s="84"/>
      <c r="M148" s="84"/>
      <c r="N148" s="84"/>
      <c r="O148" s="84"/>
      <c r="P148" s="84"/>
      <c r="Q148" s="83"/>
    </row>
    <row r="149" spans="1:17">
      <c r="A149" s="82"/>
      <c r="B149" s="83"/>
      <c r="C149" s="83"/>
      <c r="D149" s="83"/>
      <c r="E149" s="84"/>
      <c r="F149" s="84"/>
      <c r="G149" s="84"/>
      <c r="H149" s="84"/>
      <c r="I149" s="84"/>
      <c r="J149" s="84"/>
      <c r="K149" s="84"/>
      <c r="L149" s="84"/>
      <c r="M149" s="84"/>
      <c r="N149" s="84"/>
      <c r="O149" s="84"/>
      <c r="P149" s="84"/>
      <c r="Q149" s="83"/>
    </row>
    <row r="150" spans="1:17">
      <c r="A150" s="82"/>
      <c r="B150" s="83"/>
      <c r="C150" s="83"/>
      <c r="D150" s="83"/>
      <c r="E150" s="84"/>
      <c r="F150" s="84"/>
      <c r="G150" s="84"/>
      <c r="H150" s="84"/>
      <c r="I150" s="84"/>
      <c r="J150" s="84"/>
      <c r="K150" s="84"/>
      <c r="L150" s="84"/>
      <c r="M150" s="84"/>
      <c r="N150" s="84"/>
      <c r="O150" s="84"/>
      <c r="P150" s="84"/>
      <c r="Q150" s="83"/>
    </row>
    <row r="151" spans="1:17">
      <c r="A151" s="82"/>
      <c r="B151" s="83"/>
      <c r="C151" s="83"/>
      <c r="D151" s="83"/>
      <c r="E151" s="84"/>
      <c r="F151" s="84"/>
      <c r="G151" s="84"/>
      <c r="H151" s="84"/>
      <c r="I151" s="84"/>
      <c r="J151" s="84"/>
      <c r="K151" s="84"/>
      <c r="L151" s="84"/>
      <c r="M151" s="84"/>
      <c r="N151" s="84"/>
      <c r="O151" s="84"/>
      <c r="P151" s="84"/>
      <c r="Q151" s="83"/>
    </row>
    <row r="152" spans="1:17">
      <c r="A152" s="82"/>
      <c r="B152" s="83"/>
      <c r="C152" s="83"/>
      <c r="D152" s="83"/>
      <c r="E152" s="84"/>
      <c r="F152" s="84"/>
      <c r="G152" s="84"/>
      <c r="H152" s="84"/>
      <c r="I152" s="84"/>
      <c r="J152" s="84"/>
      <c r="K152" s="84"/>
      <c r="L152" s="84"/>
      <c r="M152" s="84"/>
      <c r="N152" s="84"/>
      <c r="O152" s="84"/>
      <c r="P152" s="84"/>
      <c r="Q152" s="83"/>
    </row>
    <row r="153" spans="1:17">
      <c r="A153" s="82"/>
      <c r="B153" s="83"/>
      <c r="C153" s="83"/>
      <c r="D153" s="83"/>
      <c r="E153" s="84"/>
      <c r="F153" s="84"/>
      <c r="G153" s="84"/>
      <c r="H153" s="84"/>
      <c r="I153" s="84"/>
      <c r="J153" s="84"/>
      <c r="K153" s="84"/>
      <c r="L153" s="84"/>
      <c r="M153" s="84"/>
      <c r="N153" s="84"/>
      <c r="O153" s="84"/>
      <c r="P153" s="84"/>
      <c r="Q153" s="83"/>
    </row>
    <row r="154" spans="1:17">
      <c r="A154" s="82"/>
      <c r="B154" s="83"/>
      <c r="C154" s="83"/>
      <c r="D154" s="83"/>
      <c r="E154" s="84"/>
      <c r="F154" s="84"/>
      <c r="G154" s="84"/>
      <c r="H154" s="84"/>
      <c r="I154" s="84"/>
      <c r="J154" s="84"/>
      <c r="K154" s="84"/>
      <c r="L154" s="84"/>
      <c r="M154" s="84"/>
      <c r="N154" s="84"/>
      <c r="O154" s="84"/>
      <c r="P154" s="84"/>
      <c r="Q154" s="83"/>
    </row>
    <row r="155" spans="1:17">
      <c r="A155" s="82"/>
      <c r="B155" s="83"/>
      <c r="C155" s="83"/>
      <c r="D155" s="83"/>
      <c r="E155" s="84"/>
      <c r="F155" s="84"/>
      <c r="G155" s="84"/>
      <c r="H155" s="84"/>
      <c r="I155" s="84"/>
      <c r="J155" s="84"/>
      <c r="K155" s="84"/>
      <c r="L155" s="84"/>
      <c r="M155" s="84"/>
      <c r="N155" s="84"/>
      <c r="O155" s="84"/>
      <c r="P155" s="84"/>
      <c r="Q155" s="83"/>
    </row>
    <row r="156" spans="1:17">
      <c r="A156" s="82"/>
      <c r="B156" s="83"/>
      <c r="C156" s="83"/>
      <c r="D156" s="83"/>
      <c r="E156" s="84"/>
      <c r="F156" s="84"/>
      <c r="G156" s="84"/>
      <c r="H156" s="84"/>
      <c r="I156" s="84"/>
      <c r="J156" s="84"/>
      <c r="K156" s="84"/>
      <c r="L156" s="84"/>
      <c r="M156" s="84"/>
      <c r="N156" s="84"/>
      <c r="O156" s="84"/>
      <c r="P156" s="84"/>
      <c r="Q156" s="83"/>
    </row>
    <row r="157" spans="1:17">
      <c r="A157" s="82"/>
      <c r="B157" s="83"/>
      <c r="C157" s="83"/>
      <c r="D157" s="83"/>
      <c r="E157" s="84"/>
      <c r="F157" s="84"/>
      <c r="G157" s="84"/>
      <c r="H157" s="84"/>
      <c r="I157" s="84"/>
      <c r="J157" s="84"/>
      <c r="K157" s="84"/>
      <c r="L157" s="84"/>
      <c r="M157" s="84"/>
      <c r="N157" s="84"/>
      <c r="O157" s="84"/>
      <c r="P157" s="84"/>
      <c r="Q157" s="83"/>
    </row>
    <row r="158" spans="1:17">
      <c r="A158" s="82"/>
      <c r="B158" s="83"/>
      <c r="C158" s="83"/>
      <c r="D158" s="83"/>
      <c r="E158" s="84"/>
      <c r="F158" s="84"/>
      <c r="G158" s="84"/>
      <c r="H158" s="84"/>
      <c r="I158" s="84"/>
      <c r="J158" s="84"/>
      <c r="K158" s="84"/>
      <c r="L158" s="84"/>
      <c r="M158" s="84"/>
      <c r="N158" s="84"/>
      <c r="O158" s="84"/>
      <c r="P158" s="84"/>
      <c r="Q158" s="83"/>
    </row>
    <row r="159" spans="1:17">
      <c r="A159" s="82"/>
      <c r="B159" s="83"/>
      <c r="C159" s="83"/>
      <c r="D159" s="83"/>
      <c r="E159" s="84"/>
      <c r="F159" s="84"/>
      <c r="G159" s="84"/>
      <c r="H159" s="84"/>
      <c r="I159" s="84"/>
      <c r="J159" s="84"/>
      <c r="K159" s="84"/>
      <c r="L159" s="84"/>
      <c r="M159" s="84"/>
      <c r="N159" s="84"/>
      <c r="O159" s="84"/>
      <c r="P159" s="84"/>
      <c r="Q159" s="83"/>
    </row>
    <row r="160" spans="1:17">
      <c r="A160" s="82"/>
      <c r="B160" s="83"/>
      <c r="C160" s="83"/>
      <c r="D160" s="83"/>
      <c r="E160" s="84"/>
      <c r="F160" s="84"/>
      <c r="G160" s="84"/>
      <c r="H160" s="84"/>
      <c r="I160" s="84"/>
      <c r="J160" s="84"/>
      <c r="K160" s="84"/>
      <c r="L160" s="84"/>
      <c r="M160" s="84"/>
      <c r="N160" s="84"/>
      <c r="O160" s="84"/>
      <c r="P160" s="84"/>
      <c r="Q160" s="83"/>
    </row>
    <row r="161" spans="1:17">
      <c r="A161" s="82"/>
      <c r="B161" s="83"/>
      <c r="C161" s="83"/>
      <c r="D161" s="83"/>
      <c r="E161" s="84"/>
      <c r="F161" s="84"/>
      <c r="G161" s="84"/>
      <c r="H161" s="84"/>
      <c r="I161" s="84"/>
      <c r="J161" s="84"/>
      <c r="K161" s="84"/>
      <c r="L161" s="84"/>
      <c r="M161" s="84"/>
      <c r="N161" s="84"/>
      <c r="O161" s="84"/>
      <c r="P161" s="84"/>
      <c r="Q161" s="83"/>
    </row>
    <row r="162" spans="1:17">
      <c r="A162" s="82"/>
      <c r="B162" s="83"/>
      <c r="C162" s="83"/>
      <c r="D162" s="83"/>
      <c r="E162" s="84"/>
      <c r="F162" s="84"/>
      <c r="G162" s="84"/>
      <c r="H162" s="84"/>
      <c r="I162" s="84"/>
      <c r="J162" s="84"/>
      <c r="K162" s="84"/>
      <c r="L162" s="84"/>
      <c r="M162" s="84"/>
      <c r="N162" s="84"/>
      <c r="O162" s="84"/>
      <c r="P162" s="84"/>
      <c r="Q162" s="83"/>
    </row>
    <row r="163" spans="1:17">
      <c r="A163" s="82"/>
      <c r="B163" s="83"/>
      <c r="C163" s="83"/>
      <c r="D163" s="83"/>
      <c r="E163" s="84"/>
      <c r="F163" s="84"/>
      <c r="G163" s="84"/>
      <c r="H163" s="84"/>
      <c r="I163" s="84"/>
      <c r="J163" s="84"/>
      <c r="K163" s="84"/>
      <c r="L163" s="84"/>
      <c r="M163" s="84"/>
      <c r="N163" s="84"/>
      <c r="O163" s="84"/>
      <c r="P163" s="84"/>
      <c r="Q163" s="83"/>
    </row>
    <row r="164" spans="1:17">
      <c r="A164" s="82"/>
      <c r="B164" s="83"/>
      <c r="C164" s="83"/>
      <c r="D164" s="83"/>
      <c r="E164" s="84"/>
      <c r="F164" s="84"/>
      <c r="G164" s="84"/>
      <c r="H164" s="84"/>
      <c r="I164" s="84"/>
      <c r="J164" s="84"/>
      <c r="K164" s="84"/>
      <c r="L164" s="84"/>
      <c r="M164" s="84"/>
      <c r="N164" s="84"/>
      <c r="O164" s="84"/>
      <c r="P164" s="84"/>
      <c r="Q164" s="83"/>
    </row>
    <row r="165" spans="1:17">
      <c r="A165" s="82"/>
      <c r="B165" s="83"/>
      <c r="C165" s="83"/>
      <c r="D165" s="83"/>
      <c r="E165" s="84"/>
      <c r="F165" s="84"/>
      <c r="G165" s="84"/>
      <c r="H165" s="84"/>
      <c r="I165" s="84"/>
      <c r="J165" s="84"/>
      <c r="K165" s="84"/>
      <c r="L165" s="84"/>
      <c r="M165" s="84"/>
      <c r="N165" s="84"/>
      <c r="O165" s="84"/>
      <c r="P165" s="84"/>
      <c r="Q165" s="83"/>
    </row>
    <row r="166" spans="1:17">
      <c r="A166" s="82"/>
      <c r="B166" s="83"/>
      <c r="C166" s="83"/>
      <c r="D166" s="83"/>
      <c r="E166" s="84"/>
      <c r="F166" s="84"/>
      <c r="G166" s="84"/>
      <c r="H166" s="84"/>
      <c r="I166" s="84"/>
      <c r="J166" s="84"/>
      <c r="K166" s="84"/>
      <c r="L166" s="84"/>
      <c r="M166" s="84"/>
      <c r="N166" s="84"/>
      <c r="O166" s="84"/>
      <c r="P166" s="84"/>
      <c r="Q166" s="83"/>
    </row>
    <row r="167" spans="1:17">
      <c r="A167" s="82"/>
      <c r="B167" s="83"/>
      <c r="C167" s="83"/>
      <c r="D167" s="83"/>
      <c r="E167" s="84"/>
      <c r="F167" s="84"/>
      <c r="G167" s="84"/>
      <c r="H167" s="84"/>
      <c r="I167" s="84"/>
      <c r="J167" s="84"/>
      <c r="K167" s="84"/>
      <c r="L167" s="84"/>
      <c r="M167" s="84"/>
      <c r="N167" s="84"/>
      <c r="O167" s="84"/>
      <c r="P167" s="84"/>
      <c r="Q167" s="83"/>
    </row>
    <row r="168" spans="1:17">
      <c r="A168" s="82"/>
      <c r="B168" s="83"/>
      <c r="C168" s="83"/>
      <c r="D168" s="83"/>
      <c r="E168" s="84"/>
      <c r="F168" s="84"/>
      <c r="G168" s="84"/>
      <c r="H168" s="84"/>
      <c r="I168" s="84"/>
      <c r="J168" s="84"/>
      <c r="K168" s="84"/>
      <c r="L168" s="84"/>
      <c r="M168" s="84"/>
      <c r="N168" s="84"/>
      <c r="O168" s="84"/>
      <c r="P168" s="84"/>
      <c r="Q168" s="83"/>
    </row>
    <row r="169" spans="1:17">
      <c r="A169" s="82"/>
      <c r="B169" s="83"/>
      <c r="C169" s="83"/>
      <c r="D169" s="83"/>
      <c r="E169" s="84"/>
      <c r="F169" s="84"/>
      <c r="G169" s="84"/>
      <c r="H169" s="84"/>
      <c r="I169" s="84"/>
      <c r="J169" s="84"/>
      <c r="K169" s="84"/>
      <c r="L169" s="84"/>
      <c r="M169" s="84"/>
      <c r="N169" s="84"/>
      <c r="O169" s="84"/>
      <c r="P169" s="84"/>
      <c r="Q169" s="83"/>
    </row>
    <row r="170" spans="1:17">
      <c r="A170" s="82"/>
      <c r="B170" s="83"/>
      <c r="C170" s="83"/>
      <c r="D170" s="83"/>
      <c r="E170" s="84"/>
      <c r="F170" s="84"/>
      <c r="G170" s="84"/>
      <c r="H170" s="84"/>
      <c r="I170" s="84"/>
      <c r="J170" s="84"/>
      <c r="K170" s="84"/>
      <c r="L170" s="84"/>
      <c r="M170" s="84"/>
      <c r="N170" s="84"/>
      <c r="O170" s="84"/>
      <c r="P170" s="84"/>
      <c r="Q170" s="83"/>
    </row>
    <row r="171" spans="1:17">
      <c r="A171" s="82"/>
      <c r="B171" s="83"/>
      <c r="C171" s="83"/>
      <c r="D171" s="83"/>
      <c r="E171" s="84"/>
      <c r="F171" s="84"/>
      <c r="G171" s="84"/>
      <c r="H171" s="84"/>
      <c r="I171" s="84"/>
      <c r="J171" s="84"/>
      <c r="K171" s="84"/>
      <c r="L171" s="84"/>
      <c r="M171" s="84"/>
      <c r="N171" s="84"/>
      <c r="O171" s="84"/>
      <c r="P171" s="84"/>
      <c r="Q171" s="83"/>
    </row>
    <row r="172" spans="1:17">
      <c r="A172" s="82"/>
      <c r="B172" s="83"/>
      <c r="C172" s="83"/>
      <c r="D172" s="83"/>
      <c r="E172" s="84"/>
      <c r="F172" s="84"/>
      <c r="G172" s="84"/>
      <c r="H172" s="84"/>
      <c r="I172" s="84"/>
      <c r="J172" s="84"/>
      <c r="K172" s="84"/>
      <c r="L172" s="84"/>
      <c r="M172" s="84"/>
      <c r="N172" s="84"/>
      <c r="O172" s="84"/>
      <c r="P172" s="84"/>
      <c r="Q172" s="83"/>
    </row>
    <row r="173" spans="1:17">
      <c r="A173" s="82"/>
      <c r="B173" s="83"/>
      <c r="C173" s="83"/>
      <c r="D173" s="83"/>
      <c r="E173" s="84"/>
      <c r="F173" s="84"/>
      <c r="G173" s="84"/>
      <c r="H173" s="84"/>
      <c r="I173" s="84"/>
      <c r="J173" s="84"/>
      <c r="K173" s="84"/>
      <c r="L173" s="84"/>
      <c r="M173" s="84"/>
      <c r="N173" s="84"/>
      <c r="O173" s="84"/>
      <c r="P173" s="84"/>
      <c r="Q173" s="83"/>
    </row>
    <row r="174" spans="1:17">
      <c r="A174" s="82"/>
      <c r="B174" s="83"/>
      <c r="C174" s="83"/>
      <c r="D174" s="83"/>
      <c r="E174" s="84"/>
      <c r="F174" s="84"/>
      <c r="G174" s="84"/>
      <c r="H174" s="84"/>
      <c r="I174" s="84"/>
      <c r="J174" s="84"/>
      <c r="K174" s="84"/>
      <c r="L174" s="84"/>
      <c r="M174" s="84"/>
      <c r="N174" s="84"/>
      <c r="O174" s="84"/>
      <c r="P174" s="84"/>
      <c r="Q174" s="83"/>
    </row>
    <row r="175" spans="1:17">
      <c r="A175" s="82"/>
      <c r="B175" s="83"/>
      <c r="C175" s="83"/>
      <c r="D175" s="83"/>
      <c r="E175" s="84"/>
      <c r="F175" s="84"/>
      <c r="G175" s="84"/>
      <c r="H175" s="84"/>
      <c r="I175" s="84"/>
      <c r="J175" s="84"/>
      <c r="K175" s="84"/>
      <c r="L175" s="84"/>
      <c r="M175" s="84"/>
      <c r="N175" s="84"/>
      <c r="O175" s="84"/>
      <c r="P175" s="84"/>
      <c r="Q175" s="83"/>
    </row>
    <row r="176" spans="1:17">
      <c r="A176" s="82"/>
      <c r="B176" s="83"/>
      <c r="C176" s="83"/>
      <c r="D176" s="83"/>
      <c r="E176" s="84"/>
      <c r="F176" s="84"/>
      <c r="G176" s="84"/>
      <c r="H176" s="84"/>
      <c r="I176" s="84"/>
      <c r="J176" s="84"/>
      <c r="K176" s="84"/>
      <c r="L176" s="84"/>
      <c r="M176" s="84"/>
      <c r="N176" s="84"/>
      <c r="O176" s="84"/>
      <c r="P176" s="84"/>
      <c r="Q176" s="83"/>
    </row>
    <row r="177" spans="1:17">
      <c r="A177" s="82"/>
      <c r="B177" s="83"/>
      <c r="C177" s="83"/>
      <c r="D177" s="83"/>
      <c r="E177" s="84"/>
      <c r="F177" s="84"/>
      <c r="G177" s="84"/>
      <c r="H177" s="84"/>
      <c r="I177" s="84"/>
      <c r="J177" s="84"/>
      <c r="K177" s="84"/>
      <c r="L177" s="84"/>
      <c r="M177" s="84"/>
      <c r="N177" s="84"/>
      <c r="O177" s="84"/>
      <c r="P177" s="84"/>
      <c r="Q177" s="83"/>
    </row>
    <row r="178" spans="1:17">
      <c r="A178" s="82"/>
      <c r="B178" s="83"/>
      <c r="C178" s="83"/>
      <c r="D178" s="83"/>
      <c r="E178" s="84"/>
      <c r="F178" s="84"/>
      <c r="G178" s="84"/>
      <c r="H178" s="84"/>
      <c r="I178" s="84"/>
      <c r="J178" s="84"/>
      <c r="K178" s="84"/>
      <c r="L178" s="84"/>
      <c r="M178" s="84"/>
      <c r="N178" s="84"/>
      <c r="O178" s="84"/>
      <c r="P178" s="84"/>
      <c r="Q178" s="83"/>
    </row>
    <row r="179" spans="1:17">
      <c r="A179" s="82"/>
      <c r="B179" s="83"/>
      <c r="C179" s="83"/>
      <c r="D179" s="83"/>
      <c r="E179" s="84"/>
      <c r="F179" s="84"/>
      <c r="G179" s="84"/>
      <c r="H179" s="84"/>
      <c r="I179" s="84"/>
      <c r="J179" s="84"/>
      <c r="K179" s="84"/>
      <c r="L179" s="84"/>
      <c r="M179" s="84"/>
      <c r="N179" s="84"/>
      <c r="O179" s="84"/>
      <c r="P179" s="84"/>
      <c r="Q179" s="83"/>
    </row>
    <row r="180" spans="1:17">
      <c r="A180" s="82"/>
      <c r="B180" s="83"/>
      <c r="C180" s="83"/>
      <c r="D180" s="83"/>
      <c r="E180" s="84"/>
      <c r="F180" s="84"/>
      <c r="G180" s="84"/>
      <c r="H180" s="84"/>
      <c r="I180" s="84"/>
      <c r="J180" s="84"/>
      <c r="K180" s="84"/>
      <c r="L180" s="84"/>
      <c r="M180" s="84"/>
      <c r="N180" s="84"/>
      <c r="O180" s="84"/>
      <c r="P180" s="84"/>
      <c r="Q180" s="83"/>
    </row>
    <row r="181" spans="1:17">
      <c r="A181" s="82"/>
      <c r="B181" s="83"/>
      <c r="C181" s="83"/>
      <c r="D181" s="83"/>
      <c r="E181" s="84"/>
      <c r="F181" s="84"/>
      <c r="G181" s="84"/>
      <c r="H181" s="84"/>
      <c r="I181" s="84"/>
      <c r="J181" s="84"/>
      <c r="K181" s="84"/>
      <c r="L181" s="84"/>
      <c r="M181" s="84"/>
      <c r="N181" s="84"/>
      <c r="O181" s="84"/>
      <c r="P181" s="84"/>
      <c r="Q181" s="83"/>
    </row>
    <row r="182" spans="1:17">
      <c r="A182" s="82"/>
      <c r="B182" s="83"/>
      <c r="C182" s="83"/>
      <c r="D182" s="83"/>
      <c r="E182" s="84"/>
      <c r="F182" s="84"/>
      <c r="G182" s="84"/>
      <c r="H182" s="84"/>
      <c r="I182" s="84"/>
      <c r="J182" s="84"/>
      <c r="K182" s="84"/>
      <c r="L182" s="84"/>
      <c r="M182" s="84"/>
      <c r="N182" s="84"/>
      <c r="O182" s="84"/>
      <c r="P182" s="84"/>
      <c r="Q182" s="83"/>
    </row>
    <row r="183" spans="1:17">
      <c r="A183" s="82"/>
      <c r="B183" s="83"/>
      <c r="C183" s="83"/>
      <c r="D183" s="83"/>
      <c r="E183" s="84"/>
      <c r="F183" s="84"/>
      <c r="G183" s="84"/>
      <c r="H183" s="84"/>
      <c r="I183" s="84"/>
      <c r="J183" s="84"/>
      <c r="K183" s="84"/>
      <c r="L183" s="84"/>
      <c r="M183" s="84"/>
      <c r="N183" s="84"/>
      <c r="O183" s="84"/>
      <c r="P183" s="84"/>
      <c r="Q183" s="83"/>
    </row>
    <row r="184" spans="1:17">
      <c r="A184" s="82"/>
      <c r="B184" s="83"/>
      <c r="C184" s="83"/>
      <c r="D184" s="83"/>
      <c r="E184" s="84"/>
      <c r="F184" s="84"/>
      <c r="G184" s="84"/>
      <c r="H184" s="84"/>
      <c r="I184" s="84"/>
      <c r="J184" s="84"/>
      <c r="K184" s="84"/>
      <c r="L184" s="84"/>
      <c r="M184" s="84"/>
      <c r="N184" s="84"/>
      <c r="O184" s="84"/>
      <c r="P184" s="84"/>
      <c r="Q184" s="83"/>
    </row>
    <row r="185" spans="1:17">
      <c r="A185" s="82"/>
      <c r="B185" s="83"/>
      <c r="C185" s="83"/>
      <c r="D185" s="83"/>
      <c r="E185" s="84"/>
      <c r="F185" s="84"/>
      <c r="G185" s="84"/>
      <c r="H185" s="84"/>
      <c r="I185" s="84"/>
      <c r="J185" s="84"/>
      <c r="K185" s="84"/>
      <c r="L185" s="84"/>
      <c r="M185" s="84"/>
      <c r="N185" s="84"/>
      <c r="O185" s="84"/>
      <c r="P185" s="84"/>
      <c r="Q185" s="83"/>
    </row>
    <row r="186" spans="1:17">
      <c r="A186" s="82"/>
      <c r="B186" s="83"/>
      <c r="C186" s="83"/>
      <c r="D186" s="83"/>
      <c r="E186" s="84"/>
      <c r="F186" s="84"/>
      <c r="G186" s="84"/>
      <c r="H186" s="84"/>
      <c r="I186" s="84"/>
      <c r="J186" s="84"/>
      <c r="K186" s="84"/>
      <c r="L186" s="84"/>
      <c r="M186" s="84"/>
      <c r="N186" s="84"/>
      <c r="O186" s="84"/>
      <c r="P186" s="84"/>
      <c r="Q186" s="83"/>
    </row>
    <row r="187" spans="1:17">
      <c r="A187" s="82"/>
      <c r="B187" s="83"/>
      <c r="C187" s="83"/>
      <c r="D187" s="83"/>
      <c r="E187" s="84"/>
      <c r="F187" s="84"/>
      <c r="G187" s="84"/>
      <c r="H187" s="84"/>
      <c r="I187" s="84"/>
      <c r="J187" s="84"/>
      <c r="K187" s="84"/>
      <c r="L187" s="84"/>
      <c r="M187" s="84"/>
      <c r="N187" s="84"/>
      <c r="O187" s="84"/>
      <c r="P187" s="84"/>
      <c r="Q187" s="83"/>
    </row>
    <row r="188" spans="1:17">
      <c r="A188" s="82"/>
      <c r="B188" s="83"/>
      <c r="C188" s="83"/>
      <c r="D188" s="83"/>
      <c r="E188" s="84"/>
      <c r="F188" s="84"/>
      <c r="G188" s="84"/>
      <c r="H188" s="84"/>
      <c r="I188" s="84"/>
      <c r="J188" s="84"/>
      <c r="K188" s="84"/>
      <c r="L188" s="84"/>
      <c r="M188" s="84"/>
      <c r="N188" s="84"/>
      <c r="O188" s="84"/>
      <c r="P188" s="84"/>
      <c r="Q188" s="83"/>
    </row>
    <row r="189" spans="1:17">
      <c r="A189" s="82"/>
      <c r="B189" s="83"/>
      <c r="C189" s="83"/>
      <c r="D189" s="83"/>
      <c r="E189" s="84"/>
      <c r="F189" s="84"/>
      <c r="G189" s="84"/>
      <c r="H189" s="84"/>
      <c r="I189" s="84"/>
      <c r="J189" s="84"/>
      <c r="K189" s="84"/>
      <c r="L189" s="84"/>
      <c r="M189" s="84"/>
      <c r="N189" s="84"/>
      <c r="O189" s="84"/>
      <c r="P189" s="84"/>
      <c r="Q189" s="83"/>
    </row>
    <row r="190" spans="1:17">
      <c r="A190" s="82"/>
      <c r="B190" s="83"/>
      <c r="C190" s="83"/>
      <c r="D190" s="83"/>
      <c r="E190" s="84"/>
      <c r="F190" s="84"/>
      <c r="G190" s="84"/>
      <c r="H190" s="84"/>
      <c r="I190" s="84"/>
      <c r="J190" s="84"/>
      <c r="K190" s="84"/>
      <c r="L190" s="84"/>
      <c r="M190" s="84"/>
      <c r="N190" s="84"/>
      <c r="O190" s="84"/>
      <c r="P190" s="84"/>
      <c r="Q190" s="83"/>
    </row>
    <row r="191" spans="1:17">
      <c r="A191" s="82"/>
      <c r="B191" s="83"/>
      <c r="C191" s="83"/>
      <c r="D191" s="83"/>
      <c r="E191" s="84"/>
      <c r="F191" s="84"/>
      <c r="G191" s="84"/>
      <c r="H191" s="84"/>
      <c r="I191" s="84"/>
      <c r="J191" s="84"/>
      <c r="K191" s="84"/>
      <c r="L191" s="84"/>
      <c r="M191" s="84"/>
      <c r="N191" s="84"/>
      <c r="O191" s="84"/>
      <c r="P191" s="84"/>
      <c r="Q191" s="83"/>
    </row>
    <row r="192" spans="1:17">
      <c r="A192" s="82"/>
      <c r="B192" s="83"/>
      <c r="C192" s="83"/>
      <c r="D192" s="83"/>
      <c r="E192" s="84"/>
      <c r="F192" s="84"/>
      <c r="G192" s="84"/>
      <c r="H192" s="84"/>
      <c r="I192" s="84"/>
      <c r="J192" s="84"/>
      <c r="K192" s="84"/>
      <c r="L192" s="84"/>
      <c r="M192" s="84"/>
      <c r="N192" s="84"/>
      <c r="O192" s="84"/>
      <c r="P192" s="84"/>
      <c r="Q192" s="83"/>
    </row>
    <row r="193" spans="1:17">
      <c r="A193" s="82"/>
      <c r="B193" s="83"/>
      <c r="C193" s="83"/>
      <c r="D193" s="83"/>
      <c r="E193" s="84"/>
      <c r="F193" s="84"/>
      <c r="G193" s="84"/>
      <c r="H193" s="84"/>
      <c r="I193" s="84"/>
      <c r="J193" s="84"/>
      <c r="K193" s="84"/>
      <c r="L193" s="84"/>
      <c r="M193" s="84"/>
      <c r="N193" s="84"/>
      <c r="O193" s="84"/>
      <c r="P193" s="84"/>
      <c r="Q193" s="83"/>
    </row>
    <row r="194" spans="1:17">
      <c r="A194" s="82"/>
      <c r="B194" s="83"/>
      <c r="C194" s="83"/>
      <c r="D194" s="83"/>
      <c r="E194" s="84"/>
      <c r="F194" s="84"/>
      <c r="G194" s="84"/>
      <c r="H194" s="84"/>
      <c r="I194" s="84"/>
      <c r="J194" s="84"/>
      <c r="K194" s="84"/>
      <c r="L194" s="84"/>
      <c r="M194" s="84"/>
      <c r="N194" s="84"/>
      <c r="O194" s="84"/>
      <c r="P194" s="84"/>
      <c r="Q194" s="83"/>
    </row>
    <row r="195" spans="1:17">
      <c r="A195" s="82"/>
      <c r="B195" s="83"/>
      <c r="C195" s="83"/>
      <c r="D195" s="83"/>
      <c r="E195" s="84"/>
      <c r="F195" s="84"/>
      <c r="G195" s="84"/>
      <c r="H195" s="84"/>
      <c r="I195" s="84"/>
      <c r="J195" s="84"/>
      <c r="K195" s="84"/>
      <c r="L195" s="84"/>
      <c r="M195" s="84"/>
      <c r="N195" s="84"/>
      <c r="O195" s="84"/>
      <c r="P195" s="84"/>
      <c r="Q195" s="83"/>
    </row>
    <row r="196" spans="1:17">
      <c r="A196" s="82"/>
      <c r="B196" s="83"/>
      <c r="C196" s="83"/>
      <c r="D196" s="83"/>
      <c r="E196" s="84"/>
      <c r="F196" s="84"/>
      <c r="G196" s="84"/>
      <c r="H196" s="84"/>
      <c r="I196" s="84"/>
      <c r="J196" s="84"/>
      <c r="K196" s="84"/>
      <c r="L196" s="84"/>
      <c r="M196" s="84"/>
      <c r="N196" s="84"/>
      <c r="O196" s="84"/>
      <c r="P196" s="84"/>
      <c r="Q196" s="83"/>
    </row>
    <row r="197" spans="1:17">
      <c r="A197" s="82"/>
      <c r="B197" s="83"/>
      <c r="C197" s="83"/>
      <c r="D197" s="83"/>
      <c r="E197" s="84"/>
      <c r="F197" s="84"/>
      <c r="G197" s="84"/>
      <c r="H197" s="84"/>
      <c r="I197" s="84"/>
      <c r="J197" s="84"/>
      <c r="K197" s="84"/>
      <c r="L197" s="84"/>
      <c r="M197" s="84"/>
      <c r="N197" s="84"/>
      <c r="O197" s="84"/>
      <c r="P197" s="84"/>
      <c r="Q197" s="83"/>
    </row>
    <row r="198" spans="1:17">
      <c r="A198" s="82"/>
      <c r="B198" s="83"/>
      <c r="C198" s="83"/>
      <c r="D198" s="83"/>
      <c r="E198" s="84"/>
      <c r="F198" s="84"/>
      <c r="G198" s="84"/>
      <c r="H198" s="84"/>
      <c r="I198" s="84"/>
      <c r="J198" s="84"/>
      <c r="K198" s="84"/>
      <c r="L198" s="84"/>
      <c r="M198" s="84"/>
      <c r="N198" s="84"/>
      <c r="O198" s="84"/>
      <c r="P198" s="84"/>
      <c r="Q198" s="83"/>
    </row>
    <row r="199" spans="1:17">
      <c r="A199" s="82"/>
      <c r="B199" s="83"/>
      <c r="C199" s="83"/>
      <c r="D199" s="83"/>
      <c r="E199" s="84"/>
      <c r="F199" s="84"/>
      <c r="G199" s="84"/>
      <c r="H199" s="84"/>
      <c r="I199" s="84"/>
      <c r="J199" s="84"/>
      <c r="K199" s="84"/>
      <c r="L199" s="84"/>
      <c r="M199" s="84"/>
      <c r="N199" s="84"/>
      <c r="O199" s="84"/>
      <c r="P199" s="84"/>
      <c r="Q199" s="83"/>
    </row>
    <row r="200" spans="1:17">
      <c r="A200" s="82"/>
      <c r="B200" s="83"/>
      <c r="C200" s="83"/>
      <c r="D200" s="83"/>
      <c r="E200" s="84"/>
      <c r="F200" s="84"/>
      <c r="G200" s="84"/>
      <c r="H200" s="84"/>
      <c r="I200" s="84"/>
      <c r="J200" s="84"/>
      <c r="K200" s="84"/>
      <c r="L200" s="84"/>
      <c r="M200" s="84"/>
      <c r="N200" s="84"/>
      <c r="O200" s="84"/>
      <c r="P200" s="84"/>
      <c r="Q200" s="83"/>
    </row>
    <row r="201" spans="1:17">
      <c r="A201" s="82"/>
      <c r="B201" s="83"/>
      <c r="C201" s="83"/>
      <c r="D201" s="83"/>
      <c r="E201" s="84"/>
      <c r="F201" s="84"/>
      <c r="G201" s="84"/>
      <c r="H201" s="84"/>
      <c r="I201" s="84"/>
      <c r="J201" s="84"/>
      <c r="K201" s="84"/>
      <c r="L201" s="84"/>
      <c r="M201" s="84"/>
      <c r="N201" s="84"/>
      <c r="O201" s="84"/>
      <c r="P201" s="84"/>
      <c r="Q201" s="83"/>
    </row>
    <row r="202" spans="1:17">
      <c r="A202" s="82"/>
      <c r="B202" s="83"/>
      <c r="C202" s="83"/>
      <c r="D202" s="83"/>
      <c r="E202" s="84"/>
      <c r="F202" s="84"/>
      <c r="G202" s="84"/>
      <c r="H202" s="84"/>
      <c r="I202" s="84"/>
      <c r="J202" s="84"/>
      <c r="K202" s="84"/>
      <c r="L202" s="84"/>
      <c r="M202" s="84"/>
      <c r="N202" s="84"/>
      <c r="O202" s="84"/>
      <c r="P202" s="84"/>
      <c r="Q202" s="83"/>
    </row>
    <row r="203" spans="1:17">
      <c r="A203" s="82"/>
      <c r="B203" s="83"/>
      <c r="C203" s="83"/>
      <c r="D203" s="83"/>
      <c r="E203" s="84"/>
      <c r="F203" s="84"/>
      <c r="G203" s="84"/>
      <c r="H203" s="84"/>
      <c r="I203" s="84"/>
      <c r="J203" s="84"/>
      <c r="K203" s="84"/>
      <c r="L203" s="84"/>
      <c r="M203" s="84"/>
      <c r="N203" s="84"/>
      <c r="O203" s="84"/>
      <c r="P203" s="84"/>
      <c r="Q203" s="83"/>
    </row>
    <row r="204" spans="1:17">
      <c r="A204" s="82"/>
      <c r="B204" s="83"/>
      <c r="C204" s="83"/>
      <c r="D204" s="83"/>
      <c r="E204" s="84"/>
      <c r="F204" s="84"/>
      <c r="G204" s="84"/>
      <c r="H204" s="84"/>
      <c r="I204" s="84"/>
      <c r="J204" s="84"/>
      <c r="K204" s="84"/>
      <c r="L204" s="84"/>
      <c r="M204" s="84"/>
      <c r="N204" s="84"/>
      <c r="O204" s="84"/>
      <c r="P204" s="84"/>
      <c r="Q204" s="83"/>
    </row>
    <row r="205" spans="1:17">
      <c r="A205" s="82"/>
      <c r="B205" s="83"/>
      <c r="C205" s="83"/>
      <c r="D205" s="83"/>
      <c r="E205" s="84"/>
      <c r="F205" s="84"/>
      <c r="G205" s="84"/>
      <c r="H205" s="84"/>
      <c r="I205" s="84"/>
      <c r="J205" s="84"/>
      <c r="K205" s="84"/>
      <c r="L205" s="84"/>
      <c r="M205" s="84"/>
      <c r="N205" s="84"/>
      <c r="O205" s="84"/>
      <c r="P205" s="84"/>
      <c r="Q205" s="83"/>
    </row>
    <row r="206" spans="1:17">
      <c r="A206" s="82"/>
      <c r="B206" s="83"/>
      <c r="C206" s="83"/>
      <c r="D206" s="83"/>
      <c r="E206" s="84"/>
      <c r="F206" s="84"/>
      <c r="G206" s="84"/>
      <c r="H206" s="84"/>
      <c r="I206" s="84"/>
      <c r="J206" s="84"/>
      <c r="K206" s="84"/>
      <c r="L206" s="84"/>
      <c r="M206" s="84"/>
      <c r="N206" s="84"/>
      <c r="O206" s="84"/>
      <c r="P206" s="84"/>
      <c r="Q206" s="83"/>
    </row>
    <row r="207" spans="1:17">
      <c r="A207" s="82"/>
      <c r="B207" s="83"/>
      <c r="C207" s="83"/>
      <c r="D207" s="83"/>
      <c r="E207" s="84"/>
      <c r="F207" s="84"/>
      <c r="G207" s="84"/>
      <c r="H207" s="84"/>
      <c r="I207" s="84"/>
      <c r="J207" s="84"/>
      <c r="K207" s="84"/>
      <c r="L207" s="84"/>
      <c r="M207" s="84"/>
      <c r="N207" s="84"/>
      <c r="O207" s="84"/>
      <c r="P207" s="84"/>
      <c r="Q207" s="83"/>
    </row>
    <row r="208" spans="1:17">
      <c r="A208" s="82"/>
      <c r="B208" s="83"/>
      <c r="C208" s="83"/>
      <c r="D208" s="83"/>
      <c r="E208" s="84"/>
      <c r="F208" s="84"/>
      <c r="G208" s="84"/>
      <c r="H208" s="84"/>
      <c r="I208" s="84"/>
      <c r="J208" s="84"/>
      <c r="K208" s="84"/>
      <c r="L208" s="84"/>
      <c r="M208" s="84"/>
      <c r="N208" s="84"/>
      <c r="O208" s="84"/>
      <c r="P208" s="84"/>
      <c r="Q208" s="83"/>
    </row>
    <row r="209" spans="1:17">
      <c r="A209" s="82"/>
      <c r="B209" s="83"/>
      <c r="C209" s="83"/>
      <c r="D209" s="83"/>
      <c r="E209" s="84"/>
      <c r="F209" s="84"/>
      <c r="G209" s="84"/>
      <c r="H209" s="84"/>
      <c r="I209" s="84"/>
      <c r="J209" s="84"/>
      <c r="K209" s="84"/>
      <c r="L209" s="84"/>
      <c r="M209" s="84"/>
      <c r="N209" s="84"/>
      <c r="O209" s="84"/>
      <c r="P209" s="84"/>
      <c r="Q209" s="83"/>
    </row>
    <row r="210" spans="1:17">
      <c r="A210" s="82"/>
      <c r="B210" s="83"/>
      <c r="C210" s="83"/>
      <c r="D210" s="83"/>
      <c r="E210" s="84"/>
      <c r="F210" s="84"/>
      <c r="G210" s="84"/>
      <c r="H210" s="84"/>
      <c r="I210" s="84"/>
      <c r="J210" s="84"/>
      <c r="K210" s="84"/>
      <c r="L210" s="84"/>
      <c r="M210" s="84"/>
      <c r="N210" s="84"/>
      <c r="O210" s="84"/>
      <c r="P210" s="84"/>
      <c r="Q210" s="83"/>
    </row>
    <row r="211" spans="1:17">
      <c r="A211" s="82"/>
      <c r="B211" s="83"/>
      <c r="C211" s="83"/>
      <c r="D211" s="83"/>
      <c r="E211" s="84"/>
      <c r="F211" s="84"/>
      <c r="G211" s="84"/>
      <c r="H211" s="84"/>
      <c r="I211" s="84"/>
      <c r="J211" s="84"/>
      <c r="K211" s="84"/>
      <c r="L211" s="84"/>
      <c r="M211" s="84"/>
      <c r="N211" s="84"/>
      <c r="O211" s="84"/>
      <c r="P211" s="84"/>
      <c r="Q211" s="83"/>
    </row>
    <row r="212" spans="1:17">
      <c r="A212" s="82"/>
      <c r="B212" s="83"/>
      <c r="C212" s="83"/>
      <c r="D212" s="83"/>
      <c r="E212" s="84"/>
      <c r="F212" s="84"/>
      <c r="G212" s="84"/>
      <c r="H212" s="84"/>
      <c r="I212" s="84"/>
      <c r="J212" s="84"/>
      <c r="K212" s="84"/>
      <c r="L212" s="84"/>
      <c r="M212" s="84"/>
      <c r="N212" s="84"/>
      <c r="O212" s="84"/>
      <c r="P212" s="84"/>
      <c r="Q212" s="83"/>
    </row>
    <row r="213" spans="1:17">
      <c r="A213" s="82"/>
      <c r="B213" s="83"/>
      <c r="C213" s="83"/>
      <c r="D213" s="83"/>
      <c r="E213" s="84"/>
      <c r="F213" s="84"/>
      <c r="G213" s="84"/>
      <c r="H213" s="84"/>
      <c r="I213" s="84"/>
      <c r="J213" s="84"/>
      <c r="K213" s="84"/>
      <c r="L213" s="84"/>
      <c r="M213" s="84"/>
      <c r="N213" s="84"/>
      <c r="O213" s="84"/>
      <c r="P213" s="84"/>
      <c r="Q213" s="83"/>
    </row>
    <row r="214" spans="1:17">
      <c r="A214" s="82"/>
      <c r="B214" s="83"/>
      <c r="C214" s="83"/>
      <c r="D214" s="83"/>
      <c r="E214" s="84"/>
      <c r="F214" s="84"/>
      <c r="G214" s="84"/>
      <c r="H214" s="84"/>
      <c r="I214" s="84"/>
      <c r="J214" s="84"/>
      <c r="K214" s="84"/>
      <c r="L214" s="84"/>
      <c r="M214" s="84"/>
      <c r="N214" s="84"/>
      <c r="O214" s="84"/>
      <c r="P214" s="84"/>
      <c r="Q214" s="83"/>
    </row>
    <row r="215" spans="1:17">
      <c r="A215" s="82"/>
      <c r="B215" s="83"/>
      <c r="C215" s="83"/>
      <c r="D215" s="83"/>
      <c r="E215" s="84"/>
      <c r="F215" s="84"/>
      <c r="G215" s="84"/>
      <c r="H215" s="84"/>
      <c r="I215" s="84"/>
      <c r="J215" s="84"/>
      <c r="K215" s="84"/>
      <c r="L215" s="84"/>
      <c r="M215" s="84"/>
      <c r="N215" s="84"/>
      <c r="O215" s="84"/>
      <c r="P215" s="84"/>
      <c r="Q215" s="83"/>
    </row>
    <row r="216" spans="1:17">
      <c r="A216" s="82"/>
      <c r="B216" s="83"/>
      <c r="C216" s="83"/>
      <c r="D216" s="83"/>
      <c r="E216" s="84"/>
      <c r="F216" s="84"/>
      <c r="G216" s="84"/>
      <c r="H216" s="84"/>
      <c r="I216" s="84"/>
      <c r="J216" s="84"/>
      <c r="K216" s="84"/>
      <c r="L216" s="84"/>
      <c r="M216" s="84"/>
      <c r="N216" s="84"/>
      <c r="O216" s="84"/>
      <c r="P216" s="84"/>
      <c r="Q216" s="83"/>
    </row>
    <row r="217" spans="1:17">
      <c r="A217" s="82"/>
      <c r="B217" s="83"/>
      <c r="C217" s="83"/>
      <c r="D217" s="83"/>
      <c r="E217" s="84"/>
      <c r="F217" s="84"/>
      <c r="G217" s="84"/>
      <c r="H217" s="84"/>
      <c r="I217" s="84"/>
      <c r="J217" s="84"/>
      <c r="K217" s="84"/>
      <c r="L217" s="84"/>
      <c r="M217" s="84"/>
      <c r="N217" s="84"/>
      <c r="O217" s="84"/>
      <c r="P217" s="84"/>
      <c r="Q217" s="83"/>
    </row>
    <row r="218" spans="1:17">
      <c r="A218" s="82"/>
      <c r="B218" s="83"/>
      <c r="C218" s="83"/>
      <c r="D218" s="83"/>
      <c r="E218" s="84"/>
      <c r="F218" s="84"/>
      <c r="G218" s="84"/>
      <c r="H218" s="84"/>
      <c r="I218" s="84"/>
      <c r="J218" s="84"/>
      <c r="K218" s="84"/>
      <c r="L218" s="84"/>
      <c r="M218" s="84"/>
      <c r="N218" s="84"/>
      <c r="O218" s="84"/>
      <c r="P218" s="84"/>
      <c r="Q218" s="83"/>
    </row>
    <row r="219" spans="1:17">
      <c r="A219" s="82"/>
      <c r="B219" s="83"/>
      <c r="C219" s="83"/>
      <c r="D219" s="83"/>
      <c r="E219" s="84"/>
      <c r="F219" s="84"/>
      <c r="G219" s="84"/>
      <c r="H219" s="84"/>
      <c r="I219" s="84"/>
      <c r="J219" s="84"/>
      <c r="K219" s="84"/>
      <c r="L219" s="84"/>
      <c r="M219" s="84"/>
      <c r="N219" s="84"/>
      <c r="O219" s="84"/>
      <c r="P219" s="84"/>
      <c r="Q219" s="83"/>
    </row>
    <row r="220" spans="1:17">
      <c r="A220" s="82"/>
      <c r="B220" s="83"/>
      <c r="C220" s="83"/>
      <c r="D220" s="83"/>
      <c r="E220" s="84"/>
      <c r="F220" s="84"/>
      <c r="G220" s="84"/>
      <c r="H220" s="84"/>
      <c r="I220" s="84"/>
      <c r="J220" s="84"/>
      <c r="K220" s="84"/>
      <c r="L220" s="84"/>
      <c r="M220" s="84"/>
      <c r="N220" s="84"/>
      <c r="O220" s="84"/>
      <c r="P220" s="84"/>
      <c r="Q220" s="83"/>
    </row>
    <row r="221" spans="1:17">
      <c r="A221" s="82"/>
      <c r="B221" s="83"/>
      <c r="C221" s="83"/>
      <c r="D221" s="83"/>
      <c r="E221" s="84"/>
      <c r="F221" s="84"/>
      <c r="G221" s="84"/>
      <c r="H221" s="84"/>
      <c r="I221" s="84"/>
      <c r="J221" s="84"/>
      <c r="K221" s="84"/>
      <c r="L221" s="84"/>
      <c r="M221" s="84"/>
      <c r="N221" s="84"/>
      <c r="O221" s="84"/>
      <c r="P221" s="84"/>
      <c r="Q221" s="83"/>
    </row>
    <row r="222" spans="1:17">
      <c r="A222" s="82"/>
      <c r="B222" s="83"/>
      <c r="C222" s="83"/>
      <c r="D222" s="83"/>
      <c r="E222" s="84"/>
      <c r="F222" s="84"/>
      <c r="G222" s="84"/>
      <c r="H222" s="84"/>
      <c r="I222" s="84"/>
      <c r="J222" s="84"/>
      <c r="K222" s="84"/>
      <c r="L222" s="84"/>
      <c r="M222" s="84"/>
      <c r="N222" s="84"/>
      <c r="O222" s="84"/>
      <c r="P222" s="84"/>
      <c r="Q222" s="83"/>
    </row>
    <row r="223" spans="1:17">
      <c r="A223" s="82"/>
      <c r="B223" s="83"/>
      <c r="C223" s="83"/>
      <c r="D223" s="83"/>
      <c r="E223" s="84"/>
      <c r="F223" s="84"/>
      <c r="G223" s="84"/>
      <c r="H223" s="84"/>
      <c r="I223" s="84"/>
      <c r="J223" s="84"/>
      <c r="K223" s="84"/>
      <c r="L223" s="84"/>
      <c r="M223" s="84"/>
      <c r="N223" s="84"/>
      <c r="O223" s="84"/>
      <c r="P223" s="84"/>
      <c r="Q223" s="83"/>
    </row>
    <row r="224" spans="1:17">
      <c r="A224" s="82"/>
      <c r="B224" s="83"/>
      <c r="C224" s="83"/>
      <c r="D224" s="83"/>
      <c r="E224" s="84"/>
      <c r="F224" s="84"/>
      <c r="G224" s="84"/>
      <c r="H224" s="84"/>
      <c r="I224" s="84"/>
      <c r="J224" s="84"/>
      <c r="K224" s="84"/>
      <c r="L224" s="84"/>
      <c r="M224" s="84"/>
      <c r="N224" s="84"/>
      <c r="O224" s="84"/>
      <c r="P224" s="84"/>
      <c r="Q224" s="83"/>
    </row>
    <row r="225" spans="1:17">
      <c r="A225" s="82"/>
      <c r="B225" s="83"/>
      <c r="C225" s="83"/>
      <c r="D225" s="83"/>
      <c r="E225" s="84"/>
      <c r="F225" s="84"/>
      <c r="G225" s="84"/>
      <c r="H225" s="84"/>
      <c r="I225" s="84"/>
      <c r="J225" s="84"/>
      <c r="K225" s="84"/>
      <c r="L225" s="84"/>
      <c r="M225" s="84"/>
      <c r="N225" s="84"/>
      <c r="O225" s="84"/>
      <c r="P225" s="84"/>
      <c r="Q225" s="83"/>
    </row>
    <row r="226" spans="1:17">
      <c r="A226" s="82"/>
      <c r="B226" s="83"/>
      <c r="C226" s="83"/>
      <c r="D226" s="83"/>
      <c r="E226" s="84"/>
      <c r="F226" s="84"/>
      <c r="G226" s="84"/>
      <c r="H226" s="84"/>
      <c r="I226" s="84"/>
      <c r="J226" s="84"/>
      <c r="K226" s="84"/>
      <c r="L226" s="84"/>
      <c r="M226" s="84"/>
      <c r="N226" s="84"/>
      <c r="O226" s="84"/>
      <c r="P226" s="84"/>
      <c r="Q226" s="83"/>
    </row>
    <row r="227" spans="1:17">
      <c r="A227" s="82"/>
      <c r="B227" s="83"/>
      <c r="C227" s="83"/>
      <c r="D227" s="83"/>
      <c r="E227" s="84"/>
      <c r="F227" s="84"/>
      <c r="G227" s="84"/>
      <c r="H227" s="84"/>
      <c r="I227" s="84"/>
      <c r="J227" s="84"/>
      <c r="K227" s="84"/>
      <c r="L227" s="84"/>
      <c r="M227" s="84"/>
      <c r="N227" s="84"/>
      <c r="O227" s="84"/>
      <c r="P227" s="84"/>
      <c r="Q227" s="83"/>
    </row>
    <row r="228" spans="1:17">
      <c r="A228" s="82"/>
      <c r="B228" s="83"/>
      <c r="C228" s="83"/>
      <c r="D228" s="83"/>
      <c r="E228" s="84"/>
      <c r="F228" s="84"/>
      <c r="G228" s="84"/>
      <c r="H228" s="84"/>
      <c r="I228" s="84"/>
      <c r="J228" s="84"/>
      <c r="K228" s="84"/>
      <c r="L228" s="84"/>
      <c r="M228" s="84"/>
      <c r="N228" s="84"/>
      <c r="O228" s="84"/>
      <c r="P228" s="84"/>
      <c r="Q228" s="83"/>
    </row>
    <row r="229" spans="1:17">
      <c r="A229" s="82"/>
      <c r="B229" s="83"/>
      <c r="C229" s="83"/>
      <c r="D229" s="83"/>
      <c r="E229" s="84"/>
      <c r="F229" s="84"/>
      <c r="G229" s="84"/>
      <c r="H229" s="84"/>
      <c r="I229" s="84"/>
      <c r="J229" s="84"/>
      <c r="K229" s="84"/>
      <c r="L229" s="84"/>
      <c r="M229" s="84"/>
      <c r="N229" s="84"/>
      <c r="O229" s="84"/>
      <c r="P229" s="84"/>
      <c r="Q229" s="83"/>
    </row>
    <row r="230" spans="1:17">
      <c r="A230" s="82"/>
      <c r="B230" s="83"/>
      <c r="C230" s="83"/>
      <c r="D230" s="83"/>
      <c r="E230" s="84"/>
      <c r="F230" s="84"/>
      <c r="G230" s="84"/>
      <c r="H230" s="84"/>
      <c r="I230" s="84"/>
      <c r="J230" s="84"/>
      <c r="K230" s="84"/>
      <c r="L230" s="84"/>
      <c r="M230" s="84"/>
      <c r="N230" s="84"/>
      <c r="O230" s="84"/>
      <c r="P230" s="84"/>
      <c r="Q230" s="83"/>
    </row>
    <row r="231" spans="1:17">
      <c r="A231" s="82"/>
      <c r="B231" s="83"/>
      <c r="C231" s="83"/>
      <c r="D231" s="83"/>
      <c r="E231" s="84"/>
      <c r="F231" s="84"/>
      <c r="G231" s="84"/>
      <c r="H231" s="84"/>
      <c r="I231" s="84"/>
      <c r="J231" s="84"/>
      <c r="K231" s="84"/>
      <c r="L231" s="84"/>
      <c r="M231" s="84"/>
      <c r="N231" s="84"/>
      <c r="O231" s="84"/>
      <c r="P231" s="84"/>
      <c r="Q231" s="83"/>
    </row>
    <row r="232" spans="1:17">
      <c r="A232" s="82"/>
      <c r="B232" s="83"/>
      <c r="C232" s="83"/>
      <c r="D232" s="83"/>
      <c r="E232" s="84"/>
      <c r="F232" s="84"/>
      <c r="G232" s="84"/>
      <c r="H232" s="84"/>
      <c r="I232" s="84"/>
      <c r="J232" s="84"/>
      <c r="K232" s="84"/>
      <c r="L232" s="84"/>
      <c r="M232" s="84"/>
      <c r="N232" s="84"/>
      <c r="O232" s="84"/>
      <c r="P232" s="84"/>
      <c r="Q232" s="83"/>
    </row>
    <row r="233" spans="1:17">
      <c r="A233" s="82"/>
      <c r="B233" s="83"/>
      <c r="C233" s="83"/>
      <c r="D233" s="83"/>
      <c r="E233" s="84"/>
      <c r="F233" s="84"/>
      <c r="G233" s="84"/>
      <c r="H233" s="84"/>
      <c r="I233" s="84"/>
      <c r="J233" s="84"/>
      <c r="K233" s="84"/>
      <c r="L233" s="84"/>
      <c r="M233" s="84"/>
      <c r="N233" s="84"/>
      <c r="O233" s="84"/>
      <c r="P233" s="84"/>
      <c r="Q233" s="83"/>
    </row>
    <row r="234" spans="1:17">
      <c r="A234" s="82"/>
      <c r="B234" s="83"/>
      <c r="C234" s="83"/>
      <c r="D234" s="83"/>
      <c r="E234" s="84"/>
      <c r="F234" s="84"/>
      <c r="G234" s="84"/>
      <c r="H234" s="84"/>
      <c r="I234" s="84"/>
      <c r="J234" s="84"/>
      <c r="K234" s="84"/>
      <c r="L234" s="84"/>
      <c r="M234" s="84"/>
      <c r="N234" s="84"/>
      <c r="O234" s="84"/>
      <c r="P234" s="84"/>
      <c r="Q234" s="83"/>
    </row>
    <row r="235" spans="1:17">
      <c r="A235" s="82"/>
      <c r="B235" s="83"/>
      <c r="C235" s="83"/>
      <c r="D235" s="83"/>
      <c r="E235" s="84"/>
      <c r="F235" s="84"/>
      <c r="G235" s="84"/>
      <c r="H235" s="84"/>
      <c r="I235" s="84"/>
      <c r="J235" s="84"/>
      <c r="K235" s="84"/>
      <c r="L235" s="84"/>
      <c r="M235" s="84"/>
      <c r="N235" s="84"/>
      <c r="O235" s="84"/>
      <c r="P235" s="84"/>
      <c r="Q235" s="83"/>
    </row>
    <row r="236" spans="1:17">
      <c r="A236" s="82"/>
      <c r="B236" s="83"/>
      <c r="C236" s="83"/>
      <c r="D236" s="83"/>
      <c r="E236" s="84"/>
      <c r="F236" s="84"/>
      <c r="G236" s="84"/>
      <c r="H236" s="84"/>
      <c r="I236" s="84"/>
      <c r="J236" s="84"/>
      <c r="K236" s="84"/>
      <c r="L236" s="84"/>
      <c r="M236" s="84"/>
      <c r="N236" s="84"/>
      <c r="O236" s="84"/>
      <c r="P236" s="84"/>
      <c r="Q236" s="83"/>
    </row>
    <row r="237" spans="1:17">
      <c r="A237" s="82"/>
      <c r="B237" s="83"/>
      <c r="C237" s="83"/>
      <c r="D237" s="83"/>
      <c r="E237" s="84"/>
      <c r="F237" s="84"/>
      <c r="G237" s="84"/>
      <c r="H237" s="84"/>
      <c r="I237" s="84"/>
      <c r="J237" s="84"/>
      <c r="K237" s="84"/>
      <c r="L237" s="84"/>
      <c r="M237" s="84"/>
      <c r="N237" s="84"/>
      <c r="O237" s="84"/>
      <c r="P237" s="84"/>
      <c r="Q237" s="83"/>
    </row>
    <row r="238" spans="1:17">
      <c r="A238" s="82"/>
      <c r="B238" s="83"/>
      <c r="C238" s="83"/>
      <c r="D238" s="83"/>
      <c r="E238" s="84"/>
      <c r="F238" s="84"/>
      <c r="G238" s="84"/>
      <c r="H238" s="84"/>
      <c r="I238" s="84"/>
      <c r="J238" s="84"/>
      <c r="K238" s="84"/>
      <c r="L238" s="84"/>
      <c r="M238" s="84"/>
      <c r="N238" s="84"/>
      <c r="O238" s="84"/>
      <c r="P238" s="84"/>
      <c r="Q238" s="83"/>
    </row>
    <row r="239" spans="1:17">
      <c r="A239" s="82"/>
      <c r="B239" s="83"/>
      <c r="C239" s="83"/>
      <c r="D239" s="83"/>
      <c r="E239" s="84"/>
      <c r="F239" s="84"/>
      <c r="G239" s="84"/>
      <c r="H239" s="84"/>
      <c r="I239" s="84"/>
      <c r="J239" s="84"/>
      <c r="K239" s="84"/>
      <c r="L239" s="84"/>
      <c r="M239" s="84"/>
      <c r="N239" s="84"/>
      <c r="O239" s="84"/>
      <c r="P239" s="84"/>
      <c r="Q239" s="83"/>
    </row>
    <row r="240" spans="1:17">
      <c r="A240" s="82"/>
      <c r="B240" s="83"/>
      <c r="C240" s="83"/>
      <c r="D240" s="83"/>
      <c r="E240" s="84"/>
      <c r="F240" s="84"/>
      <c r="G240" s="84"/>
      <c r="H240" s="84"/>
      <c r="I240" s="84"/>
      <c r="J240" s="84"/>
      <c r="K240" s="84"/>
      <c r="L240" s="84"/>
      <c r="M240" s="84"/>
      <c r="N240" s="84"/>
      <c r="O240" s="84"/>
      <c r="P240" s="84"/>
      <c r="Q240" s="83"/>
    </row>
    <row r="241" spans="1:17">
      <c r="A241" s="82"/>
      <c r="B241" s="83"/>
      <c r="C241" s="83"/>
      <c r="D241" s="83"/>
      <c r="E241" s="84"/>
      <c r="F241" s="84"/>
      <c r="G241" s="84"/>
      <c r="H241" s="84"/>
      <c r="I241" s="84"/>
      <c r="J241" s="84"/>
      <c r="K241" s="84"/>
      <c r="L241" s="84"/>
      <c r="M241" s="84"/>
      <c r="N241" s="84"/>
      <c r="O241" s="84"/>
      <c r="P241" s="84"/>
      <c r="Q241" s="83"/>
    </row>
    <row r="242" spans="1:17">
      <c r="A242" s="82"/>
      <c r="B242" s="83"/>
      <c r="C242" s="83"/>
      <c r="D242" s="83"/>
      <c r="E242" s="84"/>
      <c r="F242" s="84"/>
      <c r="G242" s="84"/>
      <c r="H242" s="84"/>
      <c r="I242" s="84"/>
      <c r="J242" s="84"/>
      <c r="K242" s="84"/>
      <c r="L242" s="84"/>
      <c r="M242" s="84"/>
      <c r="N242" s="84"/>
      <c r="O242" s="84"/>
      <c r="P242" s="84"/>
      <c r="Q242" s="83"/>
    </row>
    <row r="243" spans="1:17">
      <c r="A243" s="82"/>
      <c r="B243" s="83"/>
      <c r="C243" s="83"/>
      <c r="D243" s="83"/>
      <c r="E243" s="84"/>
      <c r="F243" s="84"/>
      <c r="G243" s="84"/>
      <c r="H243" s="84"/>
      <c r="I243" s="84"/>
      <c r="J243" s="84"/>
      <c r="K243" s="84"/>
      <c r="L243" s="84"/>
      <c r="M243" s="84"/>
      <c r="N243" s="84"/>
      <c r="O243" s="84"/>
      <c r="P243" s="84"/>
      <c r="Q243" s="83"/>
    </row>
    <row r="244" spans="1:17">
      <c r="A244" s="82"/>
      <c r="B244" s="83"/>
      <c r="C244" s="83"/>
      <c r="D244" s="83"/>
      <c r="E244" s="84"/>
      <c r="F244" s="84"/>
      <c r="G244" s="84"/>
      <c r="H244" s="84"/>
      <c r="I244" s="84"/>
      <c r="J244" s="84"/>
      <c r="K244" s="84"/>
      <c r="L244" s="84"/>
      <c r="M244" s="84"/>
      <c r="N244" s="84"/>
      <c r="O244" s="84"/>
      <c r="P244" s="84"/>
      <c r="Q244" s="83"/>
    </row>
    <row r="245" spans="1:17">
      <c r="A245" s="82"/>
      <c r="B245" s="83"/>
      <c r="C245" s="83"/>
      <c r="D245" s="83"/>
      <c r="E245" s="84"/>
      <c r="F245" s="84"/>
      <c r="G245" s="84"/>
      <c r="H245" s="84"/>
      <c r="I245" s="84"/>
      <c r="J245" s="84"/>
      <c r="K245" s="84"/>
      <c r="L245" s="84"/>
      <c r="M245" s="84"/>
      <c r="N245" s="84"/>
      <c r="O245" s="84"/>
      <c r="P245" s="84"/>
      <c r="Q245" s="83"/>
    </row>
    <row r="246" spans="1:17">
      <c r="A246" s="82"/>
      <c r="B246" s="83"/>
      <c r="C246" s="83"/>
      <c r="D246" s="83"/>
      <c r="E246" s="84"/>
      <c r="F246" s="84"/>
      <c r="G246" s="84"/>
      <c r="H246" s="84"/>
      <c r="I246" s="84"/>
      <c r="J246" s="84"/>
      <c r="K246" s="84"/>
      <c r="L246" s="84"/>
      <c r="M246" s="84"/>
      <c r="N246" s="84"/>
      <c r="O246" s="84"/>
      <c r="P246" s="84"/>
      <c r="Q246" s="83"/>
    </row>
    <row r="247" spans="1:17">
      <c r="A247" s="82"/>
      <c r="B247" s="83"/>
      <c r="C247" s="83"/>
      <c r="D247" s="83"/>
      <c r="E247" s="84"/>
      <c r="F247" s="84"/>
      <c r="G247" s="84"/>
      <c r="H247" s="84"/>
      <c r="I247" s="84"/>
      <c r="J247" s="84"/>
      <c r="K247" s="84"/>
      <c r="L247" s="84"/>
      <c r="M247" s="84"/>
      <c r="N247" s="84"/>
      <c r="O247" s="84"/>
      <c r="P247" s="84"/>
      <c r="Q247" s="83"/>
    </row>
    <row r="248" spans="1:17">
      <c r="A248" s="82"/>
      <c r="B248" s="83"/>
      <c r="C248" s="83"/>
      <c r="D248" s="83"/>
      <c r="E248" s="84"/>
      <c r="F248" s="84"/>
      <c r="G248" s="84"/>
      <c r="H248" s="84"/>
      <c r="I248" s="84"/>
      <c r="J248" s="84"/>
      <c r="K248" s="84"/>
      <c r="L248" s="84"/>
      <c r="M248" s="84"/>
      <c r="N248" s="84"/>
      <c r="O248" s="84"/>
      <c r="P248" s="84"/>
      <c r="Q248" s="83"/>
    </row>
    <row r="249" spans="1:17">
      <c r="A249" s="82"/>
      <c r="B249" s="83"/>
      <c r="C249" s="83"/>
      <c r="D249" s="83"/>
      <c r="E249" s="84"/>
      <c r="F249" s="84"/>
      <c r="G249" s="84"/>
      <c r="H249" s="84"/>
      <c r="I249" s="84"/>
      <c r="J249" s="84"/>
      <c r="K249" s="84"/>
      <c r="L249" s="84"/>
      <c r="M249" s="84"/>
      <c r="N249" s="84"/>
      <c r="O249" s="84"/>
      <c r="P249" s="84"/>
      <c r="Q249" s="83"/>
    </row>
    <row r="250" spans="1:17">
      <c r="A250" s="82"/>
      <c r="B250" s="83"/>
      <c r="C250" s="83"/>
      <c r="D250" s="83"/>
      <c r="E250" s="84"/>
      <c r="F250" s="84"/>
      <c r="G250" s="84"/>
      <c r="H250" s="84"/>
      <c r="I250" s="84"/>
      <c r="J250" s="84"/>
      <c r="K250" s="84"/>
      <c r="L250" s="84"/>
      <c r="M250" s="84"/>
      <c r="N250" s="84"/>
      <c r="O250" s="84"/>
      <c r="P250" s="84"/>
      <c r="Q250" s="83"/>
    </row>
    <row r="251" spans="1:17">
      <c r="A251" s="82"/>
      <c r="B251" s="83"/>
      <c r="C251" s="83"/>
      <c r="D251" s="83"/>
      <c r="E251" s="84"/>
      <c r="F251" s="84"/>
      <c r="G251" s="84"/>
      <c r="H251" s="84"/>
      <c r="I251" s="84"/>
      <c r="J251" s="84"/>
      <c r="K251" s="84"/>
      <c r="L251" s="84"/>
      <c r="M251" s="84"/>
      <c r="N251" s="84"/>
      <c r="O251" s="84"/>
      <c r="P251" s="84"/>
      <c r="Q251" s="83"/>
    </row>
    <row r="252" spans="1:17">
      <c r="A252" s="82"/>
      <c r="B252" s="83"/>
      <c r="C252" s="83"/>
      <c r="D252" s="83"/>
      <c r="E252" s="84"/>
      <c r="F252" s="84"/>
      <c r="G252" s="84"/>
      <c r="H252" s="84"/>
      <c r="I252" s="84"/>
      <c r="J252" s="84"/>
      <c r="K252" s="84"/>
      <c r="L252" s="84"/>
      <c r="M252" s="84"/>
      <c r="N252" s="84"/>
      <c r="O252" s="84"/>
      <c r="P252" s="84"/>
      <c r="Q252" s="83"/>
    </row>
    <row r="253" spans="1:17">
      <c r="A253" s="82"/>
      <c r="B253" s="83"/>
      <c r="C253" s="83"/>
      <c r="D253" s="83"/>
      <c r="E253" s="84"/>
      <c r="F253" s="84"/>
      <c r="G253" s="84"/>
      <c r="H253" s="84"/>
      <c r="I253" s="84"/>
      <c r="J253" s="84"/>
      <c r="K253" s="84"/>
      <c r="L253" s="84"/>
      <c r="M253" s="84"/>
      <c r="N253" s="84"/>
      <c r="O253" s="84"/>
      <c r="P253" s="84"/>
      <c r="Q253" s="83"/>
    </row>
    <row r="254" spans="1:17">
      <c r="A254" s="82"/>
      <c r="B254" s="83"/>
      <c r="C254" s="83"/>
      <c r="D254" s="83"/>
      <c r="E254" s="84"/>
      <c r="F254" s="84"/>
      <c r="G254" s="84"/>
      <c r="H254" s="84"/>
      <c r="I254" s="84"/>
      <c r="J254" s="84"/>
      <c r="K254" s="84"/>
      <c r="L254" s="84"/>
      <c r="M254" s="84"/>
      <c r="N254" s="84"/>
      <c r="O254" s="84"/>
      <c r="P254" s="84"/>
      <c r="Q254" s="83"/>
    </row>
    <row r="255" spans="1:17">
      <c r="A255" s="82"/>
      <c r="B255" s="83"/>
      <c r="C255" s="83"/>
      <c r="D255" s="83"/>
      <c r="E255" s="84"/>
      <c r="F255" s="84"/>
      <c r="G255" s="84"/>
      <c r="H255" s="84"/>
      <c r="I255" s="84"/>
      <c r="J255" s="84"/>
      <c r="K255" s="84"/>
      <c r="L255" s="84"/>
      <c r="M255" s="84"/>
      <c r="N255" s="84"/>
      <c r="O255" s="84"/>
      <c r="P255" s="84"/>
      <c r="Q255" s="83"/>
    </row>
    <row r="256" spans="1:17">
      <c r="A256" s="82"/>
      <c r="B256" s="83"/>
      <c r="C256" s="83"/>
      <c r="D256" s="83"/>
      <c r="E256" s="84"/>
      <c r="F256" s="84"/>
      <c r="G256" s="84"/>
      <c r="H256" s="84"/>
      <c r="I256" s="84"/>
      <c r="J256" s="84"/>
      <c r="K256" s="84"/>
      <c r="L256" s="84"/>
      <c r="M256" s="84"/>
      <c r="N256" s="84"/>
      <c r="O256" s="84"/>
      <c r="P256" s="84"/>
      <c r="Q256" s="83"/>
    </row>
    <row r="257" spans="1:17">
      <c r="A257" s="82"/>
      <c r="B257" s="83"/>
      <c r="C257" s="83"/>
      <c r="D257" s="83"/>
      <c r="E257" s="84"/>
      <c r="F257" s="84"/>
      <c r="G257" s="84"/>
      <c r="H257" s="84"/>
      <c r="I257" s="84"/>
      <c r="J257" s="84"/>
      <c r="K257" s="84"/>
      <c r="L257" s="84"/>
      <c r="M257" s="84"/>
      <c r="N257" s="84"/>
      <c r="O257" s="84"/>
      <c r="P257" s="84"/>
      <c r="Q257" s="83"/>
    </row>
    <row r="258" spans="1:17">
      <c r="A258" s="82"/>
      <c r="B258" s="83"/>
      <c r="C258" s="83"/>
      <c r="D258" s="83"/>
      <c r="E258" s="84"/>
      <c r="F258" s="84"/>
      <c r="G258" s="84"/>
      <c r="H258" s="84"/>
      <c r="I258" s="84"/>
      <c r="J258" s="84"/>
      <c r="K258" s="84"/>
      <c r="L258" s="84"/>
      <c r="M258" s="84"/>
      <c r="N258" s="84"/>
      <c r="O258" s="84"/>
      <c r="P258" s="84"/>
      <c r="Q258" s="83"/>
    </row>
    <row r="259" spans="1:17">
      <c r="A259" s="82"/>
      <c r="B259" s="83"/>
      <c r="C259" s="83"/>
      <c r="D259" s="83"/>
      <c r="E259" s="84"/>
      <c r="F259" s="84"/>
      <c r="G259" s="84"/>
      <c r="H259" s="84"/>
      <c r="I259" s="84"/>
      <c r="J259" s="84"/>
      <c r="K259" s="84"/>
      <c r="L259" s="84"/>
      <c r="M259" s="84"/>
      <c r="N259" s="84"/>
      <c r="O259" s="84"/>
      <c r="P259" s="84"/>
      <c r="Q259" s="83"/>
    </row>
    <row r="260" spans="1:17">
      <c r="A260" s="82"/>
      <c r="B260" s="83"/>
      <c r="C260" s="83"/>
      <c r="D260" s="83"/>
      <c r="E260" s="84"/>
      <c r="F260" s="84"/>
      <c r="G260" s="84"/>
      <c r="H260" s="84"/>
      <c r="I260" s="84"/>
      <c r="J260" s="84"/>
      <c r="K260" s="84"/>
      <c r="L260" s="84"/>
      <c r="M260" s="84"/>
      <c r="N260" s="84"/>
      <c r="O260" s="84"/>
      <c r="P260" s="84"/>
      <c r="Q260" s="83"/>
    </row>
    <row r="261" spans="1:17">
      <c r="A261" s="82"/>
      <c r="B261" s="83"/>
      <c r="C261" s="83"/>
      <c r="D261" s="83"/>
      <c r="E261" s="84"/>
      <c r="F261" s="84"/>
      <c r="G261" s="84"/>
      <c r="H261" s="84"/>
      <c r="I261" s="84"/>
      <c r="J261" s="84"/>
      <c r="K261" s="84"/>
      <c r="L261" s="84"/>
      <c r="M261" s="84"/>
      <c r="N261" s="84"/>
      <c r="O261" s="84"/>
      <c r="P261" s="84"/>
      <c r="Q261" s="83"/>
    </row>
    <row r="262" spans="1:17">
      <c r="A262" s="82"/>
      <c r="B262" s="83"/>
      <c r="C262" s="83"/>
      <c r="D262" s="83"/>
      <c r="E262" s="84"/>
      <c r="F262" s="84"/>
      <c r="G262" s="84"/>
      <c r="H262" s="84"/>
      <c r="I262" s="84"/>
      <c r="J262" s="84"/>
      <c r="K262" s="84"/>
      <c r="L262" s="84"/>
      <c r="M262" s="84"/>
      <c r="N262" s="84"/>
      <c r="O262" s="84"/>
      <c r="P262" s="84"/>
      <c r="Q262" s="83"/>
    </row>
    <row r="263" spans="1:17">
      <c r="A263" s="82"/>
      <c r="B263" s="83"/>
      <c r="C263" s="83"/>
      <c r="D263" s="83"/>
      <c r="E263" s="84"/>
      <c r="F263" s="84"/>
      <c r="G263" s="84"/>
      <c r="H263" s="84"/>
      <c r="I263" s="84"/>
      <c r="J263" s="84"/>
      <c r="K263" s="84"/>
      <c r="L263" s="84"/>
      <c r="M263" s="84"/>
      <c r="N263" s="84"/>
      <c r="O263" s="84"/>
      <c r="P263" s="84"/>
      <c r="Q263" s="83"/>
    </row>
    <row r="264" spans="1:17">
      <c r="A264" s="82"/>
      <c r="B264" s="83"/>
      <c r="C264" s="83"/>
      <c r="D264" s="83"/>
      <c r="E264" s="84"/>
      <c r="F264" s="84"/>
      <c r="G264" s="84"/>
      <c r="H264" s="84"/>
      <c r="I264" s="84"/>
      <c r="J264" s="84"/>
      <c r="K264" s="84"/>
      <c r="L264" s="84"/>
      <c r="M264" s="84"/>
      <c r="N264" s="84"/>
      <c r="O264" s="84"/>
      <c r="P264" s="84"/>
      <c r="Q264" s="83"/>
    </row>
    <row r="265" spans="1:17">
      <c r="A265" s="82"/>
      <c r="B265" s="83"/>
      <c r="C265" s="83"/>
      <c r="D265" s="83"/>
      <c r="E265" s="84"/>
      <c r="F265" s="84"/>
      <c r="G265" s="84"/>
      <c r="H265" s="84"/>
      <c r="I265" s="84"/>
      <c r="J265" s="84"/>
      <c r="K265" s="84"/>
      <c r="L265" s="84"/>
      <c r="M265" s="84"/>
      <c r="N265" s="84"/>
      <c r="O265" s="84"/>
      <c r="P265" s="84"/>
      <c r="Q265" s="83"/>
    </row>
    <row r="266" spans="1:17">
      <c r="A266" s="82"/>
      <c r="B266" s="83"/>
      <c r="C266" s="83"/>
      <c r="D266" s="83"/>
      <c r="E266" s="84"/>
      <c r="F266" s="84"/>
      <c r="G266" s="84"/>
      <c r="H266" s="84"/>
      <c r="I266" s="84"/>
      <c r="J266" s="84"/>
      <c r="K266" s="84"/>
      <c r="L266" s="84"/>
      <c r="M266" s="84"/>
      <c r="N266" s="84"/>
      <c r="O266" s="84"/>
      <c r="P266" s="84"/>
      <c r="Q266" s="83"/>
    </row>
  </sheetData>
  <sheetProtection sheet="1" formatCells="0" formatColumns="0" formatRows="0"/>
  <mergeCells count="31">
    <mergeCell ref="B25:D25"/>
    <mergeCell ref="B26:D26"/>
    <mergeCell ref="B3:D3"/>
    <mergeCell ref="B4:D4"/>
    <mergeCell ref="B5:D5"/>
    <mergeCell ref="B6:D6"/>
    <mergeCell ref="B8:D8"/>
    <mergeCell ref="B9:D9"/>
    <mergeCell ref="B10:D10"/>
    <mergeCell ref="B11:D11"/>
    <mergeCell ref="B12:D12"/>
    <mergeCell ref="B16:D16"/>
    <mergeCell ref="B17:D17"/>
    <mergeCell ref="B18:D18"/>
    <mergeCell ref="B19:D19"/>
    <mergeCell ref="B22:D22"/>
    <mergeCell ref="C63:D63"/>
    <mergeCell ref="C73:D73"/>
    <mergeCell ref="C27:D27"/>
    <mergeCell ref="C28:D28"/>
    <mergeCell ref="C29:D29"/>
    <mergeCell ref="C30:D32"/>
    <mergeCell ref="C33:D33"/>
    <mergeCell ref="B23:D23"/>
    <mergeCell ref="B24:D24"/>
    <mergeCell ref="C1:D1"/>
    <mergeCell ref="C2:D2"/>
    <mergeCell ref="B13:D13"/>
    <mergeCell ref="B14:D14"/>
    <mergeCell ref="B15:D15"/>
    <mergeCell ref="B7:D7"/>
  </mergeCells>
  <dataValidations count="2">
    <dataValidation type="list" allowBlank="1" showInputMessage="1" showErrorMessage="1" sqref="E4" xr:uid="{00000000-0002-0000-2200-000000000000}">
      <formula1>$R$4:$R$5</formula1>
    </dataValidation>
    <dataValidation type="list" allowBlank="1" showInputMessage="1" showErrorMessage="1" sqref="E7:P7" xr:uid="{8834A82B-8611-D042-B41D-ED9F20D7CBB4}">
      <formula1>$R$7:$R$8</formula1>
    </dataValidation>
  </dataValidations>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32" max="16383" man="1"/>
  </rowBreaks>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000-000000000000}">
          <x14:formula1>
            <xm:f>Grundlon12!$F$124:$F$127</xm:f>
          </x14:formula1>
          <xm:sqref>E23:P23</xm:sqref>
        </x14:dataValidation>
        <x14:dataValidation type="list" allowBlank="1" showInputMessage="1" showErrorMessage="1" xr:uid="{00000000-0002-0000-2000-000001000000}">
          <x14:formula1>
            <xm:f>Grundlon12!$B$124:$B$157</xm:f>
          </x14:formula1>
          <xm:sqref>E5:P5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29">
    <pageSetUpPr fitToPage="1"/>
  </sheetPr>
  <dimension ref="A1:N157"/>
  <sheetViews>
    <sheetView showGridLines="0" topLeftCell="A62" workbookViewId="0">
      <selection activeCell="B71" sqref="B71"/>
    </sheetView>
  </sheetViews>
  <sheetFormatPr baseColWidth="10" defaultColWidth="10.5703125" defaultRowHeight="16"/>
  <cols>
    <col min="1" max="6" width="10.5703125" style="287"/>
    <col min="7" max="7" width="12.42578125" style="287" bestFit="1" customWidth="1"/>
    <col min="8" max="16384" width="10.5703125" style="287"/>
  </cols>
  <sheetData>
    <row r="1" spans="1:7">
      <c r="A1" s="284" t="s">
        <v>281</v>
      </c>
      <c r="B1" s="285"/>
      <c r="C1" s="285"/>
      <c r="D1" s="285"/>
      <c r="E1" s="285"/>
      <c r="F1" s="285"/>
      <c r="G1" s="286"/>
    </row>
    <row r="2" spans="1:7">
      <c r="A2" s="288"/>
      <c r="B2" s="289"/>
      <c r="C2" s="290"/>
      <c r="D2" s="291" t="s">
        <v>49</v>
      </c>
      <c r="E2" s="290"/>
      <c r="F2" s="292"/>
      <c r="G2" s="293"/>
    </row>
    <row r="3" spans="1:7">
      <c r="A3" s="294" t="s">
        <v>50</v>
      </c>
      <c r="B3" s="295" t="s">
        <v>78</v>
      </c>
      <c r="C3" s="296" t="s">
        <v>79</v>
      </c>
      <c r="D3" s="296" t="s">
        <v>80</v>
      </c>
      <c r="E3" s="296" t="s">
        <v>81</v>
      </c>
      <c r="F3" s="296" t="s">
        <v>161</v>
      </c>
      <c r="G3" s="297" t="s">
        <v>162</v>
      </c>
    </row>
    <row r="4" spans="1:7">
      <c r="A4" s="298">
        <v>1</v>
      </c>
      <c r="B4" s="299">
        <v>184817</v>
      </c>
      <c r="C4" s="300">
        <v>188265</v>
      </c>
      <c r="D4" s="300">
        <v>190650</v>
      </c>
      <c r="E4" s="300">
        <v>194098</v>
      </c>
      <c r="F4" s="300">
        <v>196484</v>
      </c>
      <c r="G4" s="301">
        <v>171917.38</v>
      </c>
    </row>
    <row r="5" spans="1:7">
      <c r="A5" s="298">
        <v>2</v>
      </c>
      <c r="B5" s="299">
        <v>187655</v>
      </c>
      <c r="C5" s="300">
        <v>191187</v>
      </c>
      <c r="D5" s="300">
        <v>193632</v>
      </c>
      <c r="E5" s="300">
        <v>197161</v>
      </c>
      <c r="F5" s="300">
        <v>199607</v>
      </c>
      <c r="G5" s="301">
        <v>174577.34</v>
      </c>
    </row>
    <row r="6" spans="1:7">
      <c r="A6" s="298">
        <v>3</v>
      </c>
      <c r="B6" s="299">
        <v>190571</v>
      </c>
      <c r="C6" s="300">
        <v>194187</v>
      </c>
      <c r="D6" s="300">
        <v>196692</v>
      </c>
      <c r="E6" s="300">
        <v>200308</v>
      </c>
      <c r="F6" s="300">
        <v>202814</v>
      </c>
      <c r="G6" s="301">
        <v>177309.48</v>
      </c>
    </row>
    <row r="7" spans="1:7">
      <c r="A7" s="298">
        <v>4</v>
      </c>
      <c r="B7" s="299">
        <v>193567</v>
      </c>
      <c r="C7" s="300">
        <v>197274</v>
      </c>
      <c r="D7" s="300">
        <v>199840</v>
      </c>
      <c r="E7" s="300">
        <v>203545</v>
      </c>
      <c r="F7" s="300">
        <v>206110</v>
      </c>
      <c r="G7" s="301">
        <v>180117.41</v>
      </c>
    </row>
    <row r="8" spans="1:7">
      <c r="A8" s="298">
        <v>5</v>
      </c>
      <c r="B8" s="299">
        <v>196645</v>
      </c>
      <c r="C8" s="300">
        <v>200442</v>
      </c>
      <c r="D8" s="300">
        <v>203072</v>
      </c>
      <c r="E8" s="300">
        <v>206869</v>
      </c>
      <c r="F8" s="300">
        <v>209497</v>
      </c>
      <c r="G8" s="301">
        <v>183001.14</v>
      </c>
    </row>
    <row r="9" spans="1:7">
      <c r="A9" s="298">
        <v>6</v>
      </c>
      <c r="B9" s="299">
        <v>199810</v>
      </c>
      <c r="C9" s="300">
        <v>203700</v>
      </c>
      <c r="D9" s="300">
        <v>206395</v>
      </c>
      <c r="E9" s="300">
        <v>210285</v>
      </c>
      <c r="F9" s="300">
        <v>212978</v>
      </c>
      <c r="G9" s="301">
        <v>185966.06</v>
      </c>
    </row>
    <row r="10" spans="1:7">
      <c r="A10" s="298">
        <v>7</v>
      </c>
      <c r="B10" s="299">
        <v>203058</v>
      </c>
      <c r="C10" s="300">
        <v>207045</v>
      </c>
      <c r="D10" s="300">
        <v>209805</v>
      </c>
      <c r="E10" s="300">
        <v>213792</v>
      </c>
      <c r="F10" s="300">
        <v>216551</v>
      </c>
      <c r="G10" s="301">
        <v>189010.4</v>
      </c>
    </row>
    <row r="11" spans="1:7">
      <c r="A11" s="298">
        <v>8</v>
      </c>
      <c r="B11" s="299">
        <v>206396</v>
      </c>
      <c r="C11" s="300">
        <v>210482</v>
      </c>
      <c r="D11" s="300">
        <v>213311</v>
      </c>
      <c r="E11" s="300">
        <v>217397</v>
      </c>
      <c r="F11" s="300">
        <v>220226</v>
      </c>
      <c r="G11" s="301">
        <v>192139.54</v>
      </c>
    </row>
    <row r="12" spans="1:7">
      <c r="A12" s="298">
        <v>9</v>
      </c>
      <c r="B12" s="299">
        <v>209829</v>
      </c>
      <c r="C12" s="300">
        <v>214015</v>
      </c>
      <c r="D12" s="300">
        <v>216916</v>
      </c>
      <c r="E12" s="300">
        <v>221102</v>
      </c>
      <c r="F12" s="300">
        <v>224002</v>
      </c>
      <c r="G12" s="301">
        <v>195355.31</v>
      </c>
    </row>
    <row r="13" spans="1:7">
      <c r="A13" s="298">
        <v>10</v>
      </c>
      <c r="B13" s="299">
        <v>213353</v>
      </c>
      <c r="C13" s="300">
        <v>217646</v>
      </c>
      <c r="D13" s="300">
        <v>220617</v>
      </c>
      <c r="E13" s="300">
        <v>224909</v>
      </c>
      <c r="F13" s="300">
        <v>227882</v>
      </c>
      <c r="G13" s="301">
        <v>198659.5</v>
      </c>
    </row>
    <row r="14" spans="1:7">
      <c r="A14" s="298">
        <v>11</v>
      </c>
      <c r="B14" s="299">
        <v>216134</v>
      </c>
      <c r="C14" s="300">
        <v>220533</v>
      </c>
      <c r="D14" s="300">
        <v>223579</v>
      </c>
      <c r="E14" s="300">
        <v>227978</v>
      </c>
      <c r="F14" s="300">
        <v>231023</v>
      </c>
      <c r="G14" s="301">
        <v>202053.93</v>
      </c>
    </row>
    <row r="15" spans="1:7">
      <c r="A15" s="298">
        <v>12</v>
      </c>
      <c r="B15" s="299">
        <v>219855</v>
      </c>
      <c r="C15" s="300">
        <v>224365</v>
      </c>
      <c r="D15" s="300">
        <v>227489</v>
      </c>
      <c r="E15" s="300">
        <v>231997</v>
      </c>
      <c r="F15" s="300">
        <v>235119</v>
      </c>
      <c r="G15" s="301">
        <v>205542.18</v>
      </c>
    </row>
    <row r="16" spans="1:7">
      <c r="A16" s="298">
        <v>13</v>
      </c>
      <c r="B16" s="299">
        <v>223681</v>
      </c>
      <c r="C16" s="300">
        <v>228304</v>
      </c>
      <c r="D16" s="300">
        <v>231504</v>
      </c>
      <c r="E16" s="300">
        <v>236129</v>
      </c>
      <c r="F16" s="300">
        <v>239328</v>
      </c>
      <c r="G16" s="301">
        <v>209126.09</v>
      </c>
    </row>
    <row r="17" spans="1:7">
      <c r="A17" s="298">
        <v>14</v>
      </c>
      <c r="B17" s="299">
        <v>227611</v>
      </c>
      <c r="C17" s="300">
        <v>232351</v>
      </c>
      <c r="D17" s="300">
        <v>235632</v>
      </c>
      <c r="E17" s="300">
        <v>240371</v>
      </c>
      <c r="F17" s="300">
        <v>243652</v>
      </c>
      <c r="G17" s="301">
        <v>212809.24</v>
      </c>
    </row>
    <row r="18" spans="1:7">
      <c r="A18" s="298">
        <v>15</v>
      </c>
      <c r="B18" s="299">
        <v>231649</v>
      </c>
      <c r="C18" s="300">
        <v>236507</v>
      </c>
      <c r="D18" s="300">
        <v>239870</v>
      </c>
      <c r="E18" s="300">
        <v>244730</v>
      </c>
      <c r="F18" s="300">
        <v>248094</v>
      </c>
      <c r="G18" s="301">
        <v>216591.65</v>
      </c>
    </row>
    <row r="19" spans="1:7">
      <c r="A19" s="298">
        <v>16</v>
      </c>
      <c r="B19" s="299">
        <v>234743</v>
      </c>
      <c r="C19" s="300">
        <v>239725</v>
      </c>
      <c r="D19" s="300">
        <v>243175</v>
      </c>
      <c r="E19" s="300">
        <v>248156</v>
      </c>
      <c r="F19" s="300">
        <v>251606</v>
      </c>
      <c r="G19" s="301">
        <v>220480.52</v>
      </c>
    </row>
    <row r="20" spans="1:7">
      <c r="A20" s="298">
        <v>17</v>
      </c>
      <c r="B20" s="299">
        <v>239005</v>
      </c>
      <c r="C20" s="300">
        <v>244114</v>
      </c>
      <c r="D20" s="300">
        <v>247651</v>
      </c>
      <c r="E20" s="300">
        <v>252759</v>
      </c>
      <c r="F20" s="300">
        <v>256294</v>
      </c>
      <c r="G20" s="301">
        <v>224474.06</v>
      </c>
    </row>
    <row r="21" spans="1:7">
      <c r="A21" s="298">
        <v>18</v>
      </c>
      <c r="B21" s="299">
        <v>243387</v>
      </c>
      <c r="C21" s="300">
        <v>248626</v>
      </c>
      <c r="D21" s="300">
        <v>252252</v>
      </c>
      <c r="E21" s="300">
        <v>257490</v>
      </c>
      <c r="F21" s="300">
        <v>261115</v>
      </c>
      <c r="G21" s="301">
        <v>228579.5</v>
      </c>
    </row>
    <row r="22" spans="1:7">
      <c r="A22" s="298">
        <v>19</v>
      </c>
      <c r="B22" s="299">
        <v>246657</v>
      </c>
      <c r="C22" s="300">
        <v>252029</v>
      </c>
      <c r="D22" s="300">
        <v>255746</v>
      </c>
      <c r="E22" s="300">
        <v>261119</v>
      </c>
      <c r="F22" s="300">
        <v>264839</v>
      </c>
      <c r="G22" s="301">
        <v>232796.81</v>
      </c>
    </row>
    <row r="23" spans="1:7">
      <c r="A23" s="298">
        <v>20</v>
      </c>
      <c r="B23" s="299">
        <v>250053</v>
      </c>
      <c r="C23" s="300">
        <v>255560</v>
      </c>
      <c r="D23" s="300">
        <v>259374</v>
      </c>
      <c r="E23" s="300">
        <v>264882</v>
      </c>
      <c r="F23" s="300">
        <v>268694</v>
      </c>
      <c r="G23" s="301">
        <v>237129.61</v>
      </c>
    </row>
    <row r="24" spans="1:7">
      <c r="A24" s="298">
        <v>21</v>
      </c>
      <c r="B24" s="299">
        <v>254192</v>
      </c>
      <c r="C24" s="300">
        <v>259841</v>
      </c>
      <c r="D24" s="300">
        <v>263752</v>
      </c>
      <c r="E24" s="300">
        <v>269401</v>
      </c>
      <c r="F24" s="300">
        <v>273312</v>
      </c>
      <c r="G24" s="301">
        <v>241583.32</v>
      </c>
    </row>
    <row r="25" spans="1:7">
      <c r="A25" s="298">
        <v>22</v>
      </c>
      <c r="B25" s="299">
        <v>258027</v>
      </c>
      <c r="C25" s="300">
        <v>263676</v>
      </c>
      <c r="D25" s="300">
        <v>267587</v>
      </c>
      <c r="E25" s="300">
        <v>273236</v>
      </c>
      <c r="F25" s="300">
        <v>277147</v>
      </c>
      <c r="G25" s="301">
        <v>246033.33</v>
      </c>
    </row>
    <row r="26" spans="1:7">
      <c r="A26" s="298">
        <v>23</v>
      </c>
      <c r="B26" s="299">
        <v>262137</v>
      </c>
      <c r="C26" s="300">
        <v>267629</v>
      </c>
      <c r="D26" s="300">
        <v>271434</v>
      </c>
      <c r="E26" s="300">
        <v>276928</v>
      </c>
      <c r="F26" s="300">
        <v>280730</v>
      </c>
      <c r="G26" s="301">
        <v>250472.55</v>
      </c>
    </row>
    <row r="27" spans="1:7">
      <c r="A27" s="298">
        <v>24</v>
      </c>
      <c r="B27" s="299">
        <v>266372</v>
      </c>
      <c r="C27" s="300">
        <v>271710</v>
      </c>
      <c r="D27" s="300">
        <v>275406</v>
      </c>
      <c r="E27" s="300">
        <v>280745</v>
      </c>
      <c r="F27" s="300">
        <v>284441</v>
      </c>
      <c r="G27" s="301">
        <v>255037.97</v>
      </c>
    </row>
    <row r="28" spans="1:7">
      <c r="A28" s="298">
        <v>25</v>
      </c>
      <c r="B28" s="299">
        <v>270701</v>
      </c>
      <c r="C28" s="300">
        <v>275873</v>
      </c>
      <c r="D28" s="300">
        <v>279454</v>
      </c>
      <c r="E28" s="300">
        <v>284626</v>
      </c>
      <c r="F28" s="300">
        <v>288206</v>
      </c>
      <c r="G28" s="301">
        <v>259721.7</v>
      </c>
    </row>
    <row r="29" spans="1:7">
      <c r="A29" s="298">
        <v>26</v>
      </c>
      <c r="B29" s="299">
        <v>275131</v>
      </c>
      <c r="C29" s="300">
        <v>280123</v>
      </c>
      <c r="D29" s="300">
        <v>283580</v>
      </c>
      <c r="E29" s="300">
        <v>288573</v>
      </c>
      <c r="F29" s="300">
        <v>292029</v>
      </c>
      <c r="G29" s="301">
        <v>264528.59000000003</v>
      </c>
    </row>
    <row r="30" spans="1:7">
      <c r="A30" s="298">
        <v>27</v>
      </c>
      <c r="B30" s="299">
        <v>279656</v>
      </c>
      <c r="C30" s="300">
        <v>284456</v>
      </c>
      <c r="D30" s="300">
        <v>287782</v>
      </c>
      <c r="E30" s="300">
        <v>292583</v>
      </c>
      <c r="F30" s="300">
        <v>295908</v>
      </c>
      <c r="G30" s="301">
        <v>269459.90000000002</v>
      </c>
    </row>
    <row r="31" spans="1:7">
      <c r="A31" s="298">
        <v>28</v>
      </c>
      <c r="B31" s="299">
        <v>284283</v>
      </c>
      <c r="C31" s="300">
        <v>288881</v>
      </c>
      <c r="D31" s="300">
        <v>292064</v>
      </c>
      <c r="E31" s="300">
        <v>296661</v>
      </c>
      <c r="F31" s="300">
        <v>299845</v>
      </c>
      <c r="G31" s="301">
        <v>274522.23</v>
      </c>
    </row>
    <row r="32" spans="1:7">
      <c r="A32" s="298">
        <v>29</v>
      </c>
      <c r="B32" s="299">
        <v>289014</v>
      </c>
      <c r="C32" s="300">
        <v>293394</v>
      </c>
      <c r="D32" s="300">
        <v>296427</v>
      </c>
      <c r="E32" s="300">
        <v>300807</v>
      </c>
      <c r="F32" s="300">
        <v>303839</v>
      </c>
      <c r="G32" s="301">
        <v>279714.99</v>
      </c>
    </row>
    <row r="33" spans="1:7">
      <c r="A33" s="298">
        <v>30</v>
      </c>
      <c r="B33" s="299">
        <v>293853</v>
      </c>
      <c r="C33" s="300">
        <v>298001</v>
      </c>
      <c r="D33" s="300">
        <v>300872</v>
      </c>
      <c r="E33" s="300">
        <v>305018</v>
      </c>
      <c r="F33" s="300">
        <v>307890</v>
      </c>
      <c r="G33" s="301">
        <v>285044.74</v>
      </c>
    </row>
    <row r="34" spans="1:7">
      <c r="A34" s="298">
        <v>31</v>
      </c>
      <c r="B34" s="299">
        <v>298795</v>
      </c>
      <c r="C34" s="300">
        <v>302696</v>
      </c>
      <c r="D34" s="300">
        <v>305398</v>
      </c>
      <c r="E34" s="300">
        <v>309299</v>
      </c>
      <c r="F34" s="300">
        <v>312000</v>
      </c>
      <c r="G34" s="301">
        <v>290512.64000000001</v>
      </c>
    </row>
    <row r="35" spans="1:7">
      <c r="A35" s="298">
        <v>32</v>
      </c>
      <c r="B35" s="299">
        <v>303852</v>
      </c>
      <c r="C35" s="300">
        <v>307490</v>
      </c>
      <c r="D35" s="300">
        <v>310009</v>
      </c>
      <c r="E35" s="300">
        <v>313649</v>
      </c>
      <c r="F35" s="300">
        <v>316167</v>
      </c>
      <c r="G35" s="301">
        <v>296125.21000000002</v>
      </c>
    </row>
    <row r="36" spans="1:7">
      <c r="A36" s="298">
        <v>33</v>
      </c>
      <c r="B36" s="299">
        <v>309016</v>
      </c>
      <c r="C36" s="300">
        <v>312375</v>
      </c>
      <c r="D36" s="300">
        <v>314703</v>
      </c>
      <c r="E36" s="300">
        <v>318063</v>
      </c>
      <c r="F36" s="300">
        <v>320390</v>
      </c>
      <c r="G36" s="301">
        <v>301881.8</v>
      </c>
    </row>
    <row r="37" spans="1:7">
      <c r="A37" s="298">
        <v>34</v>
      </c>
      <c r="B37" s="299">
        <v>314298</v>
      </c>
      <c r="C37" s="300">
        <v>317363</v>
      </c>
      <c r="D37" s="300">
        <v>319485</v>
      </c>
      <c r="E37" s="300">
        <v>322548</v>
      </c>
      <c r="F37" s="300">
        <v>324670</v>
      </c>
      <c r="G37" s="301">
        <v>307790.62</v>
      </c>
    </row>
    <row r="38" spans="1:7">
      <c r="A38" s="298">
        <v>35</v>
      </c>
      <c r="B38" s="299">
        <v>319697</v>
      </c>
      <c r="C38" s="300">
        <v>322450</v>
      </c>
      <c r="D38" s="300">
        <v>324354</v>
      </c>
      <c r="E38" s="300">
        <v>327107</v>
      </c>
      <c r="F38" s="300">
        <v>329011</v>
      </c>
      <c r="G38" s="301">
        <v>313854.56</v>
      </c>
    </row>
    <row r="39" spans="1:7">
      <c r="A39" s="298">
        <v>36</v>
      </c>
      <c r="B39" s="299">
        <v>325214</v>
      </c>
      <c r="C39" s="300">
        <v>327634</v>
      </c>
      <c r="D39" s="300">
        <v>329310</v>
      </c>
      <c r="E39" s="300">
        <v>331731</v>
      </c>
      <c r="F39" s="300">
        <v>333406</v>
      </c>
      <c r="G39" s="301">
        <v>320074.68</v>
      </c>
    </row>
    <row r="40" spans="1:7">
      <c r="A40" s="298">
        <v>37</v>
      </c>
      <c r="B40" s="299">
        <v>330853</v>
      </c>
      <c r="C40" s="300">
        <v>332923</v>
      </c>
      <c r="D40" s="300">
        <v>334355</v>
      </c>
      <c r="E40" s="300">
        <v>336425</v>
      </c>
      <c r="F40" s="300">
        <v>337859</v>
      </c>
      <c r="G40" s="301">
        <v>326457.34000000003</v>
      </c>
    </row>
    <row r="41" spans="1:7">
      <c r="A41" s="298">
        <v>38</v>
      </c>
      <c r="B41" s="299">
        <v>336808</v>
      </c>
      <c r="C41" s="300">
        <v>338540</v>
      </c>
      <c r="D41" s="300">
        <v>339739</v>
      </c>
      <c r="E41" s="300">
        <v>341471</v>
      </c>
      <c r="F41" s="300">
        <v>342672</v>
      </c>
      <c r="G41" s="301">
        <v>333128.88</v>
      </c>
    </row>
    <row r="42" spans="1:7">
      <c r="A42" s="298">
        <v>39</v>
      </c>
      <c r="B42" s="299">
        <v>342821</v>
      </c>
      <c r="C42" s="300">
        <v>344156</v>
      </c>
      <c r="D42" s="300">
        <v>345080</v>
      </c>
      <c r="E42" s="300">
        <v>346413</v>
      </c>
      <c r="F42" s="300">
        <v>347337</v>
      </c>
      <c r="G42" s="301">
        <v>339989.41</v>
      </c>
    </row>
    <row r="43" spans="1:7">
      <c r="A43" s="298">
        <v>40</v>
      </c>
      <c r="B43" s="299">
        <v>348966</v>
      </c>
      <c r="C43" s="300">
        <v>349878</v>
      </c>
      <c r="D43" s="300">
        <v>350510</v>
      </c>
      <c r="E43" s="300">
        <v>351422</v>
      </c>
      <c r="F43" s="300">
        <v>352054</v>
      </c>
      <c r="G43" s="301">
        <v>347027.46</v>
      </c>
    </row>
    <row r="44" spans="1:7">
      <c r="A44" s="298">
        <v>41</v>
      </c>
      <c r="B44" s="299">
        <v>355245</v>
      </c>
      <c r="C44" s="300">
        <v>355712</v>
      </c>
      <c r="D44" s="300">
        <v>356037</v>
      </c>
      <c r="E44" s="300">
        <v>356505</v>
      </c>
      <c r="F44" s="300">
        <v>356828</v>
      </c>
      <c r="G44" s="301">
        <v>354249.23</v>
      </c>
    </row>
    <row r="45" spans="1:7">
      <c r="A45" s="298">
        <v>42</v>
      </c>
      <c r="B45" s="299">
        <v>361660</v>
      </c>
      <c r="C45" s="300">
        <v>361660</v>
      </c>
      <c r="D45" s="300">
        <v>361660</v>
      </c>
      <c r="E45" s="300">
        <v>361660</v>
      </c>
      <c r="F45" s="300">
        <v>361660</v>
      </c>
      <c r="G45" s="301">
        <v>361659.2</v>
      </c>
    </row>
    <row r="46" spans="1:7">
      <c r="A46" s="298">
        <v>43</v>
      </c>
      <c r="B46" s="299">
        <v>369689</v>
      </c>
      <c r="C46" s="300">
        <v>369689</v>
      </c>
      <c r="D46" s="300">
        <v>369689</v>
      </c>
      <c r="E46" s="300">
        <v>369689</v>
      </c>
      <c r="F46" s="300">
        <v>369689</v>
      </c>
      <c r="G46" s="301">
        <v>369688.53</v>
      </c>
    </row>
    <row r="47" spans="1:7">
      <c r="A47" s="298">
        <v>44</v>
      </c>
      <c r="B47" s="299">
        <v>377937</v>
      </c>
      <c r="C47" s="300">
        <v>377937</v>
      </c>
      <c r="D47" s="300">
        <v>377937</v>
      </c>
      <c r="E47" s="300">
        <v>377937</v>
      </c>
      <c r="F47" s="300">
        <v>377937</v>
      </c>
      <c r="G47" s="301">
        <v>377937.3</v>
      </c>
    </row>
    <row r="48" spans="1:7">
      <c r="A48" s="298">
        <v>45</v>
      </c>
      <c r="B48" s="299">
        <v>386414</v>
      </c>
      <c r="C48" s="300">
        <v>386414</v>
      </c>
      <c r="D48" s="300">
        <v>386414</v>
      </c>
      <c r="E48" s="300">
        <v>386414</v>
      </c>
      <c r="F48" s="300">
        <v>386414</v>
      </c>
      <c r="G48" s="301">
        <v>386414.29</v>
      </c>
    </row>
    <row r="49" spans="1:7">
      <c r="A49" s="298">
        <v>46</v>
      </c>
      <c r="B49" s="299">
        <v>395125</v>
      </c>
      <c r="C49" s="300">
        <v>395125</v>
      </c>
      <c r="D49" s="300">
        <v>395125</v>
      </c>
      <c r="E49" s="300">
        <v>395125</v>
      </c>
      <c r="F49" s="300">
        <v>395125</v>
      </c>
      <c r="G49" s="301">
        <v>395124.74</v>
      </c>
    </row>
    <row r="50" spans="1:7">
      <c r="A50" s="298">
        <v>47</v>
      </c>
      <c r="B50" s="299">
        <v>413269</v>
      </c>
      <c r="C50" s="300">
        <v>413269</v>
      </c>
      <c r="D50" s="300">
        <v>413269</v>
      </c>
      <c r="E50" s="300">
        <v>413269</v>
      </c>
      <c r="F50" s="300">
        <v>413269</v>
      </c>
      <c r="G50" s="301">
        <v>413268.87</v>
      </c>
    </row>
    <row r="51" spans="1:7">
      <c r="A51" s="298">
        <v>48</v>
      </c>
      <c r="B51" s="299">
        <v>441027</v>
      </c>
      <c r="C51" s="300">
        <v>441027</v>
      </c>
      <c r="D51" s="300">
        <v>441027</v>
      </c>
      <c r="E51" s="300">
        <v>441027</v>
      </c>
      <c r="F51" s="300">
        <v>441027</v>
      </c>
      <c r="G51" s="301">
        <v>441025.75</v>
      </c>
    </row>
    <row r="52" spans="1:7">
      <c r="A52" s="298">
        <v>49</v>
      </c>
      <c r="B52" s="299">
        <v>471781</v>
      </c>
      <c r="C52" s="300">
        <v>471781</v>
      </c>
      <c r="D52" s="300">
        <v>471781</v>
      </c>
      <c r="E52" s="300">
        <v>471781</v>
      </c>
      <c r="F52" s="300">
        <v>471781</v>
      </c>
      <c r="G52" s="301">
        <v>471780.9</v>
      </c>
    </row>
    <row r="53" spans="1:7">
      <c r="A53" s="298">
        <v>50</v>
      </c>
      <c r="B53" s="299">
        <v>521094</v>
      </c>
      <c r="C53" s="300">
        <v>521094</v>
      </c>
      <c r="D53" s="300">
        <v>521094</v>
      </c>
      <c r="E53" s="300">
        <v>521094</v>
      </c>
      <c r="F53" s="300">
        <v>521094</v>
      </c>
      <c r="G53" s="301">
        <v>521094.47</v>
      </c>
    </row>
    <row r="54" spans="1:7">
      <c r="A54" s="298">
        <v>51</v>
      </c>
      <c r="B54" s="299">
        <v>592911</v>
      </c>
      <c r="C54" s="300">
        <v>592911</v>
      </c>
      <c r="D54" s="300">
        <v>592911</v>
      </c>
      <c r="E54" s="300">
        <v>592911</v>
      </c>
      <c r="F54" s="300">
        <v>592911</v>
      </c>
      <c r="G54" s="301">
        <v>592911.94999999995</v>
      </c>
    </row>
    <row r="55" spans="1:7">
      <c r="A55" s="298">
        <v>52</v>
      </c>
      <c r="B55" s="299">
        <v>650993</v>
      </c>
      <c r="C55" s="300">
        <v>650993</v>
      </c>
      <c r="D55" s="300">
        <v>650993</v>
      </c>
      <c r="E55" s="300">
        <v>650993</v>
      </c>
      <c r="F55" s="300">
        <v>650993</v>
      </c>
      <c r="G55" s="301">
        <v>650993.51</v>
      </c>
    </row>
    <row r="56" spans="1:7">
      <c r="A56" s="298">
        <v>53</v>
      </c>
      <c r="B56" s="299">
        <v>728408</v>
      </c>
      <c r="C56" s="300">
        <v>728408</v>
      </c>
      <c r="D56" s="300">
        <v>728408</v>
      </c>
      <c r="E56" s="300">
        <v>728408</v>
      </c>
      <c r="F56" s="300">
        <v>728408</v>
      </c>
      <c r="G56" s="301">
        <v>728409.39</v>
      </c>
    </row>
    <row r="57" spans="1:7">
      <c r="A57" s="298">
        <v>54</v>
      </c>
      <c r="B57" s="299">
        <v>821385</v>
      </c>
      <c r="C57" s="300">
        <v>821385</v>
      </c>
      <c r="D57" s="300">
        <v>821385</v>
      </c>
      <c r="E57" s="300">
        <v>821385</v>
      </c>
      <c r="F57" s="300">
        <v>821385</v>
      </c>
      <c r="G57" s="301">
        <v>821385.31</v>
      </c>
    </row>
    <row r="58" spans="1:7" ht="19" customHeight="1">
      <c r="A58" s="298">
        <v>55</v>
      </c>
      <c r="B58" s="299">
        <v>925652</v>
      </c>
      <c r="C58" s="300">
        <v>925652</v>
      </c>
      <c r="D58" s="300">
        <v>925652</v>
      </c>
      <c r="E58" s="300">
        <v>925652</v>
      </c>
      <c r="F58" s="300">
        <v>925652</v>
      </c>
      <c r="G58" s="301">
        <v>925652.26</v>
      </c>
    </row>
    <row r="59" spans="1:7">
      <c r="A59" s="39" t="s">
        <v>120</v>
      </c>
      <c r="B59" s="302">
        <v>279695</v>
      </c>
      <c r="C59" s="303">
        <v>279695</v>
      </c>
      <c r="D59" s="303">
        <v>279695</v>
      </c>
      <c r="E59" s="303">
        <v>279695</v>
      </c>
      <c r="F59" s="303">
        <v>279695</v>
      </c>
      <c r="G59" s="59">
        <v>279695</v>
      </c>
    </row>
    <row r="60" spans="1:7">
      <c r="A60" s="39" t="s">
        <v>119</v>
      </c>
      <c r="B60" s="40">
        <v>298044</v>
      </c>
      <c r="C60" s="41">
        <v>298044</v>
      </c>
      <c r="D60" s="41">
        <v>298044</v>
      </c>
      <c r="E60" s="41">
        <v>298044</v>
      </c>
      <c r="F60" s="41">
        <v>298044</v>
      </c>
      <c r="G60" s="60">
        <v>298044</v>
      </c>
    </row>
    <row r="61" spans="1:7">
      <c r="A61" s="39" t="s">
        <v>117</v>
      </c>
      <c r="B61" s="40">
        <v>325699</v>
      </c>
      <c r="C61" s="41">
        <v>325699</v>
      </c>
      <c r="D61" s="41">
        <v>325699</v>
      </c>
      <c r="E61" s="41">
        <v>325699</v>
      </c>
      <c r="F61" s="41">
        <v>325699</v>
      </c>
      <c r="G61" s="60">
        <v>325699</v>
      </c>
    </row>
    <row r="62" spans="1:7">
      <c r="A62" s="39" t="s">
        <v>382</v>
      </c>
      <c r="B62" s="40">
        <v>351388</v>
      </c>
      <c r="C62" s="41">
        <v>351388</v>
      </c>
      <c r="D62" s="41">
        <v>351388</v>
      </c>
      <c r="E62" s="41">
        <v>351388</v>
      </c>
      <c r="F62" s="41">
        <v>351388</v>
      </c>
      <c r="G62" s="60">
        <v>351388</v>
      </c>
    </row>
    <row r="63" spans="1:7">
      <c r="A63" s="39" t="s">
        <v>163</v>
      </c>
      <c r="B63" s="40">
        <v>266588</v>
      </c>
      <c r="C63" s="41">
        <v>266588</v>
      </c>
      <c r="D63" s="41">
        <v>266588</v>
      </c>
      <c r="E63" s="41">
        <v>266588</v>
      </c>
      <c r="F63" s="41">
        <v>266588</v>
      </c>
      <c r="G63" s="60">
        <v>266588</v>
      </c>
    </row>
    <row r="64" spans="1:7">
      <c r="A64" s="39" t="s">
        <v>121</v>
      </c>
      <c r="B64" s="40">
        <v>279695</v>
      </c>
      <c r="C64" s="41">
        <v>279695</v>
      </c>
      <c r="D64" s="41">
        <v>279695</v>
      </c>
      <c r="E64" s="41">
        <v>279695</v>
      </c>
      <c r="F64" s="41">
        <v>279695</v>
      </c>
      <c r="G64" s="60">
        <v>279695</v>
      </c>
    </row>
    <row r="65" spans="1:14">
      <c r="A65" s="39" t="s">
        <v>118</v>
      </c>
      <c r="B65" s="40">
        <v>290311</v>
      </c>
      <c r="C65" s="41">
        <v>290311</v>
      </c>
      <c r="D65" s="41">
        <v>290311</v>
      </c>
      <c r="E65" s="41">
        <v>290311</v>
      </c>
      <c r="F65" s="41">
        <v>290311</v>
      </c>
      <c r="G65" s="60">
        <v>290311</v>
      </c>
    </row>
    <row r="66" spans="1:14">
      <c r="A66" s="43" t="s">
        <v>383</v>
      </c>
      <c r="B66" s="44">
        <v>309054</v>
      </c>
      <c r="C66" s="45">
        <v>309054</v>
      </c>
      <c r="D66" s="45">
        <v>309054</v>
      </c>
      <c r="E66" s="45">
        <v>309054</v>
      </c>
      <c r="F66" s="45">
        <v>309054</v>
      </c>
      <c r="G66" s="61">
        <v>309054</v>
      </c>
    </row>
    <row r="67" spans="1:14">
      <c r="A67" s="873" t="s">
        <v>120</v>
      </c>
      <c r="B67" s="302">
        <v>279695</v>
      </c>
      <c r="C67" s="303">
        <v>279695</v>
      </c>
      <c r="D67" s="303">
        <v>279695</v>
      </c>
      <c r="E67" s="303">
        <v>279695</v>
      </c>
      <c r="F67" s="303">
        <v>279695</v>
      </c>
      <c r="G67" s="59">
        <v>279695</v>
      </c>
    </row>
    <row r="68" spans="1:14">
      <c r="A68" s="873" t="s">
        <v>119</v>
      </c>
      <c r="B68" s="40">
        <v>298044</v>
      </c>
      <c r="C68" s="41">
        <v>298044</v>
      </c>
      <c r="D68" s="41">
        <v>298044</v>
      </c>
      <c r="E68" s="41">
        <v>298044</v>
      </c>
      <c r="F68" s="41">
        <v>298044</v>
      </c>
      <c r="G68" s="60">
        <v>298044</v>
      </c>
    </row>
    <row r="69" spans="1:14">
      <c r="A69" s="873" t="s">
        <v>117</v>
      </c>
      <c r="B69" s="40">
        <v>325699</v>
      </c>
      <c r="C69" s="41">
        <v>325699</v>
      </c>
      <c r="D69" s="41">
        <v>325699</v>
      </c>
      <c r="E69" s="41">
        <v>325699</v>
      </c>
      <c r="F69" s="41">
        <v>325699</v>
      </c>
      <c r="G69" s="60">
        <v>325699</v>
      </c>
    </row>
    <row r="70" spans="1:14">
      <c r="A70" s="873" t="s">
        <v>382</v>
      </c>
      <c r="B70" s="40">
        <v>351388</v>
      </c>
      <c r="C70" s="41">
        <v>351388</v>
      </c>
      <c r="D70" s="41">
        <v>351388</v>
      </c>
      <c r="E70" s="41">
        <v>351388</v>
      </c>
      <c r="F70" s="41">
        <v>351388</v>
      </c>
      <c r="G70" s="60">
        <v>351388</v>
      </c>
    </row>
    <row r="71" spans="1:14">
      <c r="A71" s="873" t="s">
        <v>163</v>
      </c>
      <c r="B71" s="40">
        <f>B63+4700</f>
        <v>271288</v>
      </c>
      <c r="C71" s="41">
        <f>B71</f>
        <v>271288</v>
      </c>
      <c r="D71" s="41">
        <f t="shared" ref="D71:G71" si="0">C71</f>
        <v>271288</v>
      </c>
      <c r="E71" s="41">
        <f t="shared" si="0"/>
        <v>271288</v>
      </c>
      <c r="F71" s="41">
        <f t="shared" si="0"/>
        <v>271288</v>
      </c>
      <c r="G71" s="1057">
        <f t="shared" si="0"/>
        <v>271288</v>
      </c>
      <c r="H71" s="1058"/>
      <c r="I71" s="1059"/>
      <c r="J71" s="1059"/>
      <c r="K71" s="1059"/>
      <c r="L71" s="1059"/>
      <c r="M71" s="1059"/>
      <c r="N71" s="1059"/>
    </row>
    <row r="72" spans="1:14">
      <c r="A72" s="873" t="s">
        <v>121</v>
      </c>
      <c r="B72" s="40">
        <f>B64+4700</f>
        <v>284395</v>
      </c>
      <c r="C72" s="41">
        <f t="shared" ref="C72:G74" si="1">B72</f>
        <v>284395</v>
      </c>
      <c r="D72" s="41">
        <f t="shared" si="1"/>
        <v>284395</v>
      </c>
      <c r="E72" s="41">
        <f t="shared" si="1"/>
        <v>284395</v>
      </c>
      <c r="F72" s="41">
        <f t="shared" si="1"/>
        <v>284395</v>
      </c>
      <c r="G72" s="1057">
        <f t="shared" si="1"/>
        <v>284395</v>
      </c>
      <c r="H72" s="1058"/>
      <c r="I72" s="1059"/>
      <c r="J72" s="1059"/>
      <c r="K72" s="1059"/>
      <c r="L72" s="1059"/>
      <c r="M72" s="1059"/>
      <c r="N72" s="1059"/>
    </row>
    <row r="73" spans="1:14">
      <c r="A73" s="873" t="s">
        <v>118</v>
      </c>
      <c r="B73" s="40">
        <f>B65+4700</f>
        <v>295011</v>
      </c>
      <c r="C73" s="41">
        <f t="shared" si="1"/>
        <v>295011</v>
      </c>
      <c r="D73" s="41">
        <f t="shared" si="1"/>
        <v>295011</v>
      </c>
      <c r="E73" s="41">
        <f t="shared" si="1"/>
        <v>295011</v>
      </c>
      <c r="F73" s="41">
        <f t="shared" si="1"/>
        <v>295011</v>
      </c>
      <c r="G73" s="1057">
        <f t="shared" si="1"/>
        <v>295011</v>
      </c>
      <c r="H73" s="1058"/>
      <c r="I73" s="1059"/>
      <c r="J73" s="1059"/>
      <c r="K73" s="1059"/>
      <c r="L73" s="1059"/>
      <c r="M73" s="1059"/>
      <c r="N73" s="1059"/>
    </row>
    <row r="74" spans="1:14">
      <c r="A74" s="874" t="s">
        <v>383</v>
      </c>
      <c r="B74" s="44">
        <f>B66+4700</f>
        <v>313754</v>
      </c>
      <c r="C74" s="41">
        <f t="shared" si="1"/>
        <v>313754</v>
      </c>
      <c r="D74" s="41">
        <f t="shared" si="1"/>
        <v>313754</v>
      </c>
      <c r="E74" s="41">
        <f t="shared" si="1"/>
        <v>313754</v>
      </c>
      <c r="F74" s="41">
        <f t="shared" si="1"/>
        <v>313754</v>
      </c>
      <c r="G74" s="1057">
        <f t="shared" si="1"/>
        <v>313754</v>
      </c>
      <c r="H74" s="1058"/>
      <c r="I74" s="1059"/>
      <c r="J74" s="1059"/>
      <c r="K74" s="1059"/>
      <c r="L74" s="1059"/>
      <c r="M74" s="1059"/>
      <c r="N74" s="1059"/>
    </row>
    <row r="75" spans="1:14">
      <c r="A75" s="873" t="s">
        <v>120</v>
      </c>
      <c r="B75" s="302">
        <v>279695</v>
      </c>
      <c r="C75" s="303">
        <v>279695</v>
      </c>
      <c r="D75" s="303">
        <v>279695</v>
      </c>
      <c r="E75" s="303">
        <v>279695</v>
      </c>
      <c r="F75" s="303">
        <v>279695</v>
      </c>
      <c r="G75" s="59">
        <v>279695</v>
      </c>
    </row>
    <row r="76" spans="1:14">
      <c r="A76" s="873" t="s">
        <v>119</v>
      </c>
      <c r="B76" s="40">
        <v>298044</v>
      </c>
      <c r="C76" s="41">
        <v>298044</v>
      </c>
      <c r="D76" s="41">
        <v>298044</v>
      </c>
      <c r="E76" s="41">
        <v>298044</v>
      </c>
      <c r="F76" s="41">
        <v>298044</v>
      </c>
      <c r="G76" s="60">
        <v>298044</v>
      </c>
    </row>
    <row r="77" spans="1:14">
      <c r="A77" s="873" t="s">
        <v>117</v>
      </c>
      <c r="B77" s="40">
        <v>325699</v>
      </c>
      <c r="C77" s="41">
        <v>325699</v>
      </c>
      <c r="D77" s="41">
        <v>325699</v>
      </c>
      <c r="E77" s="41">
        <v>325699</v>
      </c>
      <c r="F77" s="41">
        <v>325699</v>
      </c>
      <c r="G77" s="60">
        <v>325699</v>
      </c>
    </row>
    <row r="78" spans="1:14">
      <c r="A78" s="873" t="s">
        <v>382</v>
      </c>
      <c r="B78" s="40">
        <v>351388</v>
      </c>
      <c r="C78" s="41">
        <v>351388</v>
      </c>
      <c r="D78" s="41">
        <v>351388</v>
      </c>
      <c r="E78" s="41">
        <v>351388</v>
      </c>
      <c r="F78" s="41">
        <v>351388</v>
      </c>
      <c r="G78" s="60">
        <v>351388</v>
      </c>
    </row>
    <row r="79" spans="1:14">
      <c r="A79" s="873" t="s">
        <v>163</v>
      </c>
      <c r="B79" s="40">
        <f>B71+900</f>
        <v>272188</v>
      </c>
      <c r="C79" s="41">
        <f>B79</f>
        <v>272188</v>
      </c>
      <c r="D79" s="41">
        <f t="shared" ref="D79:G79" si="2">C79</f>
        <v>272188</v>
      </c>
      <c r="E79" s="41">
        <f t="shared" si="2"/>
        <v>272188</v>
      </c>
      <c r="F79" s="41">
        <f t="shared" si="2"/>
        <v>272188</v>
      </c>
      <c r="G79" s="41">
        <f t="shared" si="2"/>
        <v>272188</v>
      </c>
    </row>
    <row r="80" spans="1:14">
      <c r="A80" s="873" t="s">
        <v>121</v>
      </c>
      <c r="B80" s="40">
        <f>B72+900</f>
        <v>285295</v>
      </c>
      <c r="C80" s="41">
        <f t="shared" ref="C80:G80" si="3">B80</f>
        <v>285295</v>
      </c>
      <c r="D80" s="41">
        <f t="shared" si="3"/>
        <v>285295</v>
      </c>
      <c r="E80" s="41">
        <f t="shared" si="3"/>
        <v>285295</v>
      </c>
      <c r="F80" s="41">
        <f t="shared" si="3"/>
        <v>285295</v>
      </c>
      <c r="G80" s="41">
        <f t="shared" si="3"/>
        <v>285295</v>
      </c>
    </row>
    <row r="81" spans="1:7">
      <c r="A81" s="873" t="s">
        <v>118</v>
      </c>
      <c r="B81" s="40">
        <f>B73+900</f>
        <v>295911</v>
      </c>
      <c r="C81" s="41">
        <f t="shared" ref="C81:G81" si="4">B81</f>
        <v>295911</v>
      </c>
      <c r="D81" s="41">
        <f t="shared" si="4"/>
        <v>295911</v>
      </c>
      <c r="E81" s="41">
        <f t="shared" si="4"/>
        <v>295911</v>
      </c>
      <c r="F81" s="41">
        <f t="shared" si="4"/>
        <v>295911</v>
      </c>
      <c r="G81" s="41">
        <f t="shared" si="4"/>
        <v>295911</v>
      </c>
    </row>
    <row r="82" spans="1:7">
      <c r="A82" s="874" t="s">
        <v>383</v>
      </c>
      <c r="B82" s="40">
        <f>B74+900</f>
        <v>314654</v>
      </c>
      <c r="C82" s="41">
        <f t="shared" ref="C82:G82" si="5">B82</f>
        <v>314654</v>
      </c>
      <c r="D82" s="41">
        <f t="shared" si="5"/>
        <v>314654</v>
      </c>
      <c r="E82" s="41">
        <f t="shared" si="5"/>
        <v>314654</v>
      </c>
      <c r="F82" s="41">
        <f t="shared" si="5"/>
        <v>314654</v>
      </c>
      <c r="G82" s="41">
        <f t="shared" si="5"/>
        <v>314654</v>
      </c>
    </row>
    <row r="84" spans="1:7" ht="18">
      <c r="A84" s="304" t="s">
        <v>51</v>
      </c>
      <c r="C84" s="287" t="s">
        <v>116</v>
      </c>
    </row>
    <row r="85" spans="1:7">
      <c r="A85" s="288"/>
      <c r="B85" s="289"/>
      <c r="C85" s="290"/>
      <c r="D85" s="291" t="s">
        <v>49</v>
      </c>
      <c r="E85" s="290"/>
      <c r="F85" s="305"/>
      <c r="G85" s="306"/>
    </row>
    <row r="86" spans="1:7">
      <c r="A86" s="294" t="s">
        <v>282</v>
      </c>
      <c r="B86" s="295" t="s">
        <v>78</v>
      </c>
      <c r="C86" s="296" t="s">
        <v>79</v>
      </c>
      <c r="D86" s="296" t="s">
        <v>80</v>
      </c>
      <c r="E86" s="296" t="s">
        <v>81</v>
      </c>
      <c r="F86" s="307" t="s">
        <v>161</v>
      </c>
      <c r="G86" s="308"/>
    </row>
    <row r="87" spans="1:7">
      <c r="A87" s="298" t="s">
        <v>120</v>
      </c>
      <c r="B87" s="299">
        <v>0</v>
      </c>
      <c r="C87" s="309">
        <v>3900</v>
      </c>
      <c r="D87" s="309">
        <v>6900</v>
      </c>
      <c r="E87" s="309">
        <v>10800</v>
      </c>
      <c r="F87" s="310">
        <v>13800</v>
      </c>
    </row>
    <row r="88" spans="1:7">
      <c r="A88" s="298" t="s">
        <v>119</v>
      </c>
      <c r="B88" s="299">
        <v>0</v>
      </c>
      <c r="C88" s="300">
        <v>3300</v>
      </c>
      <c r="D88" s="300">
        <v>5700</v>
      </c>
      <c r="E88" s="300">
        <v>9000</v>
      </c>
      <c r="F88" s="311">
        <v>11400</v>
      </c>
    </row>
    <row r="89" spans="1:7">
      <c r="A89" s="298" t="s">
        <v>117</v>
      </c>
      <c r="B89" s="299">
        <v>0</v>
      </c>
      <c r="C89" s="300">
        <v>2100</v>
      </c>
      <c r="D89" s="300">
        <v>3900</v>
      </c>
      <c r="E89" s="300">
        <v>6000</v>
      </c>
      <c r="F89" s="311">
        <v>7500</v>
      </c>
    </row>
    <row r="90" spans="1:7">
      <c r="A90" s="298" t="s">
        <v>382</v>
      </c>
      <c r="B90" s="299">
        <v>0</v>
      </c>
      <c r="C90" s="300">
        <v>2100</v>
      </c>
      <c r="D90" s="300">
        <v>3900</v>
      </c>
      <c r="E90" s="300">
        <v>6000</v>
      </c>
      <c r="F90" s="311">
        <v>7500</v>
      </c>
    </row>
    <row r="91" spans="1:7">
      <c r="A91" s="298" t="s">
        <v>163</v>
      </c>
      <c r="B91" s="299">
        <v>0</v>
      </c>
      <c r="C91" s="300">
        <v>4500</v>
      </c>
      <c r="D91" s="300">
        <v>7500</v>
      </c>
      <c r="E91" s="300">
        <v>12000</v>
      </c>
      <c r="F91" s="311">
        <v>15000</v>
      </c>
    </row>
    <row r="92" spans="1:7">
      <c r="A92" s="298" t="s">
        <v>121</v>
      </c>
      <c r="B92" s="299">
        <v>0</v>
      </c>
      <c r="C92" s="300">
        <v>3900</v>
      </c>
      <c r="D92" s="300">
        <v>6900</v>
      </c>
      <c r="E92" s="300">
        <v>10800</v>
      </c>
      <c r="F92" s="311">
        <v>13800</v>
      </c>
    </row>
    <row r="93" spans="1:7">
      <c r="A93" s="298" t="s">
        <v>118</v>
      </c>
      <c r="B93" s="299">
        <v>0</v>
      </c>
      <c r="C93" s="300">
        <v>3600</v>
      </c>
      <c r="D93" s="300">
        <v>6300</v>
      </c>
      <c r="E93" s="300">
        <v>9900</v>
      </c>
      <c r="F93" s="311">
        <v>12600</v>
      </c>
    </row>
    <row r="94" spans="1:7" ht="25" customHeight="1">
      <c r="A94" s="312" t="s">
        <v>383</v>
      </c>
      <c r="B94" s="313">
        <v>0</v>
      </c>
      <c r="C94" s="314">
        <v>3600</v>
      </c>
      <c r="D94" s="314">
        <v>6300</v>
      </c>
      <c r="E94" s="314">
        <v>9900</v>
      </c>
      <c r="F94" s="315">
        <v>12600</v>
      </c>
    </row>
    <row r="95" spans="1:7" ht="10" customHeight="1"/>
    <row r="96" spans="1:7" ht="18" customHeight="1"/>
    <row r="97" spans="1:6" ht="18" customHeight="1">
      <c r="B97" s="287">
        <f>B88/B60</f>
        <v>0</v>
      </c>
      <c r="C97" s="287">
        <f>C88/C60</f>
        <v>1.1072190683254822E-2</v>
      </c>
      <c r="D97" s="287">
        <f>D88/D60</f>
        <v>1.9124692998349235E-2</v>
      </c>
      <c r="E97" s="287">
        <f>E88/E60</f>
        <v>3.0196883681604059E-2</v>
      </c>
      <c r="F97" s="287">
        <f>F88/F60</f>
        <v>3.8249385996698471E-2</v>
      </c>
    </row>
    <row r="98" spans="1:6" ht="18" customHeight="1">
      <c r="B98" s="287">
        <v>0</v>
      </c>
      <c r="C98" s="287">
        <v>1.5</v>
      </c>
      <c r="D98" s="287">
        <v>2.5</v>
      </c>
      <c r="E98" s="287">
        <v>4</v>
      </c>
      <c r="F98" s="287">
        <v>5</v>
      </c>
    </row>
    <row r="99" spans="1:6" ht="18" customHeight="1"/>
    <row r="100" spans="1:6" ht="18" customHeight="1">
      <c r="A100" s="28" t="s">
        <v>433</v>
      </c>
    </row>
    <row r="101" spans="1:6" ht="18" customHeight="1"/>
    <row r="102" spans="1:6" ht="18" customHeight="1">
      <c r="A102" s="304" t="s">
        <v>283</v>
      </c>
    </row>
    <row r="103" spans="1:6" ht="18" customHeight="1">
      <c r="A103" s="304"/>
    </row>
    <row r="104" spans="1:6" ht="18" customHeight="1">
      <c r="A104" s="316" t="s">
        <v>284</v>
      </c>
      <c r="B104" s="1271" t="s">
        <v>49</v>
      </c>
      <c r="C104" s="1272"/>
      <c r="D104" s="1272"/>
      <c r="E104" s="1272"/>
    </row>
    <row r="105" spans="1:6" ht="18" customHeight="1">
      <c r="A105" s="317" t="s">
        <v>282</v>
      </c>
      <c r="B105" s="296" t="s">
        <v>285</v>
      </c>
      <c r="C105" s="296" t="s">
        <v>286</v>
      </c>
      <c r="D105" s="296" t="s">
        <v>287</v>
      </c>
      <c r="E105" s="307" t="s">
        <v>288</v>
      </c>
    </row>
    <row r="106" spans="1:6" ht="18" customHeight="1">
      <c r="A106" s="318" t="s">
        <v>120</v>
      </c>
      <c r="B106" s="319">
        <f t="shared" ref="B106:E107" si="6">(C87-B87)/3</f>
        <v>1300</v>
      </c>
      <c r="C106" s="319">
        <f t="shared" si="6"/>
        <v>1000</v>
      </c>
      <c r="D106" s="319">
        <f t="shared" si="6"/>
        <v>1300</v>
      </c>
      <c r="E106" s="320">
        <f t="shared" si="6"/>
        <v>1000</v>
      </c>
    </row>
    <row r="107" spans="1:6" ht="18" customHeight="1">
      <c r="A107" s="318" t="s">
        <v>119</v>
      </c>
      <c r="B107" s="319">
        <f t="shared" si="6"/>
        <v>1100</v>
      </c>
      <c r="C107" s="319">
        <f t="shared" si="6"/>
        <v>800</v>
      </c>
      <c r="D107" s="319">
        <f t="shared" si="6"/>
        <v>1100</v>
      </c>
      <c r="E107" s="320">
        <f t="shared" si="6"/>
        <v>800</v>
      </c>
    </row>
    <row r="108" spans="1:6" ht="18" customHeight="1">
      <c r="A108" s="321" t="s">
        <v>117</v>
      </c>
      <c r="B108" s="322">
        <f t="shared" ref="B108:E111" si="7">(C91-B91)/3</f>
        <v>1500</v>
      </c>
      <c r="C108" s="322">
        <f t="shared" si="7"/>
        <v>1000</v>
      </c>
      <c r="D108" s="322">
        <f t="shared" si="7"/>
        <v>1500</v>
      </c>
      <c r="E108" s="323">
        <f t="shared" si="7"/>
        <v>1000</v>
      </c>
    </row>
    <row r="109" spans="1:6" ht="18" customHeight="1">
      <c r="A109" s="318" t="s">
        <v>163</v>
      </c>
      <c r="B109" s="319">
        <f t="shared" si="7"/>
        <v>1300</v>
      </c>
      <c r="C109" s="319">
        <f t="shared" si="7"/>
        <v>1000</v>
      </c>
      <c r="D109" s="319">
        <f t="shared" si="7"/>
        <v>1300</v>
      </c>
      <c r="E109" s="320">
        <f t="shared" si="7"/>
        <v>1000</v>
      </c>
    </row>
    <row r="110" spans="1:6" ht="18" customHeight="1">
      <c r="A110" s="318" t="s">
        <v>121</v>
      </c>
      <c r="B110" s="319">
        <f t="shared" si="7"/>
        <v>1200</v>
      </c>
      <c r="C110" s="319">
        <f t="shared" si="7"/>
        <v>900</v>
      </c>
      <c r="D110" s="319">
        <f t="shared" si="7"/>
        <v>1200</v>
      </c>
      <c r="E110" s="320">
        <f t="shared" si="7"/>
        <v>900</v>
      </c>
    </row>
    <row r="111" spans="1:6" ht="18" customHeight="1">
      <c r="A111" s="321" t="s">
        <v>118</v>
      </c>
      <c r="B111" s="322">
        <f t="shared" si="7"/>
        <v>1200</v>
      </c>
      <c r="C111" s="322">
        <f t="shared" si="7"/>
        <v>900</v>
      </c>
      <c r="D111" s="322">
        <f t="shared" si="7"/>
        <v>1200</v>
      </c>
      <c r="E111" s="323">
        <f t="shared" si="7"/>
        <v>900</v>
      </c>
    </row>
    <row r="112" spans="1:6" ht="18" customHeight="1"/>
    <row r="113" spans="1:6">
      <c r="A113" s="316" t="s">
        <v>289</v>
      </c>
      <c r="B113" s="1271" t="s">
        <v>49</v>
      </c>
      <c r="C113" s="1272"/>
      <c r="D113" s="1272"/>
      <c r="E113" s="1272"/>
    </row>
    <row r="114" spans="1:6">
      <c r="A114" s="317" t="s">
        <v>282</v>
      </c>
      <c r="B114" s="296" t="s">
        <v>285</v>
      </c>
      <c r="C114" s="296" t="s">
        <v>286</v>
      </c>
      <c r="D114" s="296" t="s">
        <v>287</v>
      </c>
      <c r="E114" s="307" t="s">
        <v>288</v>
      </c>
    </row>
    <row r="115" spans="1:6">
      <c r="A115" s="318" t="s">
        <v>120</v>
      </c>
      <c r="B115" s="319">
        <f t="shared" ref="B115:E120" si="8">B106/12</f>
        <v>108.33333333333333</v>
      </c>
      <c r="C115" s="319">
        <f t="shared" si="8"/>
        <v>83.333333333333329</v>
      </c>
      <c r="D115" s="319">
        <f t="shared" si="8"/>
        <v>108.33333333333333</v>
      </c>
      <c r="E115" s="320">
        <f t="shared" si="8"/>
        <v>83.333333333333329</v>
      </c>
    </row>
    <row r="116" spans="1:6">
      <c r="A116" s="318" t="s">
        <v>119</v>
      </c>
      <c r="B116" s="319">
        <f t="shared" si="8"/>
        <v>91.666666666666671</v>
      </c>
      <c r="C116" s="319">
        <f t="shared" si="8"/>
        <v>66.666666666666671</v>
      </c>
      <c r="D116" s="319">
        <f t="shared" si="8"/>
        <v>91.666666666666671</v>
      </c>
      <c r="E116" s="320">
        <f t="shared" si="8"/>
        <v>66.666666666666671</v>
      </c>
    </row>
    <row r="117" spans="1:6">
      <c r="A117" s="318" t="s">
        <v>117</v>
      </c>
      <c r="B117" s="319">
        <f t="shared" si="8"/>
        <v>125</v>
      </c>
      <c r="C117" s="319">
        <f t="shared" si="8"/>
        <v>83.333333333333329</v>
      </c>
      <c r="D117" s="319">
        <f t="shared" si="8"/>
        <v>125</v>
      </c>
      <c r="E117" s="320">
        <f t="shared" si="8"/>
        <v>83.333333333333329</v>
      </c>
    </row>
    <row r="118" spans="1:6">
      <c r="A118" s="324" t="s">
        <v>163</v>
      </c>
      <c r="B118" s="325">
        <f t="shared" si="8"/>
        <v>108.33333333333333</v>
      </c>
      <c r="C118" s="325">
        <f t="shared" si="8"/>
        <v>83.333333333333329</v>
      </c>
      <c r="D118" s="325">
        <f t="shared" si="8"/>
        <v>108.33333333333333</v>
      </c>
      <c r="E118" s="326">
        <f t="shared" si="8"/>
        <v>83.333333333333329</v>
      </c>
    </row>
    <row r="119" spans="1:6">
      <c r="A119" s="318" t="s">
        <v>121</v>
      </c>
      <c r="B119" s="319">
        <f t="shared" si="8"/>
        <v>100</v>
      </c>
      <c r="C119" s="319">
        <f t="shared" si="8"/>
        <v>75</v>
      </c>
      <c r="D119" s="319">
        <f t="shared" si="8"/>
        <v>100</v>
      </c>
      <c r="E119" s="320">
        <f t="shared" si="8"/>
        <v>75</v>
      </c>
    </row>
    <row r="120" spans="1:6">
      <c r="A120" s="321" t="s">
        <v>118</v>
      </c>
      <c r="B120" s="322">
        <f t="shared" si="8"/>
        <v>100</v>
      </c>
      <c r="C120" s="322">
        <f t="shared" si="8"/>
        <v>75</v>
      </c>
      <c r="D120" s="322">
        <f t="shared" si="8"/>
        <v>100</v>
      </c>
      <c r="E120" s="323">
        <f t="shared" si="8"/>
        <v>75</v>
      </c>
    </row>
    <row r="123" spans="1:6">
      <c r="A123" s="435" t="s">
        <v>434</v>
      </c>
      <c r="B123" s="435" t="s">
        <v>435</v>
      </c>
      <c r="C123" s="435" t="s">
        <v>461</v>
      </c>
      <c r="D123" s="435" t="s">
        <v>462</v>
      </c>
      <c r="E123" s="435" t="s">
        <v>463</v>
      </c>
      <c r="F123" s="435" t="s">
        <v>464</v>
      </c>
    </row>
    <row r="124" spans="1:6">
      <c r="A124" s="287" t="s">
        <v>163</v>
      </c>
      <c r="B124" s="287" t="s">
        <v>265</v>
      </c>
      <c r="C124" s="287">
        <v>0</v>
      </c>
      <c r="D124" s="287" t="s">
        <v>432</v>
      </c>
      <c r="F124" s="287">
        <v>6000</v>
      </c>
    </row>
    <row r="125" spans="1:6">
      <c r="A125" s="287" t="s">
        <v>121</v>
      </c>
      <c r="B125" s="287" t="s">
        <v>436</v>
      </c>
      <c r="C125" s="287">
        <v>19300</v>
      </c>
      <c r="D125" s="287" t="s">
        <v>32</v>
      </c>
      <c r="E125" s="287" t="s">
        <v>404</v>
      </c>
      <c r="F125" s="287">
        <v>7600</v>
      </c>
    </row>
    <row r="126" spans="1:6">
      <c r="A126" s="287" t="s">
        <v>118</v>
      </c>
      <c r="B126" s="287" t="s">
        <v>437</v>
      </c>
      <c r="F126" s="287">
        <v>9000</v>
      </c>
    </row>
    <row r="127" spans="1:6">
      <c r="A127" s="287" t="s">
        <v>383</v>
      </c>
      <c r="B127" s="287" t="s">
        <v>438</v>
      </c>
      <c r="F127" s="287">
        <v>0</v>
      </c>
    </row>
    <row r="128" spans="1:6">
      <c r="A128" s="287" t="s">
        <v>120</v>
      </c>
      <c r="B128" s="287" t="s">
        <v>439</v>
      </c>
    </row>
    <row r="129" spans="1:2">
      <c r="A129" s="287" t="s">
        <v>119</v>
      </c>
      <c r="B129" s="287" t="s">
        <v>440</v>
      </c>
    </row>
    <row r="130" spans="1:2">
      <c r="A130" s="287" t="s">
        <v>117</v>
      </c>
      <c r="B130" s="287" t="s">
        <v>441</v>
      </c>
    </row>
    <row r="131" spans="1:2">
      <c r="A131" s="287" t="s">
        <v>382</v>
      </c>
      <c r="B131" s="287" t="s">
        <v>442</v>
      </c>
    </row>
    <row r="132" spans="1:2">
      <c r="B132" s="287" t="s">
        <v>443</v>
      </c>
    </row>
    <row r="133" spans="1:2">
      <c r="B133" s="287" t="s">
        <v>444</v>
      </c>
    </row>
    <row r="134" spans="1:2">
      <c r="B134" s="287" t="s">
        <v>445</v>
      </c>
    </row>
    <row r="135" spans="1:2">
      <c r="B135" s="287" t="s">
        <v>446</v>
      </c>
    </row>
    <row r="136" spans="1:2">
      <c r="B136" s="287" t="s">
        <v>431</v>
      </c>
    </row>
    <row r="137" spans="1:2">
      <c r="B137" s="287" t="s">
        <v>447</v>
      </c>
    </row>
    <row r="138" spans="1:2">
      <c r="B138" s="287" t="s">
        <v>568</v>
      </c>
    </row>
    <row r="139" spans="1:2">
      <c r="B139" s="287" t="s">
        <v>569</v>
      </c>
    </row>
    <row r="140" spans="1:2">
      <c r="B140" s="287" t="s">
        <v>570</v>
      </c>
    </row>
    <row r="141" spans="1:2">
      <c r="B141" s="287" t="s">
        <v>571</v>
      </c>
    </row>
    <row r="142" spans="1:2">
      <c r="B142" s="287" t="s">
        <v>572</v>
      </c>
    </row>
    <row r="143" spans="1:2">
      <c r="B143" s="287" t="s">
        <v>573</v>
      </c>
    </row>
    <row r="144" spans="1:2">
      <c r="B144" s="287" t="s">
        <v>574</v>
      </c>
    </row>
    <row r="145" spans="2:2">
      <c r="B145" s="287" t="s">
        <v>448</v>
      </c>
    </row>
    <row r="146" spans="2:2">
      <c r="B146" s="287" t="s">
        <v>449</v>
      </c>
    </row>
    <row r="147" spans="2:2">
      <c r="B147" s="287" t="s">
        <v>450</v>
      </c>
    </row>
    <row r="148" spans="2:2">
      <c r="B148" s="287" t="s">
        <v>451</v>
      </c>
    </row>
    <row r="149" spans="2:2">
      <c r="B149" s="287" t="s">
        <v>452</v>
      </c>
    </row>
    <row r="150" spans="2:2">
      <c r="B150" s="287" t="s">
        <v>453</v>
      </c>
    </row>
    <row r="151" spans="2:2">
      <c r="B151" s="287" t="s">
        <v>454</v>
      </c>
    </row>
    <row r="152" spans="2:2">
      <c r="B152" s="287" t="s">
        <v>455</v>
      </c>
    </row>
    <row r="153" spans="2:2">
      <c r="B153" s="287" t="s">
        <v>456</v>
      </c>
    </row>
    <row r="154" spans="2:2">
      <c r="B154" s="287" t="s">
        <v>457</v>
      </c>
    </row>
    <row r="155" spans="2:2">
      <c r="B155" s="287" t="s">
        <v>458</v>
      </c>
    </row>
    <row r="156" spans="2:2">
      <c r="B156" s="287" t="s">
        <v>459</v>
      </c>
    </row>
    <row r="157" spans="2:2">
      <c r="B157" s="287" t="s">
        <v>460</v>
      </c>
    </row>
  </sheetData>
  <sheetProtection formatCells="0" formatColumns="0" formatRows="0"/>
  <mergeCells count="2">
    <mergeCell ref="B104:E104"/>
    <mergeCell ref="B113:E113"/>
  </mergeCells>
  <printOptions horizontalCentered="1" verticalCentered="1" gridLinesSet="0"/>
  <pageMargins left="0.39370078740157483" right="0.39370078740157483" top="0.98425196850393704" bottom="0.98425196850393704" header="0.51181102362204722" footer="0.51181102362204722"/>
  <pageSetup paperSize="9" orientation="portrait" horizontalDpi="0" verticalDpi="0"/>
  <headerFooter>
    <oddHeader>&amp;L&amp;"Geneva,Fed"&amp;24LØNTABEL</oddHeader>
    <oddFooter>&amp;L&amp;"Geneva,Normal"FRISKOLERNES KONTOR, Prices Havevej 11, 5600 Fåborg&amp;R&amp;"Geneva,Normal"Ole Mikkelsen, friskolekonsulent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30">
    <tabColor theme="3" tint="0.59999389629810485"/>
    <pageSetUpPr fitToPage="1"/>
  </sheetPr>
  <dimension ref="A1:V295"/>
  <sheetViews>
    <sheetView topLeftCell="B1" workbookViewId="0">
      <selection activeCell="G1" sqref="G1"/>
    </sheetView>
  </sheetViews>
  <sheetFormatPr baseColWidth="10" defaultColWidth="20.85546875" defaultRowHeight="13"/>
  <cols>
    <col min="1" max="1" width="3.5703125" style="22" customWidth="1"/>
    <col min="2" max="2" width="32.42578125" style="3" customWidth="1"/>
    <col min="3" max="3" width="10.140625" style="3" customWidth="1"/>
    <col min="4" max="15" width="9.7109375" style="24" customWidth="1"/>
    <col min="16" max="16" width="44.85546875" style="3" customWidth="1"/>
    <col min="17" max="17" width="9.7109375" style="3" customWidth="1"/>
    <col min="18" max="18" width="10.140625" style="3" customWidth="1"/>
    <col min="19" max="22" width="8.7109375" style="3" customWidth="1"/>
    <col min="23" max="16384" width="20.85546875" style="83"/>
  </cols>
  <sheetData>
    <row r="1" spans="1:22" ht="27" customHeight="1">
      <c r="A1" s="1">
        <v>1</v>
      </c>
      <c r="B1" s="62" t="s">
        <v>151</v>
      </c>
      <c r="C1" s="22" t="s">
        <v>350</v>
      </c>
      <c r="D1" s="78" t="s">
        <v>202</v>
      </c>
      <c r="E1" s="77" t="str">
        <f>D1</f>
        <v>NN</v>
      </c>
      <c r="F1" s="77" t="str">
        <f t="shared" ref="F1:O1" si="0">E1</f>
        <v>NN</v>
      </c>
      <c r="G1" s="77" t="str">
        <f t="shared" si="0"/>
        <v>NN</v>
      </c>
      <c r="H1" s="77" t="str">
        <f t="shared" si="0"/>
        <v>NN</v>
      </c>
      <c r="I1" s="77" t="str">
        <f t="shared" si="0"/>
        <v>NN</v>
      </c>
      <c r="J1" s="77" t="str">
        <f t="shared" si="0"/>
        <v>NN</v>
      </c>
      <c r="K1" s="77" t="str">
        <f t="shared" si="0"/>
        <v>NN</v>
      </c>
      <c r="L1" s="77" t="str">
        <f t="shared" si="0"/>
        <v>NN</v>
      </c>
      <c r="M1" s="77" t="str">
        <f t="shared" si="0"/>
        <v>NN</v>
      </c>
      <c r="N1" s="77" t="str">
        <f t="shared" si="0"/>
        <v>NN</v>
      </c>
      <c r="O1" s="77" t="str">
        <f t="shared" si="0"/>
        <v>NN</v>
      </c>
      <c r="P1" s="3" t="s">
        <v>185</v>
      </c>
      <c r="Q1" s="86"/>
      <c r="R1" s="86"/>
      <c r="S1" s="86"/>
      <c r="T1" s="86"/>
      <c r="U1" s="86"/>
      <c r="V1" s="86"/>
    </row>
    <row r="2" spans="1:22" ht="14" customHeight="1">
      <c r="A2" s="4">
        <f t="shared" ref="A2:A44" si="1">A1+1</f>
        <v>2</v>
      </c>
      <c r="B2" s="89" t="s">
        <v>36</v>
      </c>
      <c r="C2" s="234" t="s">
        <v>330</v>
      </c>
      <c r="D2" s="76" t="s">
        <v>225</v>
      </c>
      <c r="E2" s="76" t="s">
        <v>226</v>
      </c>
      <c r="F2" s="76" t="s">
        <v>227</v>
      </c>
      <c r="G2" s="76" t="s">
        <v>228</v>
      </c>
      <c r="H2" s="76" t="s">
        <v>229</v>
      </c>
      <c r="I2" s="76" t="s">
        <v>230</v>
      </c>
      <c r="J2" s="76" t="s">
        <v>231</v>
      </c>
      <c r="K2" s="76" t="s">
        <v>232</v>
      </c>
      <c r="L2" s="76" t="s">
        <v>233</v>
      </c>
      <c r="M2" s="76" t="s">
        <v>234</v>
      </c>
      <c r="N2" s="76" t="s">
        <v>235</v>
      </c>
      <c r="O2" s="76" t="s">
        <v>236</v>
      </c>
      <c r="P2" s="254" t="s">
        <v>257</v>
      </c>
      <c r="Q2" s="86"/>
      <c r="R2" s="86"/>
      <c r="S2" s="86"/>
      <c r="T2" s="86"/>
      <c r="U2" s="86"/>
      <c r="V2" s="86"/>
    </row>
    <row r="3" spans="1:22" ht="27" customHeight="1">
      <c r="A3" s="4">
        <f t="shared" si="1"/>
        <v>3</v>
      </c>
      <c r="B3" s="160" t="s">
        <v>154</v>
      </c>
      <c r="C3" s="1273" t="s">
        <v>67</v>
      </c>
      <c r="D3" s="370">
        <v>1</v>
      </c>
      <c r="E3" s="237">
        <v>1</v>
      </c>
      <c r="F3" s="237">
        <v>1</v>
      </c>
      <c r="G3" s="237">
        <v>1</v>
      </c>
      <c r="H3" s="237">
        <v>1</v>
      </c>
      <c r="I3" s="237">
        <v>1</v>
      </c>
      <c r="J3" s="329">
        <v>0.5357142857142857</v>
      </c>
      <c r="K3" s="237">
        <v>1</v>
      </c>
      <c r="L3" s="238">
        <v>1</v>
      </c>
      <c r="M3" s="238">
        <v>1</v>
      </c>
      <c r="N3" s="238">
        <v>1</v>
      </c>
      <c r="O3" s="238">
        <v>1</v>
      </c>
      <c r="P3" s="6" t="s">
        <v>107</v>
      </c>
      <c r="Q3" s="86"/>
      <c r="R3" s="86"/>
      <c r="S3" s="86"/>
      <c r="T3" s="86"/>
      <c r="U3" s="86"/>
      <c r="V3" s="86"/>
    </row>
    <row r="4" spans="1:22" ht="14" customHeight="1">
      <c r="A4" s="4">
        <f t="shared" si="1"/>
        <v>4</v>
      </c>
      <c r="B4" s="161" t="s">
        <v>155</v>
      </c>
      <c r="C4" s="1274"/>
      <c r="D4" s="364" t="s">
        <v>217</v>
      </c>
      <c r="E4" s="239" t="str">
        <f>D4</f>
        <v>Bh1</v>
      </c>
      <c r="F4" s="239" t="str">
        <f t="shared" ref="F4:O4" si="2">E4</f>
        <v>Bh1</v>
      </c>
      <c r="G4" s="239" t="str">
        <f t="shared" si="2"/>
        <v>Bh1</v>
      </c>
      <c r="H4" s="239" t="str">
        <f t="shared" si="2"/>
        <v>Bh1</v>
      </c>
      <c r="I4" s="239" t="str">
        <f t="shared" si="2"/>
        <v>Bh1</v>
      </c>
      <c r="J4" s="239" t="str">
        <f t="shared" si="2"/>
        <v>Bh1</v>
      </c>
      <c r="K4" s="239" t="str">
        <f t="shared" si="2"/>
        <v>Bh1</v>
      </c>
      <c r="L4" s="239" t="str">
        <f t="shared" si="2"/>
        <v>Bh1</v>
      </c>
      <c r="M4" s="239" t="str">
        <f t="shared" si="2"/>
        <v>Bh1</v>
      </c>
      <c r="N4" s="239" t="str">
        <f t="shared" si="2"/>
        <v>Bh1</v>
      </c>
      <c r="O4" s="239" t="str">
        <f t="shared" si="2"/>
        <v>Bh1</v>
      </c>
      <c r="P4" s="6" t="s">
        <v>203</v>
      </c>
      <c r="Q4" s="86"/>
      <c r="R4" s="86"/>
      <c r="S4" s="86"/>
      <c r="T4" s="86"/>
      <c r="U4" s="86"/>
      <c r="V4" s="86"/>
    </row>
    <row r="5" spans="1:22" ht="24" customHeight="1">
      <c r="A5" s="4">
        <f>A4+1</f>
        <v>5</v>
      </c>
      <c r="B5" s="162" t="s">
        <v>54</v>
      </c>
      <c r="C5" s="1274"/>
      <c r="D5" s="371" t="str">
        <f t="shared" ref="D5:O5" si="3">IF(C5&lt;&gt;"",C5,"")</f>
        <v/>
      </c>
      <c r="E5" s="79" t="str">
        <f t="shared" si="3"/>
        <v/>
      </c>
      <c r="F5" s="79" t="str">
        <f t="shared" si="3"/>
        <v/>
      </c>
      <c r="G5" s="79" t="str">
        <f t="shared" si="3"/>
        <v/>
      </c>
      <c r="H5" s="79" t="str">
        <f t="shared" si="3"/>
        <v/>
      </c>
      <c r="I5" s="79" t="str">
        <f t="shared" si="3"/>
        <v/>
      </c>
      <c r="J5" s="79" t="str">
        <f t="shared" si="3"/>
        <v/>
      </c>
      <c r="K5" s="79" t="str">
        <f t="shared" si="3"/>
        <v/>
      </c>
      <c r="L5" s="79" t="str">
        <f t="shared" si="3"/>
        <v/>
      </c>
      <c r="M5" s="79" t="str">
        <f t="shared" si="3"/>
        <v/>
      </c>
      <c r="N5" s="79" t="str">
        <f t="shared" si="3"/>
        <v/>
      </c>
      <c r="O5" s="79" t="str">
        <f t="shared" si="3"/>
        <v/>
      </c>
      <c r="P5" s="65" t="s">
        <v>55</v>
      </c>
      <c r="Q5" s="86"/>
      <c r="R5" s="86"/>
      <c r="S5" s="86"/>
      <c r="T5" s="86"/>
      <c r="U5" s="86"/>
      <c r="V5" s="86"/>
    </row>
    <row r="6" spans="1:22" ht="24" customHeight="1">
      <c r="A6" s="4">
        <f t="shared" si="1"/>
        <v>6</v>
      </c>
      <c r="B6" s="161" t="s">
        <v>112</v>
      </c>
      <c r="C6" s="1274"/>
      <c r="D6" s="364" t="s">
        <v>216</v>
      </c>
      <c r="E6" s="71" t="str">
        <f>$D6</f>
        <v>L</v>
      </c>
      <c r="F6" s="71" t="str">
        <f t="shared" ref="F6:O8" si="4">$D6</f>
        <v>L</v>
      </c>
      <c r="G6" s="71" t="str">
        <f t="shared" si="4"/>
        <v>L</v>
      </c>
      <c r="H6" s="71" t="str">
        <f t="shared" si="4"/>
        <v>L</v>
      </c>
      <c r="I6" s="71" t="str">
        <f t="shared" si="4"/>
        <v>L</v>
      </c>
      <c r="J6" s="71" t="str">
        <f t="shared" si="4"/>
        <v>L</v>
      </c>
      <c r="K6" s="71" t="str">
        <f t="shared" si="4"/>
        <v>L</v>
      </c>
      <c r="L6" s="71" t="str">
        <f t="shared" si="4"/>
        <v>L</v>
      </c>
      <c r="M6" s="71" t="str">
        <f t="shared" si="4"/>
        <v>L</v>
      </c>
      <c r="N6" s="71" t="str">
        <f t="shared" si="4"/>
        <v>L</v>
      </c>
      <c r="O6" s="71" t="str">
        <f t="shared" si="4"/>
        <v>L</v>
      </c>
      <c r="P6" s="6" t="s">
        <v>13</v>
      </c>
      <c r="Q6" s="86"/>
      <c r="R6" s="86"/>
      <c r="S6" s="86"/>
      <c r="T6" s="86"/>
      <c r="U6" s="86"/>
      <c r="V6" s="86"/>
    </row>
    <row r="7" spans="1:22" ht="14" customHeight="1">
      <c r="A7" s="4">
        <f t="shared" si="1"/>
        <v>7</v>
      </c>
      <c r="B7" s="161" t="s">
        <v>210</v>
      </c>
      <c r="C7" s="1274"/>
      <c r="D7" s="190">
        <v>1.2886280000000001</v>
      </c>
      <c r="E7" s="190">
        <v>1.2886280000000001</v>
      </c>
      <c r="F7" s="190">
        <v>1.2965439999999999</v>
      </c>
      <c r="G7" s="190">
        <v>1.2965439999999999</v>
      </c>
      <c r="H7" s="190">
        <v>1.2965439999999999</v>
      </c>
      <c r="I7" s="190">
        <v>1.2965439999999999</v>
      </c>
      <c r="J7" s="190">
        <v>1.2965439999999999</v>
      </c>
      <c r="K7" s="190">
        <v>1.2965439999999999</v>
      </c>
      <c r="L7" s="69">
        <v>1.3106599999999999</v>
      </c>
      <c r="M7" s="69">
        <v>1.3106599999999999</v>
      </c>
      <c r="N7" s="69">
        <v>1.3106599999999999</v>
      </c>
      <c r="O7" s="69">
        <v>1.3106599999999999</v>
      </c>
      <c r="P7" s="70" t="s">
        <v>182</v>
      </c>
      <c r="Q7" s="86"/>
      <c r="R7" s="86"/>
      <c r="S7" s="86"/>
      <c r="T7" s="86"/>
      <c r="U7" s="86"/>
      <c r="V7" s="86"/>
    </row>
    <row r="8" spans="1:22" ht="14" customHeight="1">
      <c r="A8" s="4">
        <f t="shared" si="1"/>
        <v>8</v>
      </c>
      <c r="B8" s="161" t="s">
        <v>127</v>
      </c>
      <c r="C8" s="1274"/>
      <c r="D8" s="345">
        <v>3</v>
      </c>
      <c r="E8" s="71">
        <f>$D8</f>
        <v>3</v>
      </c>
      <c r="F8" s="71">
        <f t="shared" si="4"/>
        <v>3</v>
      </c>
      <c r="G8" s="71">
        <f t="shared" si="4"/>
        <v>3</v>
      </c>
      <c r="H8" s="71">
        <f t="shared" si="4"/>
        <v>3</v>
      </c>
      <c r="I8" s="71">
        <f t="shared" si="4"/>
        <v>3</v>
      </c>
      <c r="J8" s="71">
        <f t="shared" si="4"/>
        <v>3</v>
      </c>
      <c r="K8" s="71">
        <f t="shared" si="4"/>
        <v>3</v>
      </c>
      <c r="L8" s="71">
        <f t="shared" si="4"/>
        <v>3</v>
      </c>
      <c r="M8" s="71">
        <f t="shared" si="4"/>
        <v>3</v>
      </c>
      <c r="N8" s="71">
        <f t="shared" si="4"/>
        <v>3</v>
      </c>
      <c r="O8" s="71">
        <f t="shared" si="4"/>
        <v>3</v>
      </c>
      <c r="P8" s="3" t="s">
        <v>99</v>
      </c>
      <c r="Q8" s="86"/>
      <c r="R8" s="86"/>
      <c r="S8" s="86"/>
      <c r="T8" s="86"/>
      <c r="U8" s="86"/>
      <c r="V8" s="86"/>
    </row>
    <row r="9" spans="1:22" ht="28">
      <c r="A9" s="4">
        <f>A8+1</f>
        <v>9</v>
      </c>
      <c r="B9" s="161" t="s">
        <v>211</v>
      </c>
      <c r="C9" s="1274"/>
      <c r="D9" s="143"/>
      <c r="E9" s="240">
        <f>D9</f>
        <v>0</v>
      </c>
      <c r="F9" s="240">
        <f t="shared" ref="F9:O12" si="5">E9</f>
        <v>0</v>
      </c>
      <c r="G9" s="240">
        <f t="shared" ref="G9:I10" si="6">F9</f>
        <v>0</v>
      </c>
      <c r="H9" s="240">
        <f t="shared" si="6"/>
        <v>0</v>
      </c>
      <c r="I9" s="240">
        <f t="shared" si="6"/>
        <v>0</v>
      </c>
      <c r="J9" s="330">
        <v>0.8</v>
      </c>
      <c r="K9" s="240">
        <f t="shared" ref="K9:M10" si="7">J9</f>
        <v>0.8</v>
      </c>
      <c r="L9" s="240">
        <f t="shared" si="7"/>
        <v>0.8</v>
      </c>
      <c r="M9" s="240">
        <f t="shared" si="7"/>
        <v>0.8</v>
      </c>
      <c r="N9" s="240">
        <f t="shared" si="5"/>
        <v>0.8</v>
      </c>
      <c r="O9" s="240">
        <f t="shared" si="5"/>
        <v>0.8</v>
      </c>
      <c r="P9" s="6" t="s">
        <v>73</v>
      </c>
      <c r="Q9" s="86"/>
      <c r="R9" s="86"/>
      <c r="S9" s="86"/>
      <c r="T9" s="86"/>
      <c r="U9" s="86"/>
      <c r="V9" s="86"/>
    </row>
    <row r="10" spans="1:22" ht="24" customHeight="1">
      <c r="A10" s="4">
        <f t="shared" si="1"/>
        <v>10</v>
      </c>
      <c r="B10" s="161" t="s">
        <v>212</v>
      </c>
      <c r="C10" s="1274"/>
      <c r="D10" s="192"/>
      <c r="E10" s="241">
        <f>D10</f>
        <v>0</v>
      </c>
      <c r="F10" s="241">
        <f t="shared" si="5"/>
        <v>0</v>
      </c>
      <c r="G10" s="241">
        <f t="shared" si="6"/>
        <v>0</v>
      </c>
      <c r="H10" s="241">
        <f t="shared" si="6"/>
        <v>0</v>
      </c>
      <c r="I10" s="241">
        <f t="shared" si="6"/>
        <v>0</v>
      </c>
      <c r="J10" s="331">
        <v>660</v>
      </c>
      <c r="K10" s="241">
        <f t="shared" si="7"/>
        <v>660</v>
      </c>
      <c r="L10" s="241">
        <f t="shared" si="7"/>
        <v>660</v>
      </c>
      <c r="M10" s="241">
        <f t="shared" si="7"/>
        <v>660</v>
      </c>
      <c r="N10" s="241">
        <f t="shared" si="5"/>
        <v>660</v>
      </c>
      <c r="O10" s="241">
        <f t="shared" si="5"/>
        <v>660</v>
      </c>
      <c r="P10" s="6" t="s">
        <v>68</v>
      </c>
      <c r="Q10" s="86"/>
      <c r="R10" s="86"/>
      <c r="S10" s="86"/>
      <c r="T10" s="86"/>
      <c r="U10" s="86"/>
      <c r="V10" s="86"/>
    </row>
    <row r="11" spans="1:22" ht="24" customHeight="1">
      <c r="A11" s="4">
        <f t="shared" si="1"/>
        <v>11</v>
      </c>
      <c r="B11" s="163" t="s">
        <v>213</v>
      </c>
      <c r="C11" s="1274"/>
      <c r="D11" s="193"/>
      <c r="E11" s="242">
        <f>D11</f>
        <v>0</v>
      </c>
      <c r="F11" s="242">
        <f t="shared" si="5"/>
        <v>0</v>
      </c>
      <c r="G11" s="242">
        <f t="shared" si="5"/>
        <v>0</v>
      </c>
      <c r="H11" s="242">
        <f t="shared" si="5"/>
        <v>0</v>
      </c>
      <c r="I11" s="242">
        <f t="shared" si="5"/>
        <v>0</v>
      </c>
      <c r="J11" s="242">
        <f t="shared" si="5"/>
        <v>0</v>
      </c>
      <c r="K11" s="242">
        <f t="shared" si="5"/>
        <v>0</v>
      </c>
      <c r="L11" s="242">
        <f t="shared" si="5"/>
        <v>0</v>
      </c>
      <c r="M11" s="242">
        <f t="shared" si="5"/>
        <v>0</v>
      </c>
      <c r="N11" s="242">
        <f t="shared" si="5"/>
        <v>0</v>
      </c>
      <c r="O11" s="242">
        <f t="shared" si="5"/>
        <v>0</v>
      </c>
      <c r="P11" s="12" t="s">
        <v>74</v>
      </c>
      <c r="Q11" s="86"/>
      <c r="R11" s="86"/>
      <c r="S11" s="86"/>
      <c r="T11" s="86"/>
      <c r="U11" s="86"/>
      <c r="V11" s="86"/>
    </row>
    <row r="12" spans="1:22" ht="24" customHeight="1">
      <c r="A12" s="4">
        <f t="shared" si="1"/>
        <v>12</v>
      </c>
      <c r="B12" s="164" t="s">
        <v>255</v>
      </c>
      <c r="C12" s="1274"/>
      <c r="D12" s="193"/>
      <c r="E12" s="242">
        <f>D12</f>
        <v>0</v>
      </c>
      <c r="F12" s="242">
        <f t="shared" si="5"/>
        <v>0</v>
      </c>
      <c r="G12" s="242">
        <f t="shared" si="5"/>
        <v>0</v>
      </c>
      <c r="H12" s="242">
        <f t="shared" si="5"/>
        <v>0</v>
      </c>
      <c r="I12" s="242">
        <f t="shared" si="5"/>
        <v>0</v>
      </c>
      <c r="J12" s="242">
        <f t="shared" si="5"/>
        <v>0</v>
      </c>
      <c r="K12" s="242">
        <f t="shared" si="5"/>
        <v>0</v>
      </c>
      <c r="L12" s="242">
        <f t="shared" si="5"/>
        <v>0</v>
      </c>
      <c r="M12" s="242">
        <f t="shared" si="5"/>
        <v>0</v>
      </c>
      <c r="N12" s="242">
        <f t="shared" si="5"/>
        <v>0</v>
      </c>
      <c r="O12" s="242">
        <f t="shared" si="5"/>
        <v>0</v>
      </c>
      <c r="P12" s="3" t="s">
        <v>77</v>
      </c>
      <c r="Q12" s="86"/>
      <c r="R12" s="86"/>
      <c r="S12" s="86"/>
      <c r="T12" s="86"/>
      <c r="U12" s="86"/>
      <c r="V12" s="86"/>
    </row>
    <row r="13" spans="1:22" ht="24" customHeight="1">
      <c r="A13" s="4">
        <f>A12+1</f>
        <v>13</v>
      </c>
      <c r="B13" s="165" t="s">
        <v>255</v>
      </c>
      <c r="C13" s="1274"/>
      <c r="D13" s="194"/>
      <c r="E13" s="243">
        <f t="shared" ref="E13:O20" si="8">D13</f>
        <v>0</v>
      </c>
      <c r="F13" s="243">
        <f t="shared" si="8"/>
        <v>0</v>
      </c>
      <c r="G13" s="243">
        <f t="shared" si="8"/>
        <v>0</v>
      </c>
      <c r="H13" s="243">
        <f t="shared" si="8"/>
        <v>0</v>
      </c>
      <c r="I13" s="243">
        <f t="shared" si="8"/>
        <v>0</v>
      </c>
      <c r="J13" s="243">
        <f t="shared" si="8"/>
        <v>0</v>
      </c>
      <c r="K13" s="243">
        <f t="shared" si="8"/>
        <v>0</v>
      </c>
      <c r="L13" s="243">
        <f t="shared" si="8"/>
        <v>0</v>
      </c>
      <c r="M13" s="243">
        <f t="shared" si="8"/>
        <v>0</v>
      </c>
      <c r="N13" s="243">
        <f t="shared" si="8"/>
        <v>0</v>
      </c>
      <c r="O13" s="243">
        <f t="shared" si="8"/>
        <v>0</v>
      </c>
      <c r="P13" s="3" t="s">
        <v>77</v>
      </c>
      <c r="Q13" s="86"/>
      <c r="R13" s="86"/>
      <c r="S13" s="86"/>
      <c r="T13" s="86"/>
      <c r="U13" s="86"/>
      <c r="V13" s="86"/>
    </row>
    <row r="14" spans="1:22" ht="24" customHeight="1">
      <c r="A14" s="4">
        <f t="shared" si="1"/>
        <v>14</v>
      </c>
      <c r="B14" s="166" t="s">
        <v>255</v>
      </c>
      <c r="C14" s="1274"/>
      <c r="D14" s="195"/>
      <c r="E14" s="244">
        <f t="shared" si="8"/>
        <v>0</v>
      </c>
      <c r="F14" s="244">
        <f t="shared" si="8"/>
        <v>0</v>
      </c>
      <c r="G14" s="244">
        <f t="shared" si="8"/>
        <v>0</v>
      </c>
      <c r="H14" s="244">
        <f t="shared" si="8"/>
        <v>0</v>
      </c>
      <c r="I14" s="244">
        <f t="shared" si="8"/>
        <v>0</v>
      </c>
      <c r="J14" s="244">
        <f t="shared" si="8"/>
        <v>0</v>
      </c>
      <c r="K14" s="244">
        <f t="shared" si="8"/>
        <v>0</v>
      </c>
      <c r="L14" s="244">
        <f t="shared" si="8"/>
        <v>0</v>
      </c>
      <c r="M14" s="244">
        <f t="shared" si="8"/>
        <v>0</v>
      </c>
      <c r="N14" s="244">
        <f t="shared" si="8"/>
        <v>0</v>
      </c>
      <c r="O14" s="244">
        <f t="shared" si="8"/>
        <v>0</v>
      </c>
      <c r="P14" s="3" t="s">
        <v>77</v>
      </c>
      <c r="Q14" s="86"/>
      <c r="R14" s="86"/>
      <c r="S14" s="86"/>
      <c r="T14" s="86"/>
      <c r="U14" s="86"/>
      <c r="V14" s="86"/>
    </row>
    <row r="15" spans="1:22" ht="24" customHeight="1">
      <c r="A15" s="4">
        <f t="shared" si="1"/>
        <v>15</v>
      </c>
      <c r="B15" s="167" t="s">
        <v>188</v>
      </c>
      <c r="C15" s="1274"/>
      <c r="D15" s="196"/>
      <c r="E15" s="245">
        <f t="shared" si="8"/>
        <v>0</v>
      </c>
      <c r="F15" s="245">
        <f t="shared" si="8"/>
        <v>0</v>
      </c>
      <c r="G15" s="245">
        <f t="shared" si="8"/>
        <v>0</v>
      </c>
      <c r="H15" s="245">
        <f t="shared" si="8"/>
        <v>0</v>
      </c>
      <c r="I15" s="245">
        <f t="shared" si="8"/>
        <v>0</v>
      </c>
      <c r="J15" s="245">
        <f t="shared" si="8"/>
        <v>0</v>
      </c>
      <c r="K15" s="245">
        <f t="shared" si="8"/>
        <v>0</v>
      </c>
      <c r="L15" s="245">
        <f t="shared" si="8"/>
        <v>0</v>
      </c>
      <c r="M15" s="245">
        <f t="shared" si="8"/>
        <v>0</v>
      </c>
      <c r="N15" s="245">
        <f t="shared" si="8"/>
        <v>0</v>
      </c>
      <c r="O15" s="245">
        <f t="shared" si="8"/>
        <v>0</v>
      </c>
      <c r="P15" s="3" t="s">
        <v>75</v>
      </c>
      <c r="Q15" s="86"/>
      <c r="R15" s="86"/>
      <c r="S15" s="86"/>
      <c r="T15" s="86"/>
      <c r="U15" s="86"/>
      <c r="V15" s="86"/>
    </row>
    <row r="16" spans="1:22" ht="24" customHeight="1">
      <c r="A16" s="4">
        <f t="shared" si="1"/>
        <v>16</v>
      </c>
      <c r="B16" s="164" t="s">
        <v>189</v>
      </c>
      <c r="C16" s="1274"/>
      <c r="D16" s="193"/>
      <c r="E16" s="242">
        <f t="shared" si="8"/>
        <v>0</v>
      </c>
      <c r="F16" s="242">
        <f t="shared" si="8"/>
        <v>0</v>
      </c>
      <c r="G16" s="242">
        <f t="shared" si="8"/>
        <v>0</v>
      </c>
      <c r="H16" s="242">
        <f t="shared" si="8"/>
        <v>0</v>
      </c>
      <c r="I16" s="242">
        <f t="shared" si="8"/>
        <v>0</v>
      </c>
      <c r="J16" s="332">
        <v>12000</v>
      </c>
      <c r="K16" s="242">
        <f t="shared" si="8"/>
        <v>12000</v>
      </c>
      <c r="L16" s="242">
        <f t="shared" si="8"/>
        <v>12000</v>
      </c>
      <c r="M16" s="242">
        <f t="shared" si="8"/>
        <v>12000</v>
      </c>
      <c r="N16" s="242">
        <f t="shared" si="8"/>
        <v>12000</v>
      </c>
      <c r="O16" s="242">
        <f t="shared" si="8"/>
        <v>12000</v>
      </c>
      <c r="P16" s="3" t="s">
        <v>75</v>
      </c>
      <c r="Q16" s="86"/>
      <c r="R16" s="86"/>
      <c r="S16" s="86"/>
      <c r="T16" s="86"/>
      <c r="U16" s="86"/>
      <c r="V16" s="86"/>
    </row>
    <row r="17" spans="1:22" ht="24" customHeight="1">
      <c r="A17" s="4">
        <f>A16+1</f>
        <v>17</v>
      </c>
      <c r="B17" s="168" t="s">
        <v>189</v>
      </c>
      <c r="C17" s="1274"/>
      <c r="D17" s="194"/>
      <c r="E17" s="243">
        <f t="shared" si="8"/>
        <v>0</v>
      </c>
      <c r="F17" s="243">
        <f t="shared" si="8"/>
        <v>0</v>
      </c>
      <c r="G17" s="243">
        <f t="shared" si="8"/>
        <v>0</v>
      </c>
      <c r="H17" s="243">
        <f t="shared" si="8"/>
        <v>0</v>
      </c>
      <c r="I17" s="243">
        <f t="shared" si="8"/>
        <v>0</v>
      </c>
      <c r="J17" s="243">
        <f t="shared" si="8"/>
        <v>0</v>
      </c>
      <c r="K17" s="243">
        <f t="shared" si="8"/>
        <v>0</v>
      </c>
      <c r="L17" s="243">
        <f t="shared" si="8"/>
        <v>0</v>
      </c>
      <c r="M17" s="243">
        <f t="shared" si="8"/>
        <v>0</v>
      </c>
      <c r="N17" s="243">
        <f t="shared" si="8"/>
        <v>0</v>
      </c>
      <c r="O17" s="243">
        <f t="shared" si="8"/>
        <v>0</v>
      </c>
      <c r="P17" s="3" t="s">
        <v>75</v>
      </c>
      <c r="Q17" s="86"/>
      <c r="R17" s="86"/>
      <c r="S17" s="86"/>
      <c r="T17" s="86"/>
      <c r="U17" s="86"/>
      <c r="V17" s="86"/>
    </row>
    <row r="18" spans="1:22" ht="24" customHeight="1">
      <c r="A18" s="4">
        <f t="shared" si="1"/>
        <v>18</v>
      </c>
      <c r="B18" s="166" t="s">
        <v>204</v>
      </c>
      <c r="C18" s="1274"/>
      <c r="D18" s="197"/>
      <c r="E18" s="246">
        <f t="shared" si="8"/>
        <v>0</v>
      </c>
      <c r="F18" s="246">
        <f t="shared" si="8"/>
        <v>0</v>
      </c>
      <c r="G18" s="246">
        <f t="shared" si="8"/>
        <v>0</v>
      </c>
      <c r="H18" s="246">
        <f t="shared" si="8"/>
        <v>0</v>
      </c>
      <c r="I18" s="246">
        <f t="shared" si="8"/>
        <v>0</v>
      </c>
      <c r="J18" s="246">
        <f t="shared" si="8"/>
        <v>0</v>
      </c>
      <c r="K18" s="246">
        <f t="shared" si="8"/>
        <v>0</v>
      </c>
      <c r="L18" s="246">
        <f t="shared" si="8"/>
        <v>0</v>
      </c>
      <c r="M18" s="246">
        <f t="shared" si="8"/>
        <v>0</v>
      </c>
      <c r="N18" s="246">
        <f t="shared" si="8"/>
        <v>0</v>
      </c>
      <c r="O18" s="246">
        <f t="shared" si="8"/>
        <v>0</v>
      </c>
      <c r="P18" s="3" t="s">
        <v>75</v>
      </c>
      <c r="Q18" s="86"/>
      <c r="R18" s="86"/>
      <c r="S18" s="86"/>
      <c r="T18" s="86"/>
      <c r="U18" s="86"/>
      <c r="V18" s="86"/>
    </row>
    <row r="19" spans="1:22" ht="24" customHeight="1">
      <c r="A19" s="4">
        <f t="shared" si="1"/>
        <v>19</v>
      </c>
      <c r="B19" s="169" t="s">
        <v>205</v>
      </c>
      <c r="C19" s="1274"/>
      <c r="D19" s="198" t="s">
        <v>249</v>
      </c>
      <c r="E19" s="247" t="str">
        <f>D19</f>
        <v>NEJ</v>
      </c>
      <c r="F19" s="247" t="str">
        <f t="shared" si="8"/>
        <v>NEJ</v>
      </c>
      <c r="G19" s="247" t="str">
        <f t="shared" si="8"/>
        <v>NEJ</v>
      </c>
      <c r="H19" s="247" t="str">
        <f t="shared" si="8"/>
        <v>NEJ</v>
      </c>
      <c r="I19" s="247" t="str">
        <f t="shared" si="8"/>
        <v>NEJ</v>
      </c>
      <c r="J19" s="247" t="str">
        <f t="shared" si="8"/>
        <v>NEJ</v>
      </c>
      <c r="K19" s="247" t="str">
        <f t="shared" si="8"/>
        <v>NEJ</v>
      </c>
      <c r="L19" s="247" t="str">
        <f t="shared" si="8"/>
        <v>NEJ</v>
      </c>
      <c r="M19" s="247" t="str">
        <f t="shared" si="8"/>
        <v>NEJ</v>
      </c>
      <c r="N19" s="247" t="str">
        <f t="shared" si="8"/>
        <v>NEJ</v>
      </c>
      <c r="O19" s="247" t="str">
        <f t="shared" si="8"/>
        <v>NEJ</v>
      </c>
      <c r="P19" s="6" t="s">
        <v>187</v>
      </c>
      <c r="Q19" s="86"/>
      <c r="R19" s="86"/>
      <c r="S19" s="86"/>
      <c r="T19" s="86"/>
      <c r="U19" s="86"/>
      <c r="V19" s="86"/>
    </row>
    <row r="20" spans="1:22" ht="14" customHeight="1">
      <c r="A20" s="4">
        <f t="shared" si="1"/>
        <v>20</v>
      </c>
      <c r="B20" s="170" t="s">
        <v>251</v>
      </c>
      <c r="C20" s="1274"/>
      <c r="D20" s="199">
        <v>0</v>
      </c>
      <c r="E20" s="248">
        <f>D20</f>
        <v>0</v>
      </c>
      <c r="F20" s="248">
        <f t="shared" si="8"/>
        <v>0</v>
      </c>
      <c r="G20" s="248">
        <f t="shared" si="8"/>
        <v>0</v>
      </c>
      <c r="H20" s="248">
        <f t="shared" si="8"/>
        <v>0</v>
      </c>
      <c r="I20" s="248">
        <f t="shared" si="8"/>
        <v>0</v>
      </c>
      <c r="J20" s="248">
        <f t="shared" si="8"/>
        <v>0</v>
      </c>
      <c r="K20" s="248">
        <f t="shared" si="8"/>
        <v>0</v>
      </c>
      <c r="L20" s="248">
        <f t="shared" si="8"/>
        <v>0</v>
      </c>
      <c r="M20" s="248">
        <f t="shared" si="8"/>
        <v>0</v>
      </c>
      <c r="N20" s="248">
        <f t="shared" si="8"/>
        <v>0</v>
      </c>
      <c r="O20" s="248">
        <f t="shared" si="8"/>
        <v>0</v>
      </c>
      <c r="P20" s="140" t="s">
        <v>153</v>
      </c>
      <c r="Q20" s="86"/>
      <c r="R20" s="86"/>
      <c r="S20" s="86"/>
      <c r="T20" s="86"/>
      <c r="U20" s="86"/>
      <c r="V20" s="86"/>
    </row>
    <row r="21" spans="1:22" ht="14" customHeight="1">
      <c r="A21" s="4">
        <f t="shared" si="1"/>
        <v>21</v>
      </c>
      <c r="B21" s="171" t="s">
        <v>218</v>
      </c>
      <c r="C21" s="1274"/>
      <c r="D21" s="200"/>
      <c r="E21" s="144"/>
      <c r="F21" s="144"/>
      <c r="G21" s="144"/>
      <c r="H21" s="144"/>
      <c r="I21" s="144"/>
      <c r="J21" s="144"/>
      <c r="K21" s="144"/>
      <c r="L21" s="144"/>
      <c r="M21" s="144"/>
      <c r="N21" s="144"/>
      <c r="O21" s="144">
        <v>20</v>
      </c>
      <c r="P21" s="3" t="s">
        <v>219</v>
      </c>
      <c r="Q21" s="86"/>
      <c r="R21" s="86"/>
      <c r="S21" s="86"/>
      <c r="T21" s="86"/>
      <c r="U21" s="86"/>
      <c r="V21" s="86"/>
    </row>
    <row r="22" spans="1:22" ht="27" customHeight="1">
      <c r="A22" s="4">
        <f t="shared" si="1"/>
        <v>22</v>
      </c>
      <c r="B22" s="127" t="s">
        <v>224</v>
      </c>
      <c r="C22" s="1274"/>
      <c r="D22" s="201"/>
      <c r="E22" s="145"/>
      <c r="F22" s="145"/>
      <c r="G22" s="145"/>
      <c r="H22" s="145"/>
      <c r="I22" s="145"/>
      <c r="J22" s="145"/>
      <c r="K22" s="145"/>
      <c r="L22" s="145"/>
      <c r="M22" s="145"/>
      <c r="N22" s="145"/>
      <c r="O22" s="145">
        <v>20</v>
      </c>
      <c r="P22" s="3" t="s">
        <v>193</v>
      </c>
      <c r="Q22" s="86"/>
      <c r="R22" s="86"/>
      <c r="S22" s="86"/>
      <c r="T22" s="86"/>
      <c r="U22" s="86"/>
      <c r="V22" s="86"/>
    </row>
    <row r="23" spans="1:22" ht="14" customHeight="1">
      <c r="A23" s="4">
        <f t="shared" si="1"/>
        <v>23</v>
      </c>
      <c r="B23" s="172" t="s">
        <v>241</v>
      </c>
      <c r="C23" s="1275"/>
      <c r="D23" s="202">
        <v>0</v>
      </c>
      <c r="E23" s="249">
        <f t="shared" ref="E23:L23" si="9">D23</f>
        <v>0</v>
      </c>
      <c r="F23" s="249">
        <f t="shared" si="9"/>
        <v>0</v>
      </c>
      <c r="G23" s="249">
        <f t="shared" si="9"/>
        <v>0</v>
      </c>
      <c r="H23" s="249">
        <f t="shared" si="9"/>
        <v>0</v>
      </c>
      <c r="I23" s="249">
        <f t="shared" si="9"/>
        <v>0</v>
      </c>
      <c r="J23" s="249">
        <f t="shared" si="9"/>
        <v>0</v>
      </c>
      <c r="K23" s="249">
        <f t="shared" si="9"/>
        <v>0</v>
      </c>
      <c r="L23" s="249">
        <f t="shared" si="9"/>
        <v>0</v>
      </c>
      <c r="M23" s="158"/>
      <c r="N23" s="146"/>
      <c r="O23" s="146"/>
      <c r="P23" s="142" t="s">
        <v>254</v>
      </c>
      <c r="Q23" s="86"/>
      <c r="R23" s="86"/>
      <c r="S23" s="86"/>
      <c r="T23" s="86"/>
      <c r="U23" s="86"/>
      <c r="V23" s="86"/>
    </row>
    <row r="24" spans="1:22" ht="14" customHeight="1">
      <c r="A24" s="4">
        <f t="shared" si="1"/>
        <v>24</v>
      </c>
      <c r="B24" s="173" t="s">
        <v>238</v>
      </c>
      <c r="C24" s="1275"/>
      <c r="D24" s="135" t="s">
        <v>208</v>
      </c>
      <c r="E24" s="147"/>
      <c r="F24" s="147"/>
      <c r="G24" s="147"/>
      <c r="H24" s="147"/>
      <c r="I24" s="147"/>
      <c r="J24" s="147"/>
      <c r="K24" s="147"/>
      <c r="L24" s="159"/>
      <c r="M24" s="148">
        <v>0</v>
      </c>
      <c r="N24" s="250">
        <f>M24</f>
        <v>0</v>
      </c>
      <c r="O24" s="250">
        <f>N24</f>
        <v>0</v>
      </c>
      <c r="P24" s="139" t="s">
        <v>253</v>
      </c>
      <c r="Q24" s="86"/>
      <c r="R24" s="86"/>
      <c r="S24" s="86"/>
      <c r="T24" s="86"/>
      <c r="U24" s="86"/>
      <c r="V24" s="86"/>
    </row>
    <row r="25" spans="1:22" ht="14" customHeight="1">
      <c r="A25" s="4">
        <f t="shared" si="1"/>
        <v>25</v>
      </c>
      <c r="B25" s="174" t="s">
        <v>198</v>
      </c>
      <c r="C25" s="1275"/>
      <c r="D25" s="203"/>
      <c r="E25" s="121"/>
      <c r="F25" s="121"/>
      <c r="G25" s="121"/>
      <c r="H25" s="121"/>
      <c r="I25" s="121"/>
      <c r="J25" s="121"/>
      <c r="K25" s="121"/>
      <c r="L25" s="121"/>
      <c r="M25" s="121">
        <v>2</v>
      </c>
      <c r="N25" s="121"/>
      <c r="O25" s="121"/>
      <c r="P25" s="140" t="s">
        <v>248</v>
      </c>
      <c r="Q25" s="86"/>
      <c r="R25" s="86"/>
      <c r="S25" s="86"/>
      <c r="T25" s="86"/>
      <c r="U25" s="86"/>
      <c r="V25" s="86"/>
    </row>
    <row r="26" spans="1:22" ht="14" customHeight="1">
      <c r="A26" s="4">
        <f t="shared" si="1"/>
        <v>26</v>
      </c>
      <c r="B26" s="175" t="s">
        <v>199</v>
      </c>
      <c r="C26" s="1275"/>
      <c r="D26" s="204"/>
      <c r="E26" s="251">
        <f>D26</f>
        <v>0</v>
      </c>
      <c r="F26" s="251">
        <f t="shared" ref="F26:O27" si="10">E26</f>
        <v>0</v>
      </c>
      <c r="G26" s="251">
        <f t="shared" si="10"/>
        <v>0</v>
      </c>
      <c r="H26" s="251">
        <f t="shared" si="10"/>
        <v>0</v>
      </c>
      <c r="I26" s="251">
        <f t="shared" si="10"/>
        <v>0</v>
      </c>
      <c r="J26" s="333">
        <v>42</v>
      </c>
      <c r="K26" s="251">
        <f t="shared" si="10"/>
        <v>42</v>
      </c>
      <c r="L26" s="251">
        <f t="shared" si="10"/>
        <v>42</v>
      </c>
      <c r="M26" s="251">
        <f t="shared" si="10"/>
        <v>42</v>
      </c>
      <c r="N26" s="251">
        <f t="shared" si="10"/>
        <v>42</v>
      </c>
      <c r="O26" s="251">
        <f t="shared" si="10"/>
        <v>42</v>
      </c>
      <c r="P26" s="3" t="s">
        <v>17</v>
      </c>
      <c r="Q26" s="86"/>
      <c r="R26" s="86"/>
      <c r="S26" s="86"/>
      <c r="T26" s="86"/>
      <c r="U26" s="86"/>
      <c r="V26" s="86"/>
    </row>
    <row r="27" spans="1:22" ht="14" customHeight="1">
      <c r="A27" s="4">
        <f t="shared" si="1"/>
        <v>27</v>
      </c>
      <c r="B27" s="174" t="s">
        <v>200</v>
      </c>
      <c r="C27" s="1275"/>
      <c r="D27" s="205"/>
      <c r="E27" s="252">
        <f>D27</f>
        <v>0</v>
      </c>
      <c r="F27" s="252">
        <f t="shared" si="10"/>
        <v>0</v>
      </c>
      <c r="G27" s="252">
        <f t="shared" si="10"/>
        <v>0</v>
      </c>
      <c r="H27" s="252">
        <f t="shared" si="10"/>
        <v>0</v>
      </c>
      <c r="I27" s="252">
        <f t="shared" si="10"/>
        <v>0</v>
      </c>
      <c r="J27" s="334">
        <v>5000</v>
      </c>
      <c r="K27" s="252">
        <f t="shared" si="10"/>
        <v>5000</v>
      </c>
      <c r="L27" s="252">
        <f t="shared" si="10"/>
        <v>5000</v>
      </c>
      <c r="M27" s="252">
        <f t="shared" si="10"/>
        <v>5000</v>
      </c>
      <c r="N27" s="252">
        <f t="shared" si="10"/>
        <v>5000</v>
      </c>
      <c r="O27" s="252">
        <f t="shared" si="10"/>
        <v>5000</v>
      </c>
      <c r="P27" s="140"/>
      <c r="Q27" s="86"/>
      <c r="R27" s="86"/>
      <c r="S27" s="86"/>
      <c r="T27" s="86"/>
      <c r="U27" s="86"/>
      <c r="V27" s="86"/>
    </row>
    <row r="28" spans="1:22" ht="14">
      <c r="A28" s="4">
        <f t="shared" si="1"/>
        <v>28</v>
      </c>
      <c r="B28" s="176" t="s">
        <v>142</v>
      </c>
      <c r="C28" s="1275"/>
      <c r="D28" s="226"/>
      <c r="E28" s="227"/>
      <c r="F28" s="227"/>
      <c r="G28" s="227"/>
      <c r="H28" s="227"/>
      <c r="I28" s="227"/>
      <c r="J28" s="227"/>
      <c r="K28" s="227"/>
      <c r="L28" s="227"/>
      <c r="M28" s="227"/>
      <c r="N28" s="227"/>
      <c r="O28" s="227"/>
      <c r="P28" s="6" t="s">
        <v>138</v>
      </c>
      <c r="Q28" s="86"/>
      <c r="R28" s="86"/>
      <c r="S28" s="86"/>
      <c r="T28" s="86"/>
      <c r="U28" s="86"/>
      <c r="V28" s="86"/>
    </row>
    <row r="29" spans="1:22" ht="14">
      <c r="A29" s="4">
        <f t="shared" si="1"/>
        <v>29</v>
      </c>
      <c r="B29" s="177" t="s">
        <v>152</v>
      </c>
      <c r="C29" s="1275"/>
      <c r="D29" s="228"/>
      <c r="E29" s="229"/>
      <c r="F29" s="229"/>
      <c r="G29" s="229"/>
      <c r="H29" s="229"/>
      <c r="I29" s="229"/>
      <c r="J29" s="229"/>
      <c r="K29" s="229"/>
      <c r="L29" s="229"/>
      <c r="M29" s="229"/>
      <c r="N29" s="229"/>
      <c r="O29" s="229"/>
      <c r="P29" s="6" t="s">
        <v>139</v>
      </c>
      <c r="Q29" s="86"/>
      <c r="R29" s="86"/>
      <c r="S29" s="86"/>
      <c r="T29" s="86"/>
      <c r="U29" s="86"/>
      <c r="V29" s="86"/>
    </row>
    <row r="30" spans="1:22" ht="14">
      <c r="A30" s="4">
        <f t="shared" si="1"/>
        <v>30</v>
      </c>
      <c r="B30" s="177" t="s">
        <v>143</v>
      </c>
      <c r="C30" s="1275"/>
      <c r="D30" s="228"/>
      <c r="E30" s="229"/>
      <c r="F30" s="229"/>
      <c r="G30" s="229"/>
      <c r="H30" s="229"/>
      <c r="I30" s="229"/>
      <c r="J30" s="229"/>
      <c r="K30" s="229"/>
      <c r="L30" s="229"/>
      <c r="M30" s="229"/>
      <c r="N30" s="229"/>
      <c r="O30" s="229"/>
      <c r="P30" s="6" t="s">
        <v>140</v>
      </c>
      <c r="Q30" s="86"/>
      <c r="R30" s="86"/>
      <c r="S30" s="86"/>
      <c r="T30" s="86"/>
      <c r="U30" s="86"/>
      <c r="V30" s="86"/>
    </row>
    <row r="31" spans="1:22" ht="14">
      <c r="A31" s="4">
        <f t="shared" si="1"/>
        <v>31</v>
      </c>
      <c r="B31" s="177" t="s">
        <v>128</v>
      </c>
      <c r="C31" s="1275"/>
      <c r="D31" s="228"/>
      <c r="E31" s="229"/>
      <c r="F31" s="229"/>
      <c r="G31" s="229"/>
      <c r="H31" s="229"/>
      <c r="I31" s="229"/>
      <c r="J31" s="229"/>
      <c r="K31" s="229"/>
      <c r="L31" s="229"/>
      <c r="M31" s="229"/>
      <c r="N31" s="229"/>
      <c r="O31" s="229"/>
      <c r="P31" s="6" t="s">
        <v>130</v>
      </c>
      <c r="Q31" s="86"/>
      <c r="R31" s="86"/>
      <c r="S31" s="86"/>
      <c r="T31" s="86"/>
      <c r="U31" s="86"/>
      <c r="V31" s="86"/>
    </row>
    <row r="32" spans="1:22">
      <c r="A32" s="4">
        <f t="shared" si="1"/>
        <v>32</v>
      </c>
      <c r="B32" s="177" t="s">
        <v>201</v>
      </c>
      <c r="C32" s="1275"/>
      <c r="D32" s="228"/>
      <c r="E32" s="229"/>
      <c r="F32" s="229"/>
      <c r="G32" s="229"/>
      <c r="H32" s="229"/>
      <c r="I32" s="229"/>
      <c r="J32" s="229"/>
      <c r="K32" s="229"/>
      <c r="L32" s="229"/>
      <c r="M32" s="229"/>
      <c r="N32" s="229"/>
      <c r="O32" s="229"/>
      <c r="P32" s="3" t="s">
        <v>141</v>
      </c>
      <c r="Q32" s="86"/>
      <c r="R32" s="86"/>
      <c r="S32" s="86"/>
      <c r="T32" s="86"/>
      <c r="U32" s="86"/>
      <c r="V32" s="86"/>
    </row>
    <row r="33" spans="1:22" ht="14">
      <c r="A33" s="4">
        <f t="shared" si="1"/>
        <v>33</v>
      </c>
      <c r="B33" s="177" t="s">
        <v>144</v>
      </c>
      <c r="C33" s="1275"/>
      <c r="D33" s="228"/>
      <c r="E33" s="229"/>
      <c r="F33" s="229"/>
      <c r="G33" s="229"/>
      <c r="H33" s="229"/>
      <c r="I33" s="229"/>
      <c r="J33" s="229"/>
      <c r="K33" s="229"/>
      <c r="L33" s="229"/>
      <c r="M33" s="229"/>
      <c r="N33" s="229"/>
      <c r="O33" s="229"/>
      <c r="P33" s="6" t="s">
        <v>76</v>
      </c>
      <c r="Q33" s="86"/>
      <c r="R33" s="86"/>
      <c r="S33" s="86"/>
      <c r="T33" s="86"/>
      <c r="U33" s="86"/>
      <c r="V33" s="86"/>
    </row>
    <row r="34" spans="1:22" ht="14">
      <c r="A34" s="4">
        <f t="shared" si="1"/>
        <v>34</v>
      </c>
      <c r="B34" s="177" t="s">
        <v>146</v>
      </c>
      <c r="C34" s="1275"/>
      <c r="D34" s="228"/>
      <c r="E34" s="229"/>
      <c r="F34" s="229"/>
      <c r="G34" s="229"/>
      <c r="H34" s="229"/>
      <c r="I34" s="229"/>
      <c r="J34" s="229"/>
      <c r="K34" s="229"/>
      <c r="L34" s="229"/>
      <c r="M34" s="229"/>
      <c r="N34" s="229"/>
      <c r="O34" s="229"/>
      <c r="P34" s="6" t="s">
        <v>69</v>
      </c>
      <c r="Q34" s="86"/>
      <c r="R34" s="86"/>
      <c r="S34" s="86"/>
      <c r="T34" s="86"/>
      <c r="U34" s="86"/>
      <c r="V34" s="86"/>
    </row>
    <row r="35" spans="1:22" ht="14">
      <c r="A35" s="4">
        <f t="shared" si="1"/>
        <v>35</v>
      </c>
      <c r="B35" s="177" t="s">
        <v>145</v>
      </c>
      <c r="C35" s="1275"/>
      <c r="D35" s="228"/>
      <c r="E35" s="229"/>
      <c r="F35" s="229"/>
      <c r="G35" s="229"/>
      <c r="H35" s="229"/>
      <c r="I35" s="229"/>
      <c r="J35" s="229"/>
      <c r="K35" s="229"/>
      <c r="L35" s="229"/>
      <c r="M35" s="229"/>
      <c r="N35" s="229"/>
      <c r="O35" s="229"/>
      <c r="P35" s="6" t="s">
        <v>69</v>
      </c>
      <c r="Q35" s="86"/>
      <c r="R35" s="86"/>
      <c r="S35" s="86"/>
      <c r="T35" s="86"/>
      <c r="U35" s="86"/>
      <c r="V35" s="86"/>
    </row>
    <row r="36" spans="1:22" ht="14">
      <c r="A36" s="4">
        <f t="shared" si="1"/>
        <v>36</v>
      </c>
      <c r="B36" s="177" t="s">
        <v>147</v>
      </c>
      <c r="C36" s="1275"/>
      <c r="D36" s="228"/>
      <c r="E36" s="229"/>
      <c r="F36" s="229"/>
      <c r="G36" s="229"/>
      <c r="H36" s="229"/>
      <c r="I36" s="229"/>
      <c r="J36" s="229"/>
      <c r="K36" s="229"/>
      <c r="L36" s="229"/>
      <c r="M36" s="229"/>
      <c r="N36" s="229"/>
      <c r="O36" s="229"/>
      <c r="P36" s="6" t="s">
        <v>135</v>
      </c>
      <c r="Q36" s="86"/>
      <c r="R36" s="86"/>
      <c r="S36" s="86"/>
      <c r="T36" s="86"/>
      <c r="U36" s="86"/>
      <c r="V36" s="86"/>
    </row>
    <row r="37" spans="1:22" ht="14">
      <c r="A37" s="4">
        <f t="shared" si="1"/>
        <v>37</v>
      </c>
      <c r="B37" s="177" t="s">
        <v>206</v>
      </c>
      <c r="C37" s="1275"/>
      <c r="D37" s="230" t="s">
        <v>256</v>
      </c>
      <c r="E37" s="231"/>
      <c r="F37" s="231"/>
      <c r="G37" s="231"/>
      <c r="H37" s="231"/>
      <c r="I37" s="231"/>
      <c r="J37" s="231"/>
      <c r="K37" s="231"/>
      <c r="L37" s="231"/>
      <c r="M37" s="253">
        <f>IF(M21&gt;0,ROUND(1.5%*P88,2),0)</f>
        <v>0</v>
      </c>
      <c r="N37" s="253">
        <f>IF(AND(N21&gt;0,M37=0),ROUND(1.5%*P88,2),0)</f>
        <v>0</v>
      </c>
      <c r="O37" s="253">
        <f>IF(AND(O21&gt;0,SUM(M37:N37)=0),ROUND(1.5%*P88,2),0)</f>
        <v>0</v>
      </c>
      <c r="P37" s="6" t="s">
        <v>246</v>
      </c>
      <c r="Q37" s="86"/>
      <c r="R37" s="86"/>
      <c r="S37" s="86"/>
      <c r="T37" s="86"/>
      <c r="U37" s="86"/>
      <c r="V37" s="86"/>
    </row>
    <row r="38" spans="1:22">
      <c r="A38" s="4">
        <f t="shared" si="1"/>
        <v>38</v>
      </c>
      <c r="B38" s="178" t="s">
        <v>133</v>
      </c>
      <c r="C38" s="1275"/>
      <c r="D38" s="228"/>
      <c r="E38" s="229"/>
      <c r="F38" s="229"/>
      <c r="G38" s="229"/>
      <c r="H38" s="229"/>
      <c r="I38" s="229"/>
      <c r="J38" s="229"/>
      <c r="K38" s="229"/>
      <c r="L38" s="229"/>
      <c r="M38" s="229"/>
      <c r="N38" s="229"/>
      <c r="O38" s="229"/>
      <c r="P38" s="85"/>
      <c r="Q38" s="86"/>
      <c r="R38" s="86"/>
      <c r="S38" s="86"/>
      <c r="T38" s="86"/>
      <c r="U38" s="86"/>
      <c r="V38" s="86"/>
    </row>
    <row r="39" spans="1:22">
      <c r="A39" s="4">
        <f t="shared" si="1"/>
        <v>39</v>
      </c>
      <c r="B39" s="178" t="s">
        <v>148</v>
      </c>
      <c r="C39" s="1275"/>
      <c r="D39" s="228"/>
      <c r="E39" s="229"/>
      <c r="F39" s="229"/>
      <c r="G39" s="229"/>
      <c r="H39" s="229"/>
      <c r="I39" s="229"/>
      <c r="J39" s="229"/>
      <c r="K39" s="229"/>
      <c r="L39" s="229"/>
      <c r="M39" s="229"/>
      <c r="N39" s="229"/>
      <c r="O39" s="229"/>
      <c r="P39" s="85"/>
      <c r="Q39" s="86"/>
      <c r="R39" s="86"/>
      <c r="S39" s="86"/>
      <c r="T39" s="86"/>
      <c r="U39" s="86"/>
      <c r="V39" s="86"/>
    </row>
    <row r="40" spans="1:22">
      <c r="A40" s="4">
        <f t="shared" si="1"/>
        <v>40</v>
      </c>
      <c r="B40" s="178" t="s">
        <v>131</v>
      </c>
      <c r="C40" s="1275"/>
      <c r="D40" s="228"/>
      <c r="E40" s="229"/>
      <c r="F40" s="229"/>
      <c r="G40" s="229"/>
      <c r="H40" s="229"/>
      <c r="I40" s="229"/>
      <c r="J40" s="229"/>
      <c r="K40" s="229"/>
      <c r="L40" s="229"/>
      <c r="M40" s="229"/>
      <c r="N40" s="229"/>
      <c r="O40" s="229"/>
      <c r="P40" s="85"/>
      <c r="Q40" s="86"/>
      <c r="R40" s="86"/>
      <c r="S40" s="86"/>
      <c r="T40" s="86"/>
      <c r="U40" s="86"/>
      <c r="V40" s="86"/>
    </row>
    <row r="41" spans="1:22">
      <c r="A41" s="4">
        <f t="shared" si="1"/>
        <v>41</v>
      </c>
      <c r="B41" s="178" t="s">
        <v>134</v>
      </c>
      <c r="C41" s="1275"/>
      <c r="D41" s="228"/>
      <c r="E41" s="229"/>
      <c r="F41" s="229"/>
      <c r="G41" s="229"/>
      <c r="H41" s="229"/>
      <c r="I41" s="229"/>
      <c r="J41" s="229"/>
      <c r="K41" s="229"/>
      <c r="L41" s="229"/>
      <c r="M41" s="229"/>
      <c r="N41" s="229"/>
      <c r="O41" s="229"/>
      <c r="P41" s="85"/>
      <c r="Q41" s="86"/>
      <c r="R41" s="86"/>
      <c r="S41" s="86"/>
      <c r="T41" s="86"/>
      <c r="U41" s="86"/>
      <c r="V41" s="86"/>
    </row>
    <row r="42" spans="1:22">
      <c r="A42" s="4">
        <f t="shared" si="1"/>
        <v>42</v>
      </c>
      <c r="B42" s="179" t="s">
        <v>129</v>
      </c>
      <c r="C42" s="1276"/>
      <c r="D42" s="232"/>
      <c r="E42" s="233"/>
      <c r="F42" s="233"/>
      <c r="G42" s="233"/>
      <c r="H42" s="233"/>
      <c r="I42" s="233"/>
      <c r="J42" s="233"/>
      <c r="K42" s="233"/>
      <c r="L42" s="233"/>
      <c r="M42" s="233"/>
      <c r="N42" s="233"/>
      <c r="O42" s="233"/>
      <c r="P42" s="141"/>
      <c r="Q42" s="86"/>
      <c r="R42" s="86"/>
      <c r="S42" s="86"/>
      <c r="T42" s="86"/>
      <c r="U42" s="86"/>
      <c r="V42" s="86"/>
    </row>
    <row r="43" spans="1:22" ht="32" customHeight="1">
      <c r="A43" s="22">
        <f t="shared" si="1"/>
        <v>43</v>
      </c>
      <c r="B43" s="180" t="s">
        <v>214</v>
      </c>
      <c r="C43" s="76" t="str">
        <f>C2</f>
        <v>jan-jul</v>
      </c>
      <c r="D43" s="206" t="str">
        <f>D2</f>
        <v>AUG 09</v>
      </c>
      <c r="E43" s="76" t="str">
        <f t="shared" ref="E43:O43" si="11">E2</f>
        <v>SEP09</v>
      </c>
      <c r="F43" s="76" t="str">
        <f t="shared" si="11"/>
        <v>OKT 09</v>
      </c>
      <c r="G43" s="76" t="str">
        <f t="shared" si="11"/>
        <v>NOV 09</v>
      </c>
      <c r="H43" s="76" t="str">
        <f t="shared" si="11"/>
        <v>DEC 09</v>
      </c>
      <c r="I43" s="76" t="str">
        <f t="shared" si="11"/>
        <v>JAN 10</v>
      </c>
      <c r="J43" s="76" t="str">
        <f t="shared" si="11"/>
        <v>FEB 10</v>
      </c>
      <c r="K43" s="76" t="str">
        <f t="shared" si="11"/>
        <v>MAR 10</v>
      </c>
      <c r="L43" s="76" t="str">
        <f t="shared" si="11"/>
        <v>APR 10</v>
      </c>
      <c r="M43" s="76" t="str">
        <f t="shared" si="11"/>
        <v>MAJ10</v>
      </c>
      <c r="N43" s="76" t="str">
        <f t="shared" si="11"/>
        <v>JUN 10</v>
      </c>
      <c r="O43" s="76" t="str">
        <f t="shared" si="11"/>
        <v>JUL 10</v>
      </c>
      <c r="P43" s="80" t="s">
        <v>111</v>
      </c>
      <c r="Q43" s="86"/>
      <c r="R43" s="86"/>
      <c r="S43" s="86"/>
      <c r="T43" s="86"/>
      <c r="U43" s="86"/>
      <c r="V43" s="86"/>
    </row>
    <row r="44" spans="1:22">
      <c r="A44" s="22">
        <f t="shared" si="1"/>
        <v>44</v>
      </c>
      <c r="B44" s="154" t="s">
        <v>85</v>
      </c>
      <c r="C44" s="220"/>
      <c r="D44" s="207">
        <f t="shared" ref="D44:O44" si="12">ROUND(IF(D9&gt;0,ROUND((ROUND(VLOOKUP(D4,basistabel,2,0)*D7,0))/12,2),0)*D9*D3,2)</f>
        <v>0</v>
      </c>
      <c r="E44" s="103">
        <f t="shared" si="12"/>
        <v>0</v>
      </c>
      <c r="F44" s="103">
        <f t="shared" si="12"/>
        <v>0</v>
      </c>
      <c r="G44" s="103">
        <f t="shared" si="12"/>
        <v>0</v>
      </c>
      <c r="H44" s="103">
        <f t="shared" si="12"/>
        <v>0</v>
      </c>
      <c r="I44" s="103">
        <f t="shared" si="12"/>
        <v>0</v>
      </c>
      <c r="J44" s="103">
        <f>ROUND(IF(J9&gt;0,ROUND((ROUND(VLOOKUP(J4,basistabel,2,0)*J7,0))/12,2),0)*J9*J3,2)</f>
        <v>9418.4699999999993</v>
      </c>
      <c r="K44" s="103">
        <f t="shared" si="12"/>
        <v>17581.14</v>
      </c>
      <c r="L44" s="103">
        <f t="shared" si="12"/>
        <v>17772.54</v>
      </c>
      <c r="M44" s="103">
        <f t="shared" si="12"/>
        <v>17772.54</v>
      </c>
      <c r="N44" s="103">
        <f t="shared" si="12"/>
        <v>17772.54</v>
      </c>
      <c r="O44" s="103">
        <f t="shared" si="12"/>
        <v>17772.54</v>
      </c>
      <c r="P44" s="117">
        <f t="shared" ref="P44:P81" si="13">SUM(D44:O44)</f>
        <v>98089.770000000019</v>
      </c>
      <c r="Q44" s="86"/>
      <c r="R44" s="86"/>
      <c r="S44" s="86"/>
      <c r="T44" s="86"/>
      <c r="U44" s="86"/>
      <c r="V44" s="86"/>
    </row>
    <row r="45" spans="1:22">
      <c r="A45" s="22">
        <f>A44+1</f>
        <v>45</v>
      </c>
      <c r="B45" s="155" t="s">
        <v>86</v>
      </c>
      <c r="C45" s="220"/>
      <c r="D45" s="208">
        <f t="shared" ref="D45:O45" si="14">ROUND(IF(D9&gt;0,ROUND((VLOOKUP(D4,omraadetabel,D8,0))/12,2),0)*D9*D3,2)</f>
        <v>0</v>
      </c>
      <c r="E45" s="105">
        <f t="shared" si="14"/>
        <v>0</v>
      </c>
      <c r="F45" s="105">
        <f t="shared" si="14"/>
        <v>0</v>
      </c>
      <c r="G45" s="105">
        <f t="shared" si="14"/>
        <v>0</v>
      </c>
      <c r="H45" s="105">
        <f t="shared" si="14"/>
        <v>0</v>
      </c>
      <c r="I45" s="105">
        <f t="shared" si="14"/>
        <v>0</v>
      </c>
      <c r="J45" s="105">
        <f t="shared" si="14"/>
        <v>160.71</v>
      </c>
      <c r="K45" s="105">
        <f t="shared" si="14"/>
        <v>300</v>
      </c>
      <c r="L45" s="105">
        <f t="shared" si="14"/>
        <v>300</v>
      </c>
      <c r="M45" s="105">
        <f t="shared" si="14"/>
        <v>300</v>
      </c>
      <c r="N45" s="105">
        <f t="shared" si="14"/>
        <v>300</v>
      </c>
      <c r="O45" s="105">
        <f t="shared" si="14"/>
        <v>300</v>
      </c>
      <c r="P45" s="106">
        <f t="shared" si="13"/>
        <v>1660.71</v>
      </c>
      <c r="Q45" s="86"/>
      <c r="R45" s="86"/>
      <c r="S45" s="86"/>
      <c r="T45" s="86"/>
      <c r="U45" s="86"/>
      <c r="V45" s="86"/>
    </row>
    <row r="46" spans="1:22">
      <c r="A46" s="22">
        <f t="shared" ref="A46:A81" si="15">A45+1</f>
        <v>46</v>
      </c>
      <c r="B46" s="155" t="s">
        <v>170</v>
      </c>
      <c r="C46" s="220"/>
      <c r="D46" s="208">
        <f t="shared" ref="D46:O46" si="16">ROUND(SUM(D102:D105)*D3,2)</f>
        <v>0</v>
      </c>
      <c r="E46" s="105">
        <f t="shared" si="16"/>
        <v>0</v>
      </c>
      <c r="F46" s="105">
        <f t="shared" si="16"/>
        <v>0</v>
      </c>
      <c r="G46" s="105">
        <f t="shared" si="16"/>
        <v>0</v>
      </c>
      <c r="H46" s="105">
        <f t="shared" si="16"/>
        <v>0</v>
      </c>
      <c r="I46" s="105">
        <f t="shared" si="16"/>
        <v>0</v>
      </c>
      <c r="J46" s="105">
        <f t="shared" si="16"/>
        <v>653.22</v>
      </c>
      <c r="K46" s="105">
        <f t="shared" si="16"/>
        <v>1219.3499999999999</v>
      </c>
      <c r="L46" s="105">
        <f t="shared" si="16"/>
        <v>1232.55</v>
      </c>
      <c r="M46" s="105">
        <f t="shared" si="16"/>
        <v>1232.55</v>
      </c>
      <c r="N46" s="105">
        <f t="shared" si="16"/>
        <v>1232.55</v>
      </c>
      <c r="O46" s="105">
        <f t="shared" si="16"/>
        <v>1232.55</v>
      </c>
      <c r="P46" s="106">
        <f t="shared" si="13"/>
        <v>6802.77</v>
      </c>
      <c r="Q46" s="86"/>
      <c r="R46" s="86"/>
      <c r="S46" s="86"/>
      <c r="T46" s="86"/>
      <c r="U46" s="86"/>
      <c r="V46" s="86"/>
    </row>
    <row r="47" spans="1:22">
      <c r="A47" s="22">
        <f t="shared" si="15"/>
        <v>47</v>
      </c>
      <c r="B47" s="155" t="s">
        <v>171</v>
      </c>
      <c r="C47" s="220"/>
      <c r="D47" s="208">
        <f t="shared" ref="D47:O47" si="17">ROUND(D11*D$7*D3/12,2)</f>
        <v>0</v>
      </c>
      <c r="E47" s="105">
        <f t="shared" si="17"/>
        <v>0</v>
      </c>
      <c r="F47" s="105">
        <f t="shared" si="17"/>
        <v>0</v>
      </c>
      <c r="G47" s="105">
        <f t="shared" si="17"/>
        <v>0</v>
      </c>
      <c r="H47" s="105">
        <f t="shared" si="17"/>
        <v>0</v>
      </c>
      <c r="I47" s="105">
        <f t="shared" si="17"/>
        <v>0</v>
      </c>
      <c r="J47" s="105">
        <f t="shared" si="17"/>
        <v>0</v>
      </c>
      <c r="K47" s="105">
        <f t="shared" si="17"/>
        <v>0</v>
      </c>
      <c r="L47" s="105">
        <f t="shared" si="17"/>
        <v>0</v>
      </c>
      <c r="M47" s="105">
        <f t="shared" si="17"/>
        <v>0</v>
      </c>
      <c r="N47" s="105">
        <f t="shared" si="17"/>
        <v>0</v>
      </c>
      <c r="O47" s="105">
        <f t="shared" si="17"/>
        <v>0</v>
      </c>
      <c r="P47" s="106">
        <f t="shared" si="13"/>
        <v>0</v>
      </c>
      <c r="Q47" s="86"/>
      <c r="R47" s="86"/>
      <c r="S47" s="86"/>
      <c r="T47" s="86"/>
      <c r="U47" s="86"/>
      <c r="V47" s="86"/>
    </row>
    <row r="48" spans="1:22">
      <c r="A48" s="22">
        <f t="shared" si="15"/>
        <v>48</v>
      </c>
      <c r="B48" s="155" t="s">
        <v>172</v>
      </c>
      <c r="C48" s="220"/>
      <c r="D48" s="208">
        <f t="shared" ref="D48:O48" si="18">ROUND(D12*D$7*D3/12,2)</f>
        <v>0</v>
      </c>
      <c r="E48" s="105">
        <f t="shared" si="18"/>
        <v>0</v>
      </c>
      <c r="F48" s="105">
        <f t="shared" si="18"/>
        <v>0</v>
      </c>
      <c r="G48" s="105">
        <f t="shared" si="18"/>
        <v>0</v>
      </c>
      <c r="H48" s="105">
        <f t="shared" si="18"/>
        <v>0</v>
      </c>
      <c r="I48" s="105">
        <f t="shared" si="18"/>
        <v>0</v>
      </c>
      <c r="J48" s="105">
        <f t="shared" si="18"/>
        <v>0</v>
      </c>
      <c r="K48" s="105">
        <f t="shared" si="18"/>
        <v>0</v>
      </c>
      <c r="L48" s="105">
        <f t="shared" si="18"/>
        <v>0</v>
      </c>
      <c r="M48" s="105">
        <f t="shared" si="18"/>
        <v>0</v>
      </c>
      <c r="N48" s="105">
        <f t="shared" si="18"/>
        <v>0</v>
      </c>
      <c r="O48" s="105">
        <f t="shared" si="18"/>
        <v>0</v>
      </c>
      <c r="P48" s="106">
        <f t="shared" si="13"/>
        <v>0</v>
      </c>
      <c r="Q48" s="86"/>
      <c r="R48" s="86"/>
      <c r="S48" s="86"/>
      <c r="T48" s="86"/>
      <c r="U48" s="86"/>
      <c r="V48" s="86"/>
    </row>
    <row r="49" spans="1:22">
      <c r="A49" s="22">
        <f t="shared" si="15"/>
        <v>49</v>
      </c>
      <c r="B49" s="155" t="s">
        <v>173</v>
      </c>
      <c r="C49" s="220"/>
      <c r="D49" s="208">
        <f t="shared" ref="D49:O49" si="19">ROUND(D13*D$7/12*D3,2)</f>
        <v>0</v>
      </c>
      <c r="E49" s="105">
        <f t="shared" si="19"/>
        <v>0</v>
      </c>
      <c r="F49" s="105">
        <f t="shared" si="19"/>
        <v>0</v>
      </c>
      <c r="G49" s="105">
        <f t="shared" si="19"/>
        <v>0</v>
      </c>
      <c r="H49" s="105">
        <f t="shared" si="19"/>
        <v>0</v>
      </c>
      <c r="I49" s="105">
        <f t="shared" si="19"/>
        <v>0</v>
      </c>
      <c r="J49" s="105">
        <f t="shared" si="19"/>
        <v>0</v>
      </c>
      <c r="K49" s="105">
        <f t="shared" si="19"/>
        <v>0</v>
      </c>
      <c r="L49" s="105">
        <f t="shared" si="19"/>
        <v>0</v>
      </c>
      <c r="M49" s="105">
        <f t="shared" si="19"/>
        <v>0</v>
      </c>
      <c r="N49" s="105">
        <f t="shared" si="19"/>
        <v>0</v>
      </c>
      <c r="O49" s="105">
        <f t="shared" si="19"/>
        <v>0</v>
      </c>
      <c r="P49" s="106">
        <f t="shared" si="13"/>
        <v>0</v>
      </c>
      <c r="Q49" s="86"/>
      <c r="R49" s="86"/>
      <c r="S49" s="86"/>
      <c r="T49" s="86"/>
      <c r="U49" s="86"/>
      <c r="V49" s="86"/>
    </row>
    <row r="50" spans="1:22">
      <c r="A50" s="22">
        <f t="shared" si="15"/>
        <v>50</v>
      </c>
      <c r="B50" s="155" t="s">
        <v>174</v>
      </c>
      <c r="C50" s="220"/>
      <c r="D50" s="208">
        <f t="shared" ref="D50:O50" si="20">ROUND(D14*D$7/12*D3,2)</f>
        <v>0</v>
      </c>
      <c r="E50" s="105">
        <f t="shared" si="20"/>
        <v>0</v>
      </c>
      <c r="F50" s="105">
        <f t="shared" si="20"/>
        <v>0</v>
      </c>
      <c r="G50" s="105">
        <f t="shared" si="20"/>
        <v>0</v>
      </c>
      <c r="H50" s="105">
        <f t="shared" si="20"/>
        <v>0</v>
      </c>
      <c r="I50" s="105">
        <f t="shared" si="20"/>
        <v>0</v>
      </c>
      <c r="J50" s="105">
        <f t="shared" si="20"/>
        <v>0</v>
      </c>
      <c r="K50" s="105">
        <f t="shared" si="20"/>
        <v>0</v>
      </c>
      <c r="L50" s="105">
        <f t="shared" si="20"/>
        <v>0</v>
      </c>
      <c r="M50" s="105">
        <f t="shared" si="20"/>
        <v>0</v>
      </c>
      <c r="N50" s="105">
        <f t="shared" si="20"/>
        <v>0</v>
      </c>
      <c r="O50" s="105">
        <f t="shared" si="20"/>
        <v>0</v>
      </c>
      <c r="P50" s="106">
        <f t="shared" si="13"/>
        <v>0</v>
      </c>
      <c r="Q50" s="86"/>
      <c r="R50" s="86"/>
      <c r="S50" s="86"/>
      <c r="T50" s="86"/>
      <c r="U50" s="86"/>
      <c r="V50" s="86"/>
    </row>
    <row r="51" spans="1:22">
      <c r="A51" s="22">
        <f t="shared" si="15"/>
        <v>51</v>
      </c>
      <c r="B51" s="155" t="s">
        <v>175</v>
      </c>
      <c r="C51" s="220"/>
      <c r="D51" s="208">
        <f t="shared" ref="D51:O51" si="21">ROUND(D15*D$7/12*D3,2)</f>
        <v>0</v>
      </c>
      <c r="E51" s="105">
        <f t="shared" si="21"/>
        <v>0</v>
      </c>
      <c r="F51" s="105">
        <f t="shared" si="21"/>
        <v>0</v>
      </c>
      <c r="G51" s="105">
        <f t="shared" si="21"/>
        <v>0</v>
      </c>
      <c r="H51" s="105">
        <f t="shared" si="21"/>
        <v>0</v>
      </c>
      <c r="I51" s="105">
        <f t="shared" si="21"/>
        <v>0</v>
      </c>
      <c r="J51" s="105">
        <f t="shared" si="21"/>
        <v>0</v>
      </c>
      <c r="K51" s="105">
        <f t="shared" si="21"/>
        <v>0</v>
      </c>
      <c r="L51" s="105">
        <f t="shared" si="21"/>
        <v>0</v>
      </c>
      <c r="M51" s="105">
        <f t="shared" si="21"/>
        <v>0</v>
      </c>
      <c r="N51" s="105">
        <f t="shared" si="21"/>
        <v>0</v>
      </c>
      <c r="O51" s="105">
        <f t="shared" si="21"/>
        <v>0</v>
      </c>
      <c r="P51" s="106">
        <f t="shared" si="13"/>
        <v>0</v>
      </c>
      <c r="Q51" s="86"/>
      <c r="R51" s="86"/>
      <c r="S51" s="86"/>
      <c r="T51" s="86"/>
      <c r="U51" s="86"/>
      <c r="V51" s="86"/>
    </row>
    <row r="52" spans="1:22">
      <c r="A52" s="22">
        <f t="shared" si="15"/>
        <v>52</v>
      </c>
      <c r="B52" s="155" t="s">
        <v>176</v>
      </c>
      <c r="C52" s="220"/>
      <c r="D52" s="208">
        <f t="shared" ref="D52:O52" si="22">ROUND(D16*D$7*D$9/12*D3,2)</f>
        <v>0</v>
      </c>
      <c r="E52" s="105">
        <f t="shared" si="22"/>
        <v>0</v>
      </c>
      <c r="F52" s="105">
        <f t="shared" si="22"/>
        <v>0</v>
      </c>
      <c r="G52" s="105">
        <f t="shared" si="22"/>
        <v>0</v>
      </c>
      <c r="H52" s="105">
        <f t="shared" si="22"/>
        <v>0</v>
      </c>
      <c r="I52" s="105">
        <f t="shared" si="22"/>
        <v>0</v>
      </c>
      <c r="J52" s="105">
        <f t="shared" si="22"/>
        <v>555.66</v>
      </c>
      <c r="K52" s="105">
        <f t="shared" si="22"/>
        <v>1037.24</v>
      </c>
      <c r="L52" s="105">
        <f t="shared" si="22"/>
        <v>1048.53</v>
      </c>
      <c r="M52" s="105">
        <f t="shared" si="22"/>
        <v>1048.53</v>
      </c>
      <c r="N52" s="105">
        <f t="shared" si="22"/>
        <v>1048.53</v>
      </c>
      <c r="O52" s="105">
        <f t="shared" si="22"/>
        <v>1048.53</v>
      </c>
      <c r="P52" s="106">
        <f t="shared" si="13"/>
        <v>5787.0199999999995</v>
      </c>
      <c r="Q52" s="86"/>
      <c r="R52" s="86"/>
      <c r="S52" s="86"/>
      <c r="T52" s="86"/>
      <c r="U52" s="86"/>
      <c r="V52" s="86"/>
    </row>
    <row r="53" spans="1:22">
      <c r="A53" s="22">
        <f t="shared" si="15"/>
        <v>53</v>
      </c>
      <c r="B53" s="155" t="s">
        <v>177</v>
      </c>
      <c r="C53" s="220"/>
      <c r="D53" s="208">
        <f t="shared" ref="D53:O53" si="23">ROUND(D17*D$7*D$9/12*D3,2)</f>
        <v>0</v>
      </c>
      <c r="E53" s="105">
        <f t="shared" si="23"/>
        <v>0</v>
      </c>
      <c r="F53" s="105">
        <f t="shared" si="23"/>
        <v>0</v>
      </c>
      <c r="G53" s="105">
        <f t="shared" si="23"/>
        <v>0</v>
      </c>
      <c r="H53" s="105">
        <f t="shared" si="23"/>
        <v>0</v>
      </c>
      <c r="I53" s="105">
        <f t="shared" si="23"/>
        <v>0</v>
      </c>
      <c r="J53" s="105">
        <f t="shared" si="23"/>
        <v>0</v>
      </c>
      <c r="K53" s="105">
        <f t="shared" si="23"/>
        <v>0</v>
      </c>
      <c r="L53" s="105">
        <f t="shared" si="23"/>
        <v>0</v>
      </c>
      <c r="M53" s="105">
        <f t="shared" si="23"/>
        <v>0</v>
      </c>
      <c r="N53" s="105">
        <f t="shared" si="23"/>
        <v>0</v>
      </c>
      <c r="O53" s="105">
        <f t="shared" si="23"/>
        <v>0</v>
      </c>
      <c r="P53" s="106">
        <f t="shared" si="13"/>
        <v>0</v>
      </c>
      <c r="Q53" s="86"/>
      <c r="R53" s="86"/>
      <c r="S53" s="86"/>
      <c r="T53" s="86"/>
      <c r="U53" s="86"/>
      <c r="V53" s="86"/>
    </row>
    <row r="54" spans="1:22">
      <c r="A54" s="22">
        <f t="shared" si="15"/>
        <v>54</v>
      </c>
      <c r="B54" s="155" t="s">
        <v>114</v>
      </c>
      <c r="C54" s="220"/>
      <c r="D54" s="208">
        <f t="shared" ref="D54:O54" si="24">ROUND(D18*D$7*D$9/12*D3,2)</f>
        <v>0</v>
      </c>
      <c r="E54" s="105">
        <f t="shared" si="24"/>
        <v>0</v>
      </c>
      <c r="F54" s="105">
        <f t="shared" si="24"/>
        <v>0</v>
      </c>
      <c r="G54" s="105">
        <f t="shared" si="24"/>
        <v>0</v>
      </c>
      <c r="H54" s="105">
        <f t="shared" si="24"/>
        <v>0</v>
      </c>
      <c r="I54" s="105">
        <f t="shared" si="24"/>
        <v>0</v>
      </c>
      <c r="J54" s="105">
        <f t="shared" si="24"/>
        <v>0</v>
      </c>
      <c r="K54" s="105">
        <f t="shared" si="24"/>
        <v>0</v>
      </c>
      <c r="L54" s="105">
        <f t="shared" si="24"/>
        <v>0</v>
      </c>
      <c r="M54" s="105">
        <f t="shared" si="24"/>
        <v>0</v>
      </c>
      <c r="N54" s="105">
        <f t="shared" si="24"/>
        <v>0</v>
      </c>
      <c r="O54" s="105">
        <f t="shared" si="24"/>
        <v>0</v>
      </c>
      <c r="P54" s="106">
        <f t="shared" si="13"/>
        <v>0</v>
      </c>
      <c r="Q54" s="86"/>
      <c r="R54" s="86"/>
      <c r="S54" s="86"/>
      <c r="T54" s="86"/>
      <c r="U54" s="86"/>
      <c r="V54" s="86"/>
    </row>
    <row r="55" spans="1:22">
      <c r="A55" s="22">
        <f t="shared" si="15"/>
        <v>55</v>
      </c>
      <c r="B55" s="155" t="s">
        <v>106</v>
      </c>
      <c r="C55" s="220"/>
      <c r="D55" s="105">
        <f t="shared" ref="D55:O55" si="25">ROUND(IF(OR(D$5="A",D$5="B"),MAX(235800+32300*(LEFT(D$4)="L")-VLOOKUP(D4,basistabel,2,0)-SUM(D$15:D$18),0),0)/12*D$7*D$9*D3,2)</f>
        <v>0</v>
      </c>
      <c r="E55" s="105">
        <f t="shared" si="25"/>
        <v>0</v>
      </c>
      <c r="F55" s="105">
        <f t="shared" si="25"/>
        <v>0</v>
      </c>
      <c r="G55" s="105">
        <f t="shared" si="25"/>
        <v>0</v>
      </c>
      <c r="H55" s="105">
        <f t="shared" si="25"/>
        <v>0</v>
      </c>
      <c r="I55" s="105">
        <f t="shared" si="25"/>
        <v>0</v>
      </c>
      <c r="J55" s="105">
        <f t="shared" si="25"/>
        <v>0</v>
      </c>
      <c r="K55" s="105">
        <f t="shared" si="25"/>
        <v>0</v>
      </c>
      <c r="L55" s="105">
        <f t="shared" si="25"/>
        <v>0</v>
      </c>
      <c r="M55" s="105">
        <f t="shared" si="25"/>
        <v>0</v>
      </c>
      <c r="N55" s="105">
        <f t="shared" si="25"/>
        <v>0</v>
      </c>
      <c r="O55" s="105">
        <f t="shared" si="25"/>
        <v>0</v>
      </c>
      <c r="P55" s="106">
        <f t="shared" si="13"/>
        <v>0</v>
      </c>
      <c r="Q55" s="86"/>
      <c r="R55" s="86"/>
      <c r="S55" s="86"/>
      <c r="T55" s="86"/>
      <c r="U55" s="86"/>
      <c r="V55" s="86"/>
    </row>
    <row r="56" spans="1:22">
      <c r="A56" s="22">
        <f t="shared" si="15"/>
        <v>56</v>
      </c>
      <c r="B56" s="155" t="s">
        <v>100</v>
      </c>
      <c r="C56" s="220"/>
      <c r="D56" s="105">
        <f t="shared" ref="D56:K56" si="26">MAX(ROUND((IF(RIGHT(D4)="1",4000)+IF(OR(RIGHT(D4)="2",RIGHT(D4)="3"),6000))*D7/12*D9*D3,2)-D55,0)*(D5&lt;&gt;"B")</f>
        <v>0</v>
      </c>
      <c r="E56" s="105">
        <f t="shared" si="26"/>
        <v>0</v>
      </c>
      <c r="F56" s="105">
        <f t="shared" si="26"/>
        <v>0</v>
      </c>
      <c r="G56" s="105">
        <f t="shared" si="26"/>
        <v>0</v>
      </c>
      <c r="H56" s="105">
        <f t="shared" si="26"/>
        <v>0</v>
      </c>
      <c r="I56" s="105">
        <f t="shared" si="26"/>
        <v>0</v>
      </c>
      <c r="J56" s="105">
        <f t="shared" si="26"/>
        <v>185.22</v>
      </c>
      <c r="K56" s="105">
        <f t="shared" si="26"/>
        <v>345.75</v>
      </c>
      <c r="L56" s="105">
        <f>MAX(ROUND((IF(RIGHT(L4)="1",4000)+IF(OR(RIGHT(L4)="2",RIGHT(L4)="3"),6000))*L7/12*L9*L3,2)-L55,0)*(L5&lt;&gt;"B")</f>
        <v>349.51</v>
      </c>
      <c r="M56" s="105">
        <f>MAX(ROUND((IF(RIGHT(M4)="1",4000)+IF(OR(RIGHT(M4)="2",RIGHT(M4)="3"),6000))*M7/12*M9*M3,2)-M55,0)*(M5&lt;&gt;"B")</f>
        <v>349.51</v>
      </c>
      <c r="N56" s="105">
        <f>MAX(ROUND((IF(RIGHT(N4)="1",4000)+IF(OR(RIGHT(N4)="2",RIGHT(N4)="3"),6000))*N7/12*N9*N3,2)-N55,0)*(N5&lt;&gt;"B")</f>
        <v>349.51</v>
      </c>
      <c r="O56" s="105">
        <f>MAX(ROUND((IF(RIGHT(O4)="1",4000)+IF(OR(RIGHT(O4)="2",RIGHT(O4)="3"),6000))*O7/12*O9*O3,2)-O55,0)*(O5&lt;&gt;"B")</f>
        <v>349.51</v>
      </c>
      <c r="P56" s="106">
        <f t="shared" si="13"/>
        <v>1929.01</v>
      </c>
      <c r="Q56" s="86"/>
      <c r="R56" s="86"/>
      <c r="S56" s="86"/>
      <c r="T56" s="86"/>
      <c r="U56" s="86"/>
      <c r="V56" s="86"/>
    </row>
    <row r="57" spans="1:22">
      <c r="A57" s="22">
        <f t="shared" si="15"/>
        <v>57</v>
      </c>
      <c r="B57" s="155" t="s">
        <v>101</v>
      </c>
      <c r="C57" s="220"/>
      <c r="D57" s="105">
        <f>MAX(ROUND((IF(RIGHT(D4)="1",4000)+IF(OR(RIGHT(D4)="2",RIGHT(D4)="3"),6000))*D7/12*D9*D3,2)-D55,0)*(D5="B")</f>
        <v>0</v>
      </c>
      <c r="E57" s="105">
        <f t="shared" ref="E57:O57" si="27">MAX(ROUND((IF(RIGHT(E4)="1",4000)+IF(OR(RIGHT(E4)="2",RIGHT(E4)="3"),6000))*E7/12*E9*E3,2)-E55,0)*(E5="B")</f>
        <v>0</v>
      </c>
      <c r="F57" s="105">
        <f t="shared" si="27"/>
        <v>0</v>
      </c>
      <c r="G57" s="105">
        <f t="shared" si="27"/>
        <v>0</v>
      </c>
      <c r="H57" s="105">
        <f t="shared" si="27"/>
        <v>0</v>
      </c>
      <c r="I57" s="105">
        <f t="shared" si="27"/>
        <v>0</v>
      </c>
      <c r="J57" s="105">
        <f t="shared" si="27"/>
        <v>0</v>
      </c>
      <c r="K57" s="105">
        <f t="shared" si="27"/>
        <v>0</v>
      </c>
      <c r="L57" s="105">
        <f t="shared" si="27"/>
        <v>0</v>
      </c>
      <c r="M57" s="105">
        <f t="shared" si="27"/>
        <v>0</v>
      </c>
      <c r="N57" s="105">
        <f t="shared" si="27"/>
        <v>0</v>
      </c>
      <c r="O57" s="105">
        <f t="shared" si="27"/>
        <v>0</v>
      </c>
      <c r="P57" s="106">
        <f t="shared" si="13"/>
        <v>0</v>
      </c>
      <c r="Q57" s="86"/>
      <c r="R57" s="86"/>
      <c r="S57" s="86"/>
      <c r="T57" s="86"/>
      <c r="U57" s="86"/>
      <c r="V57" s="86"/>
    </row>
    <row r="58" spans="1:22">
      <c r="A58" s="22">
        <f t="shared" si="15"/>
        <v>58</v>
      </c>
      <c r="B58" s="155" t="s">
        <v>178</v>
      </c>
      <c r="C58" s="220"/>
      <c r="D58" s="208">
        <f t="shared" ref="D58:O58" si="28">IF(D44&gt;0,ROUND(IF(D$9&gt;=0.5,540*D$7,270*D$7)/12*D3,2),0)</f>
        <v>0</v>
      </c>
      <c r="E58" s="105">
        <f t="shared" si="28"/>
        <v>0</v>
      </c>
      <c r="F58" s="105">
        <f t="shared" si="28"/>
        <v>0</v>
      </c>
      <c r="G58" s="105">
        <f t="shared" si="28"/>
        <v>0</v>
      </c>
      <c r="H58" s="105">
        <f t="shared" si="28"/>
        <v>0</v>
      </c>
      <c r="I58" s="105">
        <f t="shared" si="28"/>
        <v>0</v>
      </c>
      <c r="J58" s="105">
        <f t="shared" si="28"/>
        <v>31.26</v>
      </c>
      <c r="K58" s="105">
        <f t="shared" si="28"/>
        <v>58.34</v>
      </c>
      <c r="L58" s="105">
        <f t="shared" si="28"/>
        <v>58.98</v>
      </c>
      <c r="M58" s="105">
        <f t="shared" si="28"/>
        <v>58.98</v>
      </c>
      <c r="N58" s="105">
        <f t="shared" si="28"/>
        <v>58.98</v>
      </c>
      <c r="O58" s="105">
        <f t="shared" si="28"/>
        <v>58.98</v>
      </c>
      <c r="P58" s="106">
        <f t="shared" si="13"/>
        <v>325.52000000000004</v>
      </c>
      <c r="Q58" s="86"/>
      <c r="R58" s="86"/>
      <c r="S58" s="86"/>
      <c r="T58" s="86"/>
      <c r="U58" s="86"/>
      <c r="V58" s="86"/>
    </row>
    <row r="59" spans="1:22">
      <c r="A59" s="22">
        <f t="shared" si="15"/>
        <v>59</v>
      </c>
      <c r="B59" s="155" t="s">
        <v>159</v>
      </c>
      <c r="C59" s="220"/>
      <c r="D59" s="208">
        <f t="shared" ref="D59:O59" si="29">D20*D3</f>
        <v>0</v>
      </c>
      <c r="E59" s="105">
        <f t="shared" si="29"/>
        <v>0</v>
      </c>
      <c r="F59" s="105">
        <f t="shared" si="29"/>
        <v>0</v>
      </c>
      <c r="G59" s="105">
        <f t="shared" si="29"/>
        <v>0</v>
      </c>
      <c r="H59" s="105">
        <f t="shared" si="29"/>
        <v>0</v>
      </c>
      <c r="I59" s="105">
        <f t="shared" si="29"/>
        <v>0</v>
      </c>
      <c r="J59" s="105">
        <f t="shared" si="29"/>
        <v>0</v>
      </c>
      <c r="K59" s="105">
        <f t="shared" si="29"/>
        <v>0</v>
      </c>
      <c r="L59" s="105">
        <f t="shared" si="29"/>
        <v>0</v>
      </c>
      <c r="M59" s="105">
        <f t="shared" si="29"/>
        <v>0</v>
      </c>
      <c r="N59" s="105">
        <f t="shared" si="29"/>
        <v>0</v>
      </c>
      <c r="O59" s="105">
        <f t="shared" si="29"/>
        <v>0</v>
      </c>
      <c r="P59" s="106">
        <f t="shared" si="13"/>
        <v>0</v>
      </c>
      <c r="Q59" s="86"/>
      <c r="R59" s="86"/>
      <c r="S59" s="86"/>
      <c r="T59" s="86"/>
      <c r="U59" s="86"/>
      <c r="V59" s="86"/>
    </row>
    <row r="60" spans="1:22">
      <c r="A60" s="22">
        <f t="shared" si="15"/>
        <v>60</v>
      </c>
      <c r="B60" s="155" t="s">
        <v>160</v>
      </c>
      <c r="C60" s="220"/>
      <c r="D60" s="208">
        <f t="shared" ref="D60:O60" si="30">IF(D9&gt;=0.4054,108.35*D3,0)</f>
        <v>0</v>
      </c>
      <c r="E60" s="105">
        <f t="shared" si="30"/>
        <v>0</v>
      </c>
      <c r="F60" s="105">
        <f t="shared" si="30"/>
        <v>0</v>
      </c>
      <c r="G60" s="105">
        <f t="shared" si="30"/>
        <v>0</v>
      </c>
      <c r="H60" s="105">
        <f t="shared" si="30"/>
        <v>0</v>
      </c>
      <c r="I60" s="105">
        <f t="shared" si="30"/>
        <v>0</v>
      </c>
      <c r="J60" s="105">
        <f t="shared" si="30"/>
        <v>58.044642857142854</v>
      </c>
      <c r="K60" s="105">
        <f t="shared" si="30"/>
        <v>108.35</v>
      </c>
      <c r="L60" s="105">
        <f t="shared" si="30"/>
        <v>108.35</v>
      </c>
      <c r="M60" s="105">
        <f t="shared" si="30"/>
        <v>108.35</v>
      </c>
      <c r="N60" s="105">
        <f t="shared" si="30"/>
        <v>108.35</v>
      </c>
      <c r="O60" s="105">
        <f t="shared" si="30"/>
        <v>108.35</v>
      </c>
      <c r="P60" s="106">
        <f t="shared" si="13"/>
        <v>599.79464285714289</v>
      </c>
      <c r="Q60" s="86"/>
      <c r="R60" s="86"/>
      <c r="S60" s="86"/>
      <c r="T60" s="86"/>
      <c r="U60" s="86"/>
      <c r="V60" s="86"/>
    </row>
    <row r="61" spans="1:22">
      <c r="A61" s="22">
        <f t="shared" si="15"/>
        <v>61</v>
      </c>
      <c r="B61" s="155" t="s">
        <v>250</v>
      </c>
      <c r="C61" s="220"/>
      <c r="D61" s="208">
        <f>-(MAX(0,MIN(D21,D22))+D25)*4.62%*SUM(D44:D60)</f>
        <v>0</v>
      </c>
      <c r="E61" s="208">
        <f t="shared" ref="E61:O61" si="31">-(MAX(0,MIN(E21,E22))+E25)*4.62%*SUM(E44:E60)</f>
        <v>0</v>
      </c>
      <c r="F61" s="208">
        <f t="shared" si="31"/>
        <v>0</v>
      </c>
      <c r="G61" s="208">
        <f t="shared" si="31"/>
        <v>0</v>
      </c>
      <c r="H61" s="208">
        <f t="shared" si="31"/>
        <v>0</v>
      </c>
      <c r="I61" s="208">
        <f t="shared" si="31"/>
        <v>0</v>
      </c>
      <c r="J61" s="208">
        <f t="shared" si="31"/>
        <v>0</v>
      </c>
      <c r="K61" s="208">
        <f t="shared" si="31"/>
        <v>0</v>
      </c>
      <c r="L61" s="208">
        <f t="shared" si="31"/>
        <v>0</v>
      </c>
      <c r="M61" s="208">
        <f t="shared" si="31"/>
        <v>-1928.4305039999995</v>
      </c>
      <c r="N61" s="208">
        <f t="shared" si="31"/>
        <v>0</v>
      </c>
      <c r="O61" s="208">
        <f t="shared" si="31"/>
        <v>-19284.305039999996</v>
      </c>
      <c r="P61" s="106">
        <f t="shared" si="13"/>
        <v>-21212.735543999996</v>
      </c>
      <c r="Q61" s="86"/>
      <c r="R61" s="86"/>
      <c r="S61" s="86"/>
      <c r="T61" s="86"/>
      <c r="U61" s="86"/>
      <c r="V61" s="86"/>
    </row>
    <row r="62" spans="1:22">
      <c r="A62" s="22">
        <f t="shared" si="15"/>
        <v>62</v>
      </c>
      <c r="B62" s="155" t="s">
        <v>192</v>
      </c>
      <c r="C62" s="220"/>
      <c r="D62" s="208">
        <f>(D21-D22)*4.62%*(D23-D9)*(D3=1)*IF(D9&gt;0,(D44+D45+D52+D53+D54+D55+D56+D57)/D9,0)*(D23&gt;0)</f>
        <v>0</v>
      </c>
      <c r="E62" s="105">
        <f>(E21-E22)*4.62%*(E23-E9)*(E3=1)*IF(E9&gt;0,(E44+E45+E52+E53+E54+E55+E56+E57)/E9,0)*(E23&gt;0)</f>
        <v>0</v>
      </c>
      <c r="F62" s="105">
        <f>(F21-F22)*4.62%*(F23-F9)*(F3=1)*IF(F9&gt;0,(F44+F45+F52+F53+F54+F55+F56+F57)/F9,0)*(F23&gt;0)</f>
        <v>0</v>
      </c>
      <c r="G62" s="105">
        <f>(G21-G22)*4.62%*(G23-G9)*(G3=1)*IF(G9&gt;0,(G44+G45+G52+G53+G54+G55+G56+G57)/G9,0)*(G23&gt;0)</f>
        <v>0</v>
      </c>
      <c r="H62" s="105">
        <f>(H21-H22)*4.62%*(H23-H9)*(H3=1)*IF(H9&gt;0,(H44+H45+H52+H53+H54+H55+H56+H57)/H9,0)*(H23&gt;0)</f>
        <v>0</v>
      </c>
      <c r="I62" s="105">
        <f t="shared" ref="I62:O62" si="32">(I21-I22)*4.62%*(I24-I9)*(I3=1)*IF(I9&gt;0,(I44+I45+I52+I53+I54+I55+I56+I57)/I9,0)*(I24&gt;0)</f>
        <v>0</v>
      </c>
      <c r="J62" s="105">
        <f t="shared" si="32"/>
        <v>0</v>
      </c>
      <c r="K62" s="105">
        <f t="shared" si="32"/>
        <v>0</v>
      </c>
      <c r="L62" s="105">
        <f t="shared" si="32"/>
        <v>0</v>
      </c>
      <c r="M62" s="105">
        <f t="shared" si="32"/>
        <v>0</v>
      </c>
      <c r="N62" s="105">
        <f t="shared" si="32"/>
        <v>0</v>
      </c>
      <c r="O62" s="105">
        <f t="shared" si="32"/>
        <v>0</v>
      </c>
      <c r="P62" s="106">
        <f t="shared" si="13"/>
        <v>0</v>
      </c>
      <c r="Q62" s="86"/>
      <c r="R62" s="86"/>
      <c r="S62" s="86"/>
      <c r="T62" s="86"/>
      <c r="U62" s="86"/>
      <c r="V62" s="86"/>
    </row>
    <row r="63" spans="1:22">
      <c r="A63" s="22">
        <f t="shared" si="15"/>
        <v>63</v>
      </c>
      <c r="B63" s="155" t="s">
        <v>179</v>
      </c>
      <c r="C63" s="220"/>
      <c r="D63" s="208">
        <f t="shared" ref="D63:O63" si="33">SUM(D32:D42)+MAX(D31-8000,0)</f>
        <v>0</v>
      </c>
      <c r="E63" s="105">
        <f t="shared" si="33"/>
        <v>0</v>
      </c>
      <c r="F63" s="105">
        <f t="shared" si="33"/>
        <v>0</v>
      </c>
      <c r="G63" s="105">
        <f t="shared" si="33"/>
        <v>0</v>
      </c>
      <c r="H63" s="105">
        <f t="shared" si="33"/>
        <v>0</v>
      </c>
      <c r="I63" s="105">
        <f t="shared" si="33"/>
        <v>0</v>
      </c>
      <c r="J63" s="105">
        <f t="shared" si="33"/>
        <v>0</v>
      </c>
      <c r="K63" s="105">
        <f t="shared" si="33"/>
        <v>0</v>
      </c>
      <c r="L63" s="105">
        <f t="shared" si="33"/>
        <v>0</v>
      </c>
      <c r="M63" s="105">
        <f t="shared" si="33"/>
        <v>0</v>
      </c>
      <c r="N63" s="105">
        <f t="shared" si="33"/>
        <v>0</v>
      </c>
      <c r="O63" s="105">
        <f t="shared" si="33"/>
        <v>0</v>
      </c>
      <c r="P63" s="106">
        <f t="shared" si="13"/>
        <v>0</v>
      </c>
      <c r="Q63" s="86"/>
      <c r="R63" s="86"/>
      <c r="S63" s="86"/>
      <c r="T63" s="86"/>
      <c r="U63" s="86"/>
      <c r="V63" s="86"/>
    </row>
    <row r="64" spans="1:22">
      <c r="A64" s="22">
        <f t="shared" si="15"/>
        <v>64</v>
      </c>
      <c r="B64" s="181" t="s">
        <v>16</v>
      </c>
      <c r="C64" s="220"/>
      <c r="D64" s="209">
        <f>SUM(D28:D30)+IF(D31&gt;0,MIN(D31,8000),0)</f>
        <v>0</v>
      </c>
      <c r="E64" s="209">
        <f t="shared" ref="E64:O64" si="34">SUM(E28:E30)+IF(E31&gt;0,MIN(E31,8000),0)</f>
        <v>0</v>
      </c>
      <c r="F64" s="209">
        <f t="shared" si="34"/>
        <v>0</v>
      </c>
      <c r="G64" s="209">
        <f t="shared" si="34"/>
        <v>0</v>
      </c>
      <c r="H64" s="209">
        <f t="shared" si="34"/>
        <v>0</v>
      </c>
      <c r="I64" s="209">
        <f t="shared" si="34"/>
        <v>0</v>
      </c>
      <c r="J64" s="209">
        <f t="shared" si="34"/>
        <v>0</v>
      </c>
      <c r="K64" s="209">
        <f t="shared" si="34"/>
        <v>0</v>
      </c>
      <c r="L64" s="209">
        <f t="shared" si="34"/>
        <v>0</v>
      </c>
      <c r="M64" s="209">
        <f t="shared" si="34"/>
        <v>0</v>
      </c>
      <c r="N64" s="209">
        <f t="shared" si="34"/>
        <v>0</v>
      </c>
      <c r="O64" s="209">
        <f t="shared" si="34"/>
        <v>0</v>
      </c>
      <c r="P64" s="107">
        <f t="shared" si="13"/>
        <v>0</v>
      </c>
      <c r="Q64" s="86"/>
      <c r="R64" s="86"/>
      <c r="S64" s="86"/>
      <c r="T64" s="86"/>
      <c r="U64" s="86"/>
      <c r="V64" s="86"/>
    </row>
    <row r="65" spans="1:22">
      <c r="A65" s="22">
        <f t="shared" si="15"/>
        <v>65</v>
      </c>
      <c r="B65" s="75" t="s">
        <v>104</v>
      </c>
      <c r="C65" s="221"/>
      <c r="D65" s="210">
        <f>SUM(D44:D64)</f>
        <v>0</v>
      </c>
      <c r="E65" s="210">
        <f t="shared" ref="E65:O65" si="35">SUM(E44:E64)</f>
        <v>0</v>
      </c>
      <c r="F65" s="210">
        <f t="shared" si="35"/>
        <v>0</v>
      </c>
      <c r="G65" s="210">
        <f t="shared" si="35"/>
        <v>0</v>
      </c>
      <c r="H65" s="210">
        <f t="shared" si="35"/>
        <v>0</v>
      </c>
      <c r="I65" s="210">
        <f t="shared" si="35"/>
        <v>0</v>
      </c>
      <c r="J65" s="210">
        <f t="shared" si="35"/>
        <v>11062.58464285714</v>
      </c>
      <c r="K65" s="210">
        <f t="shared" si="35"/>
        <v>20650.169999999998</v>
      </c>
      <c r="L65" s="210">
        <f t="shared" si="35"/>
        <v>20870.459999999995</v>
      </c>
      <c r="M65" s="210">
        <f t="shared" si="35"/>
        <v>18942.029495999996</v>
      </c>
      <c r="N65" s="210">
        <f t="shared" si="35"/>
        <v>20870.459999999995</v>
      </c>
      <c r="O65" s="210">
        <f t="shared" si="35"/>
        <v>1586.1549599999998</v>
      </c>
      <c r="P65" s="81">
        <f t="shared" si="13"/>
        <v>93981.859098857109</v>
      </c>
      <c r="Q65" s="86"/>
      <c r="R65" s="86"/>
      <c r="S65" s="86"/>
      <c r="T65" s="86"/>
      <c r="U65" s="86"/>
      <c r="V65" s="86"/>
    </row>
    <row r="66" spans="1:22">
      <c r="A66" s="22">
        <f t="shared" si="15"/>
        <v>66</v>
      </c>
      <c r="B66" s="154" t="s">
        <v>102</v>
      </c>
      <c r="C66" s="220"/>
      <c r="D66" s="207">
        <f>ROUND(D44*17.3%/3,2)*(D6="L")</f>
        <v>0</v>
      </c>
      <c r="E66" s="103">
        <f t="shared" ref="E66:O66" si="36">ROUND(E44*17.3%/3,2)*(E6="L")</f>
        <v>0</v>
      </c>
      <c r="F66" s="103">
        <f t="shared" si="36"/>
        <v>0</v>
      </c>
      <c r="G66" s="103">
        <f t="shared" si="36"/>
        <v>0</v>
      </c>
      <c r="H66" s="103">
        <f t="shared" si="36"/>
        <v>0</v>
      </c>
      <c r="I66" s="103">
        <f t="shared" si="36"/>
        <v>0</v>
      </c>
      <c r="J66" s="103">
        <f t="shared" si="36"/>
        <v>543.13</v>
      </c>
      <c r="K66" s="103">
        <f t="shared" si="36"/>
        <v>1013.85</v>
      </c>
      <c r="L66" s="103">
        <f t="shared" si="36"/>
        <v>1024.8800000000001</v>
      </c>
      <c r="M66" s="103">
        <f t="shared" si="36"/>
        <v>1024.8800000000001</v>
      </c>
      <c r="N66" s="103">
        <f t="shared" si="36"/>
        <v>1024.8800000000001</v>
      </c>
      <c r="O66" s="103">
        <f t="shared" si="36"/>
        <v>1024.8800000000001</v>
      </c>
      <c r="P66" s="104">
        <f t="shared" si="13"/>
        <v>5656.5000000000009</v>
      </c>
      <c r="Q66" s="86"/>
      <c r="R66" s="86"/>
      <c r="S66" s="86"/>
      <c r="T66" s="86"/>
      <c r="U66" s="86"/>
      <c r="V66" s="86"/>
    </row>
    <row r="67" spans="1:22">
      <c r="A67" s="22">
        <f t="shared" si="15"/>
        <v>67</v>
      </c>
      <c r="B67" s="155" t="s">
        <v>183</v>
      </c>
      <c r="C67" s="220"/>
      <c r="D67" s="208">
        <f>ROUND(D46*17.3%/3,2)*(D6="L")</f>
        <v>0</v>
      </c>
      <c r="E67" s="105">
        <f t="shared" ref="E67:O67" si="37">ROUND(E46*17.3%/3,2)*(E6="L")</f>
        <v>0</v>
      </c>
      <c r="F67" s="105">
        <f t="shared" si="37"/>
        <v>0</v>
      </c>
      <c r="G67" s="105">
        <f t="shared" si="37"/>
        <v>0</v>
      </c>
      <c r="H67" s="105">
        <f t="shared" si="37"/>
        <v>0</v>
      </c>
      <c r="I67" s="105">
        <f t="shared" si="37"/>
        <v>0</v>
      </c>
      <c r="J67" s="105">
        <f t="shared" si="37"/>
        <v>37.67</v>
      </c>
      <c r="K67" s="105">
        <f t="shared" si="37"/>
        <v>70.319999999999993</v>
      </c>
      <c r="L67" s="105">
        <f t="shared" si="37"/>
        <v>71.08</v>
      </c>
      <c r="M67" s="105">
        <f t="shared" si="37"/>
        <v>71.08</v>
      </c>
      <c r="N67" s="105">
        <f t="shared" si="37"/>
        <v>71.08</v>
      </c>
      <c r="O67" s="105">
        <f t="shared" si="37"/>
        <v>71.08</v>
      </c>
      <c r="P67" s="106">
        <f t="shared" si="13"/>
        <v>392.30999999999995</v>
      </c>
      <c r="Q67" s="86"/>
      <c r="R67" s="86"/>
      <c r="S67" s="86"/>
      <c r="T67" s="86"/>
      <c r="U67" s="86"/>
      <c r="V67" s="86"/>
    </row>
    <row r="68" spans="1:22">
      <c r="A68" s="22">
        <f t="shared" si="15"/>
        <v>68</v>
      </c>
      <c r="B68" s="155" t="s">
        <v>103</v>
      </c>
      <c r="C68" s="220"/>
      <c r="D68" s="208">
        <f>ROUND(D47*17.3%/3,2)</f>
        <v>0</v>
      </c>
      <c r="E68" s="105">
        <f t="shared" ref="E68:O68" si="38">ROUND(E47*17.3%/3,2)</f>
        <v>0</v>
      </c>
      <c r="F68" s="105">
        <f t="shared" si="38"/>
        <v>0</v>
      </c>
      <c r="G68" s="105">
        <f t="shared" si="38"/>
        <v>0</v>
      </c>
      <c r="H68" s="105">
        <f t="shared" si="38"/>
        <v>0</v>
      </c>
      <c r="I68" s="105">
        <f t="shared" si="38"/>
        <v>0</v>
      </c>
      <c r="J68" s="105">
        <f t="shared" si="38"/>
        <v>0</v>
      </c>
      <c r="K68" s="105">
        <f t="shared" si="38"/>
        <v>0</v>
      </c>
      <c r="L68" s="105">
        <f t="shared" si="38"/>
        <v>0</v>
      </c>
      <c r="M68" s="105">
        <f t="shared" si="38"/>
        <v>0</v>
      </c>
      <c r="N68" s="105">
        <f t="shared" si="38"/>
        <v>0</v>
      </c>
      <c r="O68" s="105">
        <f t="shared" si="38"/>
        <v>0</v>
      </c>
      <c r="P68" s="106">
        <f t="shared" si="13"/>
        <v>0</v>
      </c>
      <c r="Q68" s="86"/>
      <c r="R68" s="86"/>
      <c r="S68" s="86"/>
      <c r="T68" s="86"/>
      <c r="U68" s="86"/>
      <c r="V68" s="86"/>
    </row>
    <row r="69" spans="1:22">
      <c r="A69" s="22">
        <f t="shared" si="15"/>
        <v>69</v>
      </c>
      <c r="B69" s="155" t="s">
        <v>190</v>
      </c>
      <c r="C69" s="220"/>
      <c r="D69" s="208">
        <f>ROUND(D48*17.3%/3,2)*OR((D6="L"),(LEFT(D19)="J"))</f>
        <v>0</v>
      </c>
      <c r="E69" s="105">
        <f t="shared" ref="E69:O69" si="39">ROUND(E48*17.3%/3,2)*OR((E6="L"),(LEFT(E19)="J"))</f>
        <v>0</v>
      </c>
      <c r="F69" s="105">
        <f t="shared" si="39"/>
        <v>0</v>
      </c>
      <c r="G69" s="105">
        <f t="shared" si="39"/>
        <v>0</v>
      </c>
      <c r="H69" s="105">
        <f t="shared" si="39"/>
        <v>0</v>
      </c>
      <c r="I69" s="105">
        <f t="shared" si="39"/>
        <v>0</v>
      </c>
      <c r="J69" s="105">
        <f t="shared" si="39"/>
        <v>0</v>
      </c>
      <c r="K69" s="105">
        <f t="shared" si="39"/>
        <v>0</v>
      </c>
      <c r="L69" s="105">
        <f t="shared" si="39"/>
        <v>0</v>
      </c>
      <c r="M69" s="105">
        <f t="shared" si="39"/>
        <v>0</v>
      </c>
      <c r="N69" s="105">
        <f t="shared" si="39"/>
        <v>0</v>
      </c>
      <c r="O69" s="105">
        <f t="shared" si="39"/>
        <v>0</v>
      </c>
      <c r="P69" s="106">
        <f t="shared" si="13"/>
        <v>0</v>
      </c>
      <c r="Q69" s="86"/>
      <c r="R69" s="86"/>
      <c r="S69" s="86"/>
      <c r="T69" s="86"/>
      <c r="U69" s="86"/>
      <c r="V69" s="86"/>
    </row>
    <row r="70" spans="1:22">
      <c r="A70" s="22">
        <f t="shared" si="15"/>
        <v>70</v>
      </c>
      <c r="B70" s="155" t="s">
        <v>191</v>
      </c>
      <c r="C70" s="220"/>
      <c r="D70" s="208">
        <f>ROUND(D49*17.3%/3,2)*OR((D6="L"),(LEFT(D19)="J"))</f>
        <v>0</v>
      </c>
      <c r="E70" s="105">
        <f t="shared" ref="E70:O70" si="40">ROUND(E49*17.3%/3,2)*OR((E6="L"),(LEFT(E19)="J"))</f>
        <v>0</v>
      </c>
      <c r="F70" s="105">
        <f t="shared" si="40"/>
        <v>0</v>
      </c>
      <c r="G70" s="105">
        <f t="shared" si="40"/>
        <v>0</v>
      </c>
      <c r="H70" s="105">
        <f t="shared" si="40"/>
        <v>0</v>
      </c>
      <c r="I70" s="105">
        <f t="shared" si="40"/>
        <v>0</v>
      </c>
      <c r="J70" s="105">
        <f t="shared" si="40"/>
        <v>0</v>
      </c>
      <c r="K70" s="105">
        <f t="shared" si="40"/>
        <v>0</v>
      </c>
      <c r="L70" s="105">
        <f t="shared" si="40"/>
        <v>0</v>
      </c>
      <c r="M70" s="105">
        <f t="shared" si="40"/>
        <v>0</v>
      </c>
      <c r="N70" s="105">
        <f t="shared" si="40"/>
        <v>0</v>
      </c>
      <c r="O70" s="105">
        <f t="shared" si="40"/>
        <v>0</v>
      </c>
      <c r="P70" s="106">
        <f t="shared" si="13"/>
        <v>0</v>
      </c>
      <c r="Q70" s="86"/>
      <c r="R70" s="86"/>
      <c r="S70" s="86"/>
      <c r="T70" s="86"/>
      <c r="U70" s="86"/>
      <c r="V70" s="86"/>
    </row>
    <row r="71" spans="1:22">
      <c r="A71" s="22">
        <f t="shared" si="15"/>
        <v>71</v>
      </c>
      <c r="B71" s="155" t="s">
        <v>56</v>
      </c>
      <c r="C71" s="220"/>
      <c r="D71" s="208">
        <f>ROUND(D50*17.3%/3,2)*OR((D6="L"),(LEFT(D19)="J"))</f>
        <v>0</v>
      </c>
      <c r="E71" s="105">
        <f t="shared" ref="E71:O71" si="41">ROUND(E50*17.3%/3,2)*OR((E6="L"),(LEFT(E19)="J"))</f>
        <v>0</v>
      </c>
      <c r="F71" s="105">
        <f t="shared" si="41"/>
        <v>0</v>
      </c>
      <c r="G71" s="105">
        <f t="shared" si="41"/>
        <v>0</v>
      </c>
      <c r="H71" s="105">
        <f t="shared" si="41"/>
        <v>0</v>
      </c>
      <c r="I71" s="105">
        <f t="shared" si="41"/>
        <v>0</v>
      </c>
      <c r="J71" s="105">
        <f t="shared" si="41"/>
        <v>0</v>
      </c>
      <c r="K71" s="105">
        <f t="shared" si="41"/>
        <v>0</v>
      </c>
      <c r="L71" s="105">
        <f t="shared" si="41"/>
        <v>0</v>
      </c>
      <c r="M71" s="105">
        <f t="shared" si="41"/>
        <v>0</v>
      </c>
      <c r="N71" s="105">
        <f t="shared" si="41"/>
        <v>0</v>
      </c>
      <c r="O71" s="105">
        <f t="shared" si="41"/>
        <v>0</v>
      </c>
      <c r="P71" s="106">
        <f t="shared" si="13"/>
        <v>0</v>
      </c>
      <c r="Q71" s="86"/>
      <c r="R71" s="86"/>
      <c r="S71" s="86"/>
      <c r="T71" s="86"/>
      <c r="U71" s="86"/>
      <c r="V71" s="86"/>
    </row>
    <row r="72" spans="1:22">
      <c r="A72" s="22">
        <f t="shared" si="15"/>
        <v>72</v>
      </c>
      <c r="B72" s="155" t="s">
        <v>57</v>
      </c>
      <c r="C72" s="220"/>
      <c r="D72" s="208">
        <f>ROUND(D51*17.3%/3,2)*OR((D6="L"),(LEFT(D19)="J"))</f>
        <v>0</v>
      </c>
      <c r="E72" s="105">
        <f t="shared" ref="E72:O72" si="42">ROUND(E51*17.3%/3,2)*OR((E6="L"),(LEFT(E19)="J"))</f>
        <v>0</v>
      </c>
      <c r="F72" s="105">
        <f t="shared" si="42"/>
        <v>0</v>
      </c>
      <c r="G72" s="105">
        <f t="shared" si="42"/>
        <v>0</v>
      </c>
      <c r="H72" s="105">
        <f t="shared" si="42"/>
        <v>0</v>
      </c>
      <c r="I72" s="105">
        <f t="shared" si="42"/>
        <v>0</v>
      </c>
      <c r="J72" s="105">
        <f t="shared" si="42"/>
        <v>0</v>
      </c>
      <c r="K72" s="105">
        <f t="shared" si="42"/>
        <v>0</v>
      </c>
      <c r="L72" s="105">
        <f t="shared" si="42"/>
        <v>0</v>
      </c>
      <c r="M72" s="105">
        <f t="shared" si="42"/>
        <v>0</v>
      </c>
      <c r="N72" s="105">
        <f t="shared" si="42"/>
        <v>0</v>
      </c>
      <c r="O72" s="105">
        <f t="shared" si="42"/>
        <v>0</v>
      </c>
      <c r="P72" s="106">
        <f t="shared" si="13"/>
        <v>0</v>
      </c>
      <c r="Q72" s="86"/>
      <c r="R72" s="86"/>
      <c r="S72" s="86"/>
      <c r="T72" s="86"/>
      <c r="U72" s="86"/>
      <c r="V72" s="86"/>
    </row>
    <row r="73" spans="1:22">
      <c r="A73" s="22">
        <f t="shared" si="15"/>
        <v>73</v>
      </c>
      <c r="B73" s="155" t="s">
        <v>58</v>
      </c>
      <c r="C73" s="220"/>
      <c r="D73" s="208">
        <f>ROUND(D52*17.3%/3,2)*OR((D6="L"),(LEFT(D19)="J"))</f>
        <v>0</v>
      </c>
      <c r="E73" s="105">
        <f t="shared" ref="E73:O73" si="43">ROUND(E52*17.3%/3,2)*OR((E6="L"),(LEFT(E19)="J"))</f>
        <v>0</v>
      </c>
      <c r="F73" s="105">
        <f t="shared" si="43"/>
        <v>0</v>
      </c>
      <c r="G73" s="105">
        <f t="shared" si="43"/>
        <v>0</v>
      </c>
      <c r="H73" s="105">
        <f t="shared" si="43"/>
        <v>0</v>
      </c>
      <c r="I73" s="105">
        <f t="shared" si="43"/>
        <v>0</v>
      </c>
      <c r="J73" s="105">
        <f t="shared" si="43"/>
        <v>32.04</v>
      </c>
      <c r="K73" s="105">
        <f t="shared" si="43"/>
        <v>59.81</v>
      </c>
      <c r="L73" s="105">
        <f t="shared" si="43"/>
        <v>60.47</v>
      </c>
      <c r="M73" s="105">
        <f t="shared" si="43"/>
        <v>60.47</v>
      </c>
      <c r="N73" s="105">
        <f t="shared" si="43"/>
        <v>60.47</v>
      </c>
      <c r="O73" s="105">
        <f t="shared" si="43"/>
        <v>60.47</v>
      </c>
      <c r="P73" s="106">
        <f t="shared" si="13"/>
        <v>333.73</v>
      </c>
      <c r="Q73" s="86"/>
      <c r="R73" s="86"/>
      <c r="S73" s="86"/>
      <c r="T73" s="86"/>
      <c r="U73" s="86"/>
      <c r="V73" s="86"/>
    </row>
    <row r="74" spans="1:22">
      <c r="A74" s="22">
        <f t="shared" si="15"/>
        <v>74</v>
      </c>
      <c r="B74" s="155" t="s">
        <v>59</v>
      </c>
      <c r="C74" s="220"/>
      <c r="D74" s="208">
        <f t="shared" ref="D74:O75" si="44">ROUND(D53*17.3%/3,2)*OR((D6="L"),(LEFT(D19)="J"))</f>
        <v>0</v>
      </c>
      <c r="E74" s="105">
        <f t="shared" si="44"/>
        <v>0</v>
      </c>
      <c r="F74" s="105">
        <f t="shared" si="44"/>
        <v>0</v>
      </c>
      <c r="G74" s="105">
        <f t="shared" si="44"/>
        <v>0</v>
      </c>
      <c r="H74" s="105">
        <f t="shared" si="44"/>
        <v>0</v>
      </c>
      <c r="I74" s="105">
        <f t="shared" si="44"/>
        <v>0</v>
      </c>
      <c r="J74" s="105">
        <f t="shared" si="44"/>
        <v>0</v>
      </c>
      <c r="K74" s="105">
        <f t="shared" si="44"/>
        <v>0</v>
      </c>
      <c r="L74" s="105">
        <f t="shared" si="44"/>
        <v>0</v>
      </c>
      <c r="M74" s="105">
        <f t="shared" si="44"/>
        <v>0</v>
      </c>
      <c r="N74" s="105">
        <f t="shared" si="44"/>
        <v>0</v>
      </c>
      <c r="O74" s="105">
        <f t="shared" si="44"/>
        <v>0</v>
      </c>
      <c r="P74" s="106">
        <f t="shared" si="13"/>
        <v>0</v>
      </c>
      <c r="Q74" s="86"/>
      <c r="R74" s="86"/>
      <c r="S74" s="86"/>
      <c r="T74" s="86"/>
      <c r="U74" s="86"/>
      <c r="V74" s="86"/>
    </row>
    <row r="75" spans="1:22">
      <c r="A75" s="22">
        <f t="shared" si="15"/>
        <v>75</v>
      </c>
      <c r="B75" s="155" t="s">
        <v>14</v>
      </c>
      <c r="C75" s="220"/>
      <c r="D75" s="208">
        <f t="shared" si="44"/>
        <v>0</v>
      </c>
      <c r="E75" s="105">
        <f t="shared" si="44"/>
        <v>0</v>
      </c>
      <c r="F75" s="105">
        <f t="shared" si="44"/>
        <v>0</v>
      </c>
      <c r="G75" s="105">
        <f t="shared" si="44"/>
        <v>0</v>
      </c>
      <c r="H75" s="105">
        <f t="shared" si="44"/>
        <v>0</v>
      </c>
      <c r="I75" s="105">
        <f t="shared" si="44"/>
        <v>0</v>
      </c>
      <c r="J75" s="105">
        <f t="shared" si="44"/>
        <v>0</v>
      </c>
      <c r="K75" s="105">
        <f t="shared" si="44"/>
        <v>0</v>
      </c>
      <c r="L75" s="105">
        <f t="shared" si="44"/>
        <v>0</v>
      </c>
      <c r="M75" s="105">
        <f t="shared" si="44"/>
        <v>0</v>
      </c>
      <c r="N75" s="105">
        <f t="shared" si="44"/>
        <v>0</v>
      </c>
      <c r="O75" s="105">
        <f t="shared" si="44"/>
        <v>0</v>
      </c>
      <c r="P75" s="106">
        <f>SUM(D75:O75)</f>
        <v>0</v>
      </c>
      <c r="Q75" s="86"/>
      <c r="R75" s="86"/>
      <c r="S75" s="86"/>
      <c r="T75" s="86"/>
      <c r="U75" s="86"/>
      <c r="V75" s="86"/>
    </row>
    <row r="76" spans="1:22">
      <c r="A76" s="22">
        <f t="shared" si="15"/>
        <v>76</v>
      </c>
      <c r="B76" s="155" t="s">
        <v>60</v>
      </c>
      <c r="C76" s="220"/>
      <c r="D76" s="208">
        <f>ROUND(D55*17.3%/3,2)*(D6="L")</f>
        <v>0</v>
      </c>
      <c r="E76" s="105">
        <f t="shared" ref="E76:O76" si="45">ROUND(E55*17.3%/3,2)*(E6="L")</f>
        <v>0</v>
      </c>
      <c r="F76" s="105">
        <f t="shared" si="45"/>
        <v>0</v>
      </c>
      <c r="G76" s="105">
        <f t="shared" si="45"/>
        <v>0</v>
      </c>
      <c r="H76" s="105">
        <f t="shared" si="45"/>
        <v>0</v>
      </c>
      <c r="I76" s="105">
        <f t="shared" si="45"/>
        <v>0</v>
      </c>
      <c r="J76" s="105">
        <f t="shared" si="45"/>
        <v>0</v>
      </c>
      <c r="K76" s="105">
        <f t="shared" si="45"/>
        <v>0</v>
      </c>
      <c r="L76" s="105">
        <f t="shared" si="45"/>
        <v>0</v>
      </c>
      <c r="M76" s="105">
        <f t="shared" si="45"/>
        <v>0</v>
      </c>
      <c r="N76" s="105">
        <f t="shared" si="45"/>
        <v>0</v>
      </c>
      <c r="O76" s="105">
        <f t="shared" si="45"/>
        <v>0</v>
      </c>
      <c r="P76" s="106">
        <f t="shared" si="13"/>
        <v>0</v>
      </c>
      <c r="Q76" s="86"/>
      <c r="R76" s="86"/>
      <c r="S76" s="86"/>
      <c r="T76" s="86"/>
      <c r="U76" s="86"/>
      <c r="V76" s="86"/>
    </row>
    <row r="77" spans="1:22">
      <c r="A77" s="22">
        <f t="shared" si="15"/>
        <v>77</v>
      </c>
      <c r="B77" s="155" t="s">
        <v>61</v>
      </c>
      <c r="C77" s="220"/>
      <c r="D77" s="208">
        <f>ROUND(D57*17.3%/3,2)*(D6="L")</f>
        <v>0</v>
      </c>
      <c r="E77" s="105">
        <f t="shared" ref="E77:O77" si="46">ROUND(E57*17.3%/3,2)*(E6="L")</f>
        <v>0</v>
      </c>
      <c r="F77" s="105">
        <f t="shared" si="46"/>
        <v>0</v>
      </c>
      <c r="G77" s="105">
        <f t="shared" si="46"/>
        <v>0</v>
      </c>
      <c r="H77" s="105">
        <f t="shared" si="46"/>
        <v>0</v>
      </c>
      <c r="I77" s="105">
        <f t="shared" si="46"/>
        <v>0</v>
      </c>
      <c r="J77" s="105">
        <f t="shared" si="46"/>
        <v>0</v>
      </c>
      <c r="K77" s="105">
        <f t="shared" si="46"/>
        <v>0</v>
      </c>
      <c r="L77" s="105">
        <f t="shared" si="46"/>
        <v>0</v>
      </c>
      <c r="M77" s="105">
        <f t="shared" si="46"/>
        <v>0</v>
      </c>
      <c r="N77" s="105">
        <f t="shared" si="46"/>
        <v>0</v>
      </c>
      <c r="O77" s="105">
        <f t="shared" si="46"/>
        <v>0</v>
      </c>
      <c r="P77" s="106">
        <f t="shared" si="13"/>
        <v>0</v>
      </c>
      <c r="Q77" s="86"/>
      <c r="R77" s="86"/>
      <c r="S77" s="86"/>
      <c r="T77" s="86"/>
      <c r="U77" s="86"/>
      <c r="V77" s="86"/>
    </row>
    <row r="78" spans="1:22">
      <c r="A78" s="22">
        <f t="shared" si="15"/>
        <v>78</v>
      </c>
      <c r="B78" s="155" t="s">
        <v>108</v>
      </c>
      <c r="C78" s="220"/>
      <c r="D78" s="208">
        <f>((SUM(D44:D60)-230328.08*D7*D9/12)*0.7%/3*((D65-D61)&gt;230328.08/12*D7*D9)*(LEFT(D4)="B")+(SUM(D44:D60)-275936.7*D7*D9/12)*0.7%/3*(SUM(D44:D60)&gt;275936.7/12*D7*D9)*(LEFT(D4)="L"))*(LEFT(D6)&lt;&gt;"L")*(LEFT(D19)="J")</f>
        <v>0</v>
      </c>
      <c r="E78" s="105">
        <f t="shared" ref="E78:O78" si="47">((SUM(E44:E60)-230328.08*E7*E9/12)*0.7%/3*((E65-E61)&gt;230328.08/12*E7*E9)*(LEFT(E4)="B")+(SUM(E44:E60)-275936.7*E7*E9/12)*0.7%/3*(SUM(E44:E60)&gt;275936.7/12*E7*E9)*(LEFT(E4)="L"))*(LEFT(E6)&lt;&gt;"L")*(LEFT(E19)="J")</f>
        <v>0</v>
      </c>
      <c r="F78" s="105">
        <f t="shared" si="47"/>
        <v>0</v>
      </c>
      <c r="G78" s="105">
        <f t="shared" si="47"/>
        <v>0</v>
      </c>
      <c r="H78" s="105">
        <f t="shared" si="47"/>
        <v>0</v>
      </c>
      <c r="I78" s="105">
        <f t="shared" si="47"/>
        <v>0</v>
      </c>
      <c r="J78" s="105">
        <f t="shared" si="47"/>
        <v>0</v>
      </c>
      <c r="K78" s="105">
        <f t="shared" si="47"/>
        <v>0</v>
      </c>
      <c r="L78" s="105">
        <f t="shared" si="47"/>
        <v>0</v>
      </c>
      <c r="M78" s="105">
        <f t="shared" si="47"/>
        <v>0</v>
      </c>
      <c r="N78" s="105">
        <f t="shared" si="47"/>
        <v>0</v>
      </c>
      <c r="O78" s="105">
        <f t="shared" si="47"/>
        <v>0</v>
      </c>
      <c r="P78" s="106">
        <f t="shared" si="13"/>
        <v>0</v>
      </c>
      <c r="Q78" s="86"/>
      <c r="R78" s="86"/>
      <c r="S78" s="86"/>
      <c r="T78" s="86"/>
      <c r="U78" s="86"/>
      <c r="V78" s="86"/>
    </row>
    <row r="79" spans="1:22">
      <c r="A79" s="22">
        <f t="shared" si="15"/>
        <v>79</v>
      </c>
      <c r="B79" s="155" t="s">
        <v>247</v>
      </c>
      <c r="C79" s="220"/>
      <c r="D79" s="208">
        <f t="shared" ref="D79:O79" si="48">ROUND(-(D22+D25)*4.62%*SUM(D66:D78),2)</f>
        <v>0</v>
      </c>
      <c r="E79" s="208">
        <f t="shared" si="48"/>
        <v>0</v>
      </c>
      <c r="F79" s="208">
        <f t="shared" si="48"/>
        <v>0</v>
      </c>
      <c r="G79" s="208">
        <f t="shared" si="48"/>
        <v>0</v>
      </c>
      <c r="H79" s="208">
        <f t="shared" si="48"/>
        <v>0</v>
      </c>
      <c r="I79" s="208">
        <f t="shared" si="48"/>
        <v>0</v>
      </c>
      <c r="J79" s="208">
        <f t="shared" si="48"/>
        <v>0</v>
      </c>
      <c r="K79" s="208">
        <f t="shared" si="48"/>
        <v>0</v>
      </c>
      <c r="L79" s="208">
        <f t="shared" si="48"/>
        <v>0</v>
      </c>
      <c r="M79" s="208">
        <f t="shared" si="48"/>
        <v>-106.85</v>
      </c>
      <c r="N79" s="208">
        <f t="shared" si="48"/>
        <v>0</v>
      </c>
      <c r="O79" s="208">
        <f t="shared" si="48"/>
        <v>-1068.54</v>
      </c>
      <c r="P79" s="106">
        <f t="shared" si="13"/>
        <v>-1175.3899999999999</v>
      </c>
      <c r="Q79" s="86"/>
      <c r="R79" s="86"/>
      <c r="S79" s="86"/>
      <c r="T79" s="86"/>
      <c r="U79" s="86"/>
      <c r="V79" s="86"/>
    </row>
    <row r="80" spans="1:22">
      <c r="A80" s="22">
        <f t="shared" si="15"/>
        <v>80</v>
      </c>
      <c r="B80" s="156" t="s">
        <v>209</v>
      </c>
      <c r="C80" s="220"/>
      <c r="D80" s="211">
        <f>IF(OR(D62=0,D9=0),0,(D66+D73+D74+D76+D77)/D9*4.62%*(D23-D9)*(D21-D22))</f>
        <v>0</v>
      </c>
      <c r="E80" s="211">
        <f t="shared" ref="E80:L80" si="49">IF(OR(E62=0,E9=0),0,(E66+E73+E74+E76+E77)/E9*4.62%*(E23-E9)*(E21-E22))</f>
        <v>0</v>
      </c>
      <c r="F80" s="211">
        <f t="shared" si="49"/>
        <v>0</v>
      </c>
      <c r="G80" s="211">
        <f t="shared" si="49"/>
        <v>0</v>
      </c>
      <c r="H80" s="211">
        <f t="shared" si="49"/>
        <v>0</v>
      </c>
      <c r="I80" s="211">
        <f t="shared" si="49"/>
        <v>0</v>
      </c>
      <c r="J80" s="211">
        <f t="shared" si="49"/>
        <v>0</v>
      </c>
      <c r="K80" s="211">
        <f t="shared" si="49"/>
        <v>0</v>
      </c>
      <c r="L80" s="211">
        <f t="shared" si="49"/>
        <v>0</v>
      </c>
      <c r="M80" s="211">
        <f>IF(OR(M62=0,M9=0),0,(M66+M73+M74+M76+M77)/M9*4.62%*(M24-M9)*(M21-M22))</f>
        <v>0</v>
      </c>
      <c r="N80" s="211">
        <f>IF(OR(N62=0,N9=0),0,(N66+N73+N74+N76+N77)/N9*4.62%*(N24-N9)*(N21-N22))</f>
        <v>0</v>
      </c>
      <c r="O80" s="211">
        <f>IF(OR(O62=0,O9=0),0,(O66+O73+O74+O76+O77)/O9*4.62%*(O24-O9)*(O21-O22))</f>
        <v>0</v>
      </c>
      <c r="P80" s="123">
        <f t="shared" si="13"/>
        <v>0</v>
      </c>
      <c r="Q80" s="86"/>
      <c r="R80" s="86"/>
      <c r="S80" s="86"/>
      <c r="T80" s="86"/>
      <c r="U80" s="86"/>
      <c r="V80" s="86"/>
    </row>
    <row r="81" spans="1:22" ht="14" thickBot="1">
      <c r="A81" s="150">
        <f t="shared" si="15"/>
        <v>81</v>
      </c>
      <c r="B81" s="151" t="s">
        <v>181</v>
      </c>
      <c r="C81" s="221"/>
      <c r="D81" s="212">
        <f>SUM(D66:D80)</f>
        <v>0</v>
      </c>
      <c r="E81" s="152">
        <f t="shared" ref="E81:O81" si="50">SUM(E66:E80)</f>
        <v>0</v>
      </c>
      <c r="F81" s="152">
        <f t="shared" si="50"/>
        <v>0</v>
      </c>
      <c r="G81" s="152">
        <f t="shared" si="50"/>
        <v>0</v>
      </c>
      <c r="H81" s="152">
        <f t="shared" si="50"/>
        <v>0</v>
      </c>
      <c r="I81" s="152">
        <f t="shared" si="50"/>
        <v>0</v>
      </c>
      <c r="J81" s="152">
        <f t="shared" si="50"/>
        <v>612.83999999999992</v>
      </c>
      <c r="K81" s="152">
        <f t="shared" si="50"/>
        <v>1143.98</v>
      </c>
      <c r="L81" s="152">
        <f t="shared" si="50"/>
        <v>1156.43</v>
      </c>
      <c r="M81" s="152">
        <f t="shared" si="50"/>
        <v>1049.5800000000002</v>
      </c>
      <c r="N81" s="152">
        <f t="shared" si="50"/>
        <v>1156.43</v>
      </c>
      <c r="O81" s="152">
        <f t="shared" si="50"/>
        <v>87.8900000000001</v>
      </c>
      <c r="P81" s="153">
        <f t="shared" si="13"/>
        <v>5207.1500000000005</v>
      </c>
      <c r="Q81" s="86"/>
      <c r="R81" s="86"/>
      <c r="S81" s="86"/>
      <c r="T81" s="86"/>
      <c r="U81" s="86"/>
      <c r="V81" s="86"/>
    </row>
    <row r="82" spans="1:22">
      <c r="A82" s="22">
        <f>A81+1</f>
        <v>82</v>
      </c>
      <c r="B82" s="182" t="s">
        <v>96</v>
      </c>
      <c r="C82" s="222"/>
      <c r="D82" s="213">
        <f>D94/3</f>
        <v>0</v>
      </c>
      <c r="E82" s="108">
        <f t="shared" ref="E82:O82" si="51">E94/3</f>
        <v>0</v>
      </c>
      <c r="F82" s="108">
        <f t="shared" si="51"/>
        <v>0</v>
      </c>
      <c r="G82" s="108">
        <f t="shared" si="51"/>
        <v>0</v>
      </c>
      <c r="H82" s="108">
        <f t="shared" si="51"/>
        <v>0</v>
      </c>
      <c r="I82" s="108">
        <f t="shared" si="51"/>
        <v>0</v>
      </c>
      <c r="J82" s="108">
        <f t="shared" si="51"/>
        <v>30</v>
      </c>
      <c r="K82" s="108">
        <f t="shared" si="51"/>
        <v>90</v>
      </c>
      <c r="L82" s="108">
        <f t="shared" si="51"/>
        <v>90</v>
      </c>
      <c r="M82" s="108">
        <f t="shared" si="51"/>
        <v>90</v>
      </c>
      <c r="N82" s="108">
        <f t="shared" si="51"/>
        <v>90</v>
      </c>
      <c r="O82" s="108">
        <f t="shared" si="51"/>
        <v>90</v>
      </c>
      <c r="P82" s="104">
        <f>SUM(D82:O82)</f>
        <v>480</v>
      </c>
      <c r="Q82" s="86"/>
      <c r="R82" s="86"/>
      <c r="S82" s="86"/>
      <c r="T82" s="86"/>
      <c r="U82" s="86"/>
      <c r="V82" s="86"/>
    </row>
    <row r="83" spans="1:22">
      <c r="A83" s="22">
        <f>A82+1</f>
        <v>83</v>
      </c>
      <c r="B83" s="182" t="s">
        <v>91</v>
      </c>
      <c r="C83" s="222"/>
      <c r="D83" s="213">
        <f t="shared" ref="D83:O83" si="52">SUM(D44:D63)-D82</f>
        <v>0</v>
      </c>
      <c r="E83" s="108">
        <f t="shared" si="52"/>
        <v>0</v>
      </c>
      <c r="F83" s="108">
        <f t="shared" si="52"/>
        <v>0</v>
      </c>
      <c r="G83" s="108">
        <f t="shared" si="52"/>
        <v>0</v>
      </c>
      <c r="H83" s="108">
        <f t="shared" si="52"/>
        <v>0</v>
      </c>
      <c r="I83" s="108">
        <f t="shared" si="52"/>
        <v>0</v>
      </c>
      <c r="J83" s="108">
        <f t="shared" si="52"/>
        <v>11032.58464285714</v>
      </c>
      <c r="K83" s="108">
        <f t="shared" si="52"/>
        <v>20560.169999999998</v>
      </c>
      <c r="L83" s="108">
        <f t="shared" si="52"/>
        <v>20780.459999999995</v>
      </c>
      <c r="M83" s="108">
        <f t="shared" si="52"/>
        <v>18852.029495999996</v>
      </c>
      <c r="N83" s="108">
        <f t="shared" si="52"/>
        <v>20780.459999999995</v>
      </c>
      <c r="O83" s="108">
        <f t="shared" si="52"/>
        <v>1496.1549599999998</v>
      </c>
      <c r="P83" s="104">
        <f t="shared" ref="P83:P99" si="53">SUM(D83:O83)</f>
        <v>93501.859098857109</v>
      </c>
      <c r="Q83" s="86"/>
      <c r="R83" s="86"/>
      <c r="S83" s="86"/>
      <c r="T83" s="86"/>
      <c r="U83" s="86"/>
      <c r="V83" s="86"/>
    </row>
    <row r="84" spans="1:22">
      <c r="A84" s="22">
        <f t="shared" ref="A84:A100" si="54">A83+1</f>
        <v>84</v>
      </c>
      <c r="B84" s="183" t="s">
        <v>92</v>
      </c>
      <c r="C84" s="222"/>
      <c r="D84" s="214">
        <f>ROUND(D83*8%,0)</f>
        <v>0</v>
      </c>
      <c r="E84" s="109">
        <f t="shared" ref="E84:O84" si="55">ROUND(E83*8%,0)</f>
        <v>0</v>
      </c>
      <c r="F84" s="109">
        <f t="shared" si="55"/>
        <v>0</v>
      </c>
      <c r="G84" s="109">
        <f t="shared" si="55"/>
        <v>0</v>
      </c>
      <c r="H84" s="109">
        <f t="shared" si="55"/>
        <v>0</v>
      </c>
      <c r="I84" s="109">
        <f t="shared" si="55"/>
        <v>0</v>
      </c>
      <c r="J84" s="109">
        <f t="shared" si="55"/>
        <v>883</v>
      </c>
      <c r="K84" s="109">
        <f t="shared" si="55"/>
        <v>1645</v>
      </c>
      <c r="L84" s="109">
        <f t="shared" si="55"/>
        <v>1662</v>
      </c>
      <c r="M84" s="109">
        <f t="shared" si="55"/>
        <v>1508</v>
      </c>
      <c r="N84" s="109">
        <f t="shared" si="55"/>
        <v>1662</v>
      </c>
      <c r="O84" s="109">
        <f t="shared" si="55"/>
        <v>120</v>
      </c>
      <c r="P84" s="106">
        <f t="shared" si="53"/>
        <v>7480</v>
      </c>
      <c r="Q84" s="86"/>
      <c r="R84" s="86"/>
      <c r="S84" s="86"/>
      <c r="T84" s="86"/>
      <c r="U84" s="86"/>
      <c r="V84" s="86"/>
    </row>
    <row r="85" spans="1:22">
      <c r="A85" s="22">
        <f t="shared" si="54"/>
        <v>85</v>
      </c>
      <c r="B85" s="183" t="s">
        <v>93</v>
      </c>
      <c r="C85" s="222"/>
      <c r="D85" s="214">
        <f>D83-D84</f>
        <v>0</v>
      </c>
      <c r="E85" s="109">
        <f t="shared" ref="E85:O85" si="56">E83-E84</f>
        <v>0</v>
      </c>
      <c r="F85" s="109">
        <f t="shared" si="56"/>
        <v>0</v>
      </c>
      <c r="G85" s="109">
        <f t="shared" si="56"/>
        <v>0</v>
      </c>
      <c r="H85" s="109">
        <f t="shared" si="56"/>
        <v>0</v>
      </c>
      <c r="I85" s="109">
        <f t="shared" si="56"/>
        <v>0</v>
      </c>
      <c r="J85" s="109">
        <f t="shared" si="56"/>
        <v>10149.58464285714</v>
      </c>
      <c r="K85" s="109">
        <f t="shared" si="56"/>
        <v>18915.169999999998</v>
      </c>
      <c r="L85" s="109">
        <f t="shared" si="56"/>
        <v>19118.459999999995</v>
      </c>
      <c r="M85" s="109">
        <f t="shared" si="56"/>
        <v>17344.029495999996</v>
      </c>
      <c r="N85" s="109">
        <f t="shared" si="56"/>
        <v>19118.459999999995</v>
      </c>
      <c r="O85" s="109">
        <f t="shared" si="56"/>
        <v>1376.1549599999998</v>
      </c>
      <c r="P85" s="106">
        <f t="shared" si="53"/>
        <v>86021.859098857123</v>
      </c>
      <c r="Q85" s="86"/>
      <c r="R85" s="86"/>
      <c r="S85" s="86"/>
      <c r="T85" s="86"/>
      <c r="U85" s="86"/>
      <c r="V85" s="86"/>
    </row>
    <row r="86" spans="1:22">
      <c r="A86" s="22">
        <f t="shared" si="54"/>
        <v>86</v>
      </c>
      <c r="B86" s="183" t="s">
        <v>105</v>
      </c>
      <c r="C86" s="222"/>
      <c r="D86" s="214">
        <f t="shared" ref="D86:O86" si="57">ROUND(D85-D27,-1)</f>
        <v>0</v>
      </c>
      <c r="E86" s="109">
        <f t="shared" si="57"/>
        <v>0</v>
      </c>
      <c r="F86" s="109">
        <f t="shared" si="57"/>
        <v>0</v>
      </c>
      <c r="G86" s="109">
        <f t="shared" si="57"/>
        <v>0</v>
      </c>
      <c r="H86" s="109">
        <f t="shared" si="57"/>
        <v>0</v>
      </c>
      <c r="I86" s="109">
        <f t="shared" si="57"/>
        <v>0</v>
      </c>
      <c r="J86" s="109">
        <f t="shared" si="57"/>
        <v>5150</v>
      </c>
      <c r="K86" s="109">
        <f t="shared" si="57"/>
        <v>13920</v>
      </c>
      <c r="L86" s="109">
        <f t="shared" si="57"/>
        <v>14120</v>
      </c>
      <c r="M86" s="109">
        <f t="shared" si="57"/>
        <v>12340</v>
      </c>
      <c r="N86" s="109">
        <f t="shared" si="57"/>
        <v>14120</v>
      </c>
      <c r="O86" s="109">
        <f t="shared" si="57"/>
        <v>-3620</v>
      </c>
      <c r="P86" s="106"/>
      <c r="Q86" s="86"/>
      <c r="R86" s="86"/>
      <c r="S86" s="86"/>
      <c r="T86" s="86"/>
      <c r="U86" s="86"/>
      <c r="V86" s="86"/>
    </row>
    <row r="87" spans="1:22">
      <c r="A87" s="22">
        <f t="shared" si="54"/>
        <v>87</v>
      </c>
      <c r="B87" s="183" t="s">
        <v>94</v>
      </c>
      <c r="C87" s="222"/>
      <c r="D87" s="214">
        <f t="shared" ref="D87:O87" si="58">ROUND(D86*D26/100,0)</f>
        <v>0</v>
      </c>
      <c r="E87" s="109">
        <f t="shared" si="58"/>
        <v>0</v>
      </c>
      <c r="F87" s="109">
        <f t="shared" si="58"/>
        <v>0</v>
      </c>
      <c r="G87" s="109">
        <f t="shared" si="58"/>
        <v>0</v>
      </c>
      <c r="H87" s="109">
        <f t="shared" si="58"/>
        <v>0</v>
      </c>
      <c r="I87" s="109">
        <f t="shared" si="58"/>
        <v>0</v>
      </c>
      <c r="J87" s="109">
        <f t="shared" si="58"/>
        <v>2163</v>
      </c>
      <c r="K87" s="109">
        <f t="shared" si="58"/>
        <v>5846</v>
      </c>
      <c r="L87" s="109">
        <f t="shared" si="58"/>
        <v>5930</v>
      </c>
      <c r="M87" s="109">
        <f t="shared" si="58"/>
        <v>5183</v>
      </c>
      <c r="N87" s="109">
        <f t="shared" si="58"/>
        <v>5930</v>
      </c>
      <c r="O87" s="109">
        <f t="shared" si="58"/>
        <v>-1520</v>
      </c>
      <c r="P87" s="106">
        <f t="shared" si="53"/>
        <v>23532</v>
      </c>
      <c r="Q87" s="86"/>
      <c r="R87" s="86"/>
      <c r="S87" s="86"/>
      <c r="T87" s="86"/>
      <c r="U87" s="86"/>
      <c r="V87" s="86"/>
    </row>
    <row r="88" spans="1:22">
      <c r="A88" s="22">
        <f t="shared" si="54"/>
        <v>88</v>
      </c>
      <c r="B88" s="183" t="s">
        <v>194</v>
      </c>
      <c r="C88" s="235"/>
      <c r="D88" s="214">
        <f>SUM(D44:D63)</f>
        <v>0</v>
      </c>
      <c r="E88" s="109">
        <f>SUM(E44:E63)</f>
        <v>0</v>
      </c>
      <c r="F88" s="109">
        <f>SUM(F44:F63)</f>
        <v>0</v>
      </c>
      <c r="G88" s="109">
        <f>SUM(G44:G63)</f>
        <v>0</v>
      </c>
      <c r="H88" s="109">
        <f>SUM(H44:H63)</f>
        <v>0</v>
      </c>
      <c r="I88" s="135" t="s">
        <v>207</v>
      </c>
      <c r="J88" s="157"/>
      <c r="K88" s="157"/>
      <c r="L88" s="157"/>
      <c r="M88" s="157"/>
      <c r="N88" s="157"/>
      <c r="O88" s="157"/>
      <c r="P88" s="106">
        <f>SUM(C88:O88)</f>
        <v>0</v>
      </c>
      <c r="Q88" s="86"/>
      <c r="R88" s="86"/>
      <c r="S88" s="86"/>
      <c r="T88" s="86"/>
      <c r="U88" s="86"/>
      <c r="V88" s="86"/>
    </row>
    <row r="89" spans="1:22">
      <c r="A89" s="22">
        <f t="shared" si="54"/>
        <v>89</v>
      </c>
      <c r="B89" s="183" t="s">
        <v>314</v>
      </c>
      <c r="C89" s="225"/>
      <c r="D89" s="136" t="s">
        <v>207</v>
      </c>
      <c r="E89" s="157"/>
      <c r="F89" s="157"/>
      <c r="G89" s="157"/>
      <c r="H89" s="157"/>
      <c r="I89" s="109">
        <f>SUM(I44:I63)</f>
        <v>0</v>
      </c>
      <c r="J89" s="109">
        <f>SUM(J44:J63)</f>
        <v>11062.58464285714</v>
      </c>
      <c r="K89" s="109">
        <f>SUM(K44:K63)</f>
        <v>20650.169999999998</v>
      </c>
      <c r="L89" s="109">
        <f>SUM(L44:L63)</f>
        <v>20870.459999999995</v>
      </c>
      <c r="M89" s="109">
        <f>SUM(M44:M63)-M37</f>
        <v>18942.029495999996</v>
      </c>
      <c r="N89" s="109">
        <f>SUM(N44:N63)-N37</f>
        <v>20870.459999999995</v>
      </c>
      <c r="O89" s="109">
        <f>SUM(O44:O63)-O37</f>
        <v>1586.1549599999998</v>
      </c>
      <c r="P89" s="106">
        <f t="shared" si="53"/>
        <v>93981.859098857109</v>
      </c>
      <c r="Q89" s="86"/>
      <c r="R89" s="86"/>
      <c r="S89" s="86"/>
      <c r="T89" s="86"/>
      <c r="U89" s="86"/>
      <c r="V89" s="86"/>
    </row>
    <row r="90" spans="1:22">
      <c r="A90" s="22">
        <f t="shared" si="54"/>
        <v>90</v>
      </c>
      <c r="B90" s="183" t="s">
        <v>180</v>
      </c>
      <c r="C90" s="222"/>
      <c r="D90" s="214">
        <f>D81</f>
        <v>0</v>
      </c>
      <c r="E90" s="109">
        <f t="shared" ref="E90:O90" si="59">E81</f>
        <v>0</v>
      </c>
      <c r="F90" s="109">
        <f t="shared" si="59"/>
        <v>0</v>
      </c>
      <c r="G90" s="109">
        <f t="shared" si="59"/>
        <v>0</v>
      </c>
      <c r="H90" s="109">
        <f t="shared" si="59"/>
        <v>0</v>
      </c>
      <c r="I90" s="109">
        <f t="shared" si="59"/>
        <v>0</v>
      </c>
      <c r="J90" s="109">
        <f t="shared" si="59"/>
        <v>612.83999999999992</v>
      </c>
      <c r="K90" s="109">
        <f t="shared" si="59"/>
        <v>1143.98</v>
      </c>
      <c r="L90" s="109">
        <f t="shared" si="59"/>
        <v>1156.43</v>
      </c>
      <c r="M90" s="109">
        <f t="shared" si="59"/>
        <v>1049.5800000000002</v>
      </c>
      <c r="N90" s="109">
        <f t="shared" si="59"/>
        <v>1156.43</v>
      </c>
      <c r="O90" s="109">
        <f t="shared" si="59"/>
        <v>87.8900000000001</v>
      </c>
      <c r="P90" s="106">
        <f t="shared" si="53"/>
        <v>5207.1500000000005</v>
      </c>
      <c r="Q90" s="86"/>
      <c r="R90" s="86"/>
      <c r="S90" s="86"/>
      <c r="T90" s="86"/>
      <c r="U90" s="86"/>
      <c r="V90" s="86"/>
    </row>
    <row r="91" spans="1:22">
      <c r="A91" s="22">
        <f t="shared" si="54"/>
        <v>91</v>
      </c>
      <c r="B91" s="183" t="s">
        <v>184</v>
      </c>
      <c r="C91" s="222"/>
      <c r="D91" s="214">
        <f>D90*2</f>
        <v>0</v>
      </c>
      <c r="E91" s="109">
        <f t="shared" ref="E91:O91" si="60">E90*2</f>
        <v>0</v>
      </c>
      <c r="F91" s="109">
        <f t="shared" si="60"/>
        <v>0</v>
      </c>
      <c r="G91" s="109">
        <f t="shared" si="60"/>
        <v>0</v>
      </c>
      <c r="H91" s="109">
        <f t="shared" si="60"/>
        <v>0</v>
      </c>
      <c r="I91" s="109">
        <f t="shared" si="60"/>
        <v>0</v>
      </c>
      <c r="J91" s="109">
        <f t="shared" si="60"/>
        <v>1225.6799999999998</v>
      </c>
      <c r="K91" s="109">
        <f t="shared" si="60"/>
        <v>2287.96</v>
      </c>
      <c r="L91" s="109">
        <f t="shared" si="60"/>
        <v>2312.86</v>
      </c>
      <c r="M91" s="109">
        <f t="shared" si="60"/>
        <v>2099.1600000000003</v>
      </c>
      <c r="N91" s="109">
        <f t="shared" si="60"/>
        <v>2312.86</v>
      </c>
      <c r="O91" s="109">
        <f t="shared" si="60"/>
        <v>175.7800000000002</v>
      </c>
      <c r="P91" s="106">
        <f t="shared" si="53"/>
        <v>10414.300000000001</v>
      </c>
      <c r="Q91" s="86"/>
      <c r="R91" s="86"/>
      <c r="S91" s="86"/>
      <c r="T91" s="86"/>
      <c r="U91" s="86"/>
      <c r="V91" s="86"/>
    </row>
    <row r="92" spans="1:22">
      <c r="A92" s="22">
        <f t="shared" si="54"/>
        <v>92</v>
      </c>
      <c r="B92" s="183" t="s">
        <v>38</v>
      </c>
      <c r="C92" s="222"/>
      <c r="D92" s="214">
        <f>D94*2/3</f>
        <v>0</v>
      </c>
      <c r="E92" s="109">
        <f t="shared" ref="E92:O92" si="61">E94*2/3</f>
        <v>0</v>
      </c>
      <c r="F92" s="109">
        <f t="shared" si="61"/>
        <v>0</v>
      </c>
      <c r="G92" s="109">
        <f t="shared" si="61"/>
        <v>0</v>
      </c>
      <c r="H92" s="109">
        <f t="shared" si="61"/>
        <v>0</v>
      </c>
      <c r="I92" s="109">
        <f t="shared" si="61"/>
        <v>0</v>
      </c>
      <c r="J92" s="109">
        <f t="shared" si="61"/>
        <v>60</v>
      </c>
      <c r="K92" s="109">
        <f t="shared" si="61"/>
        <v>180</v>
      </c>
      <c r="L92" s="109">
        <f t="shared" si="61"/>
        <v>180</v>
      </c>
      <c r="M92" s="109">
        <f t="shared" si="61"/>
        <v>180</v>
      </c>
      <c r="N92" s="109">
        <f t="shared" si="61"/>
        <v>180</v>
      </c>
      <c r="O92" s="109">
        <f t="shared" si="61"/>
        <v>180</v>
      </c>
      <c r="P92" s="106">
        <f t="shared" si="53"/>
        <v>960</v>
      </c>
      <c r="Q92" s="86"/>
      <c r="R92" s="86"/>
      <c r="S92" s="86"/>
      <c r="T92" s="86"/>
      <c r="U92" s="86"/>
      <c r="V92" s="86"/>
    </row>
    <row r="93" spans="1:22">
      <c r="A93" s="22">
        <f t="shared" si="54"/>
        <v>93</v>
      </c>
      <c r="B93" s="183" t="s">
        <v>109</v>
      </c>
      <c r="C93" s="222"/>
      <c r="D93" s="214">
        <f>D90+D91</f>
        <v>0</v>
      </c>
      <c r="E93" s="109">
        <f t="shared" ref="E93:O93" si="62">E90+E91</f>
        <v>0</v>
      </c>
      <c r="F93" s="109">
        <f t="shared" si="62"/>
        <v>0</v>
      </c>
      <c r="G93" s="109">
        <f t="shared" si="62"/>
        <v>0</v>
      </c>
      <c r="H93" s="109">
        <f t="shared" si="62"/>
        <v>0</v>
      </c>
      <c r="I93" s="109">
        <f t="shared" si="62"/>
        <v>0</v>
      </c>
      <c r="J93" s="109">
        <f t="shared" si="62"/>
        <v>1838.5199999999998</v>
      </c>
      <c r="K93" s="109">
        <f t="shared" si="62"/>
        <v>3431.94</v>
      </c>
      <c r="L93" s="109">
        <f t="shared" si="62"/>
        <v>3469.29</v>
      </c>
      <c r="M93" s="109">
        <f t="shared" si="62"/>
        <v>3148.7400000000007</v>
      </c>
      <c r="N93" s="109">
        <f t="shared" si="62"/>
        <v>3469.29</v>
      </c>
      <c r="O93" s="109">
        <f t="shared" si="62"/>
        <v>263.6700000000003</v>
      </c>
      <c r="P93" s="106">
        <f t="shared" si="53"/>
        <v>15621.450000000003</v>
      </c>
      <c r="Q93" s="86"/>
      <c r="R93" s="86"/>
      <c r="S93" s="86"/>
      <c r="T93" s="86"/>
      <c r="U93" s="86"/>
      <c r="V93" s="86"/>
    </row>
    <row r="94" spans="1:22">
      <c r="A94" s="22">
        <f t="shared" si="54"/>
        <v>94</v>
      </c>
      <c r="B94" s="183" t="s">
        <v>110</v>
      </c>
      <c r="C94" s="222"/>
      <c r="D94" s="214">
        <f>57.6*(((D9*D3)&gt;=9/37)+((D9*D3)&gt;=18/37)+((D9*D3)&gt;=27/37))</f>
        <v>0</v>
      </c>
      <c r="E94" s="109">
        <f>57.6*(((E9*E3)&gt;=9/37)+((E9*E3)&gt;=18/37)+((E9*E3)&gt;=27/37))</f>
        <v>0</v>
      </c>
      <c r="F94" s="109">
        <f>57.6*(((F9*F3)&gt;=9/37)+((F9*F3)&gt;=18/37)+((F9*F3)&gt;=27/37))</f>
        <v>0</v>
      </c>
      <c r="G94" s="109">
        <f>57.6*(((G9*G3)&gt;=9/37)+((G9*G3)&gt;=18/37)+((G9*G3)&gt;=27/37))</f>
        <v>0</v>
      </c>
      <c r="H94" s="109">
        <f>57.6*(((H9*H3)&gt;=9/37)+((H9*H3)&gt;=18/37)+((H9*H3)&gt;=27/37))</f>
        <v>0</v>
      </c>
      <c r="I94" s="109">
        <f>90*(((I9*I3)&gt;=9/37)+((I9*I3)&gt;=18/37)+((I9*I3)&gt;=27/37))</f>
        <v>0</v>
      </c>
      <c r="J94" s="109">
        <f t="shared" ref="J94:O94" si="63">90*(((J9*J3)&gt;=9/37)+((J9*J3)&gt;=18/37)+((J9*J3)&gt;=27/37))</f>
        <v>90</v>
      </c>
      <c r="K94" s="109">
        <f t="shared" si="63"/>
        <v>270</v>
      </c>
      <c r="L94" s="109">
        <f t="shared" si="63"/>
        <v>270</v>
      </c>
      <c r="M94" s="109">
        <f t="shared" si="63"/>
        <v>270</v>
      </c>
      <c r="N94" s="109">
        <f t="shared" si="63"/>
        <v>270</v>
      </c>
      <c r="O94" s="109">
        <f t="shared" si="63"/>
        <v>270</v>
      </c>
      <c r="P94" s="106">
        <f t="shared" si="53"/>
        <v>1440</v>
      </c>
      <c r="Q94" s="86"/>
      <c r="R94" s="86"/>
      <c r="S94" s="86"/>
      <c r="T94" s="86"/>
      <c r="U94" s="86"/>
      <c r="V94" s="86"/>
    </row>
    <row r="95" spans="1:22">
      <c r="A95" s="22">
        <f t="shared" si="54"/>
        <v>95</v>
      </c>
      <c r="B95" s="183" t="s">
        <v>132</v>
      </c>
      <c r="C95" s="222"/>
      <c r="D95" s="214">
        <f t="shared" ref="D95:O95" si="64">IF(OR(LEFT(D6)="P",LEFT(D6)="E"),VLOOKUP(VALUE(MID(D6,2,2)),Skalalontabel,7,0)*D9/12*15%*MIN(1,D9)*D3,0)</f>
        <v>0</v>
      </c>
      <c r="E95" s="214">
        <f t="shared" si="64"/>
        <v>0</v>
      </c>
      <c r="F95" s="214">
        <f t="shared" si="64"/>
        <v>0</v>
      </c>
      <c r="G95" s="214">
        <f t="shared" si="64"/>
        <v>0</v>
      </c>
      <c r="H95" s="214">
        <f t="shared" si="64"/>
        <v>0</v>
      </c>
      <c r="I95" s="214">
        <f t="shared" si="64"/>
        <v>0</v>
      </c>
      <c r="J95" s="214">
        <f t="shared" si="64"/>
        <v>0</v>
      </c>
      <c r="K95" s="214">
        <f t="shared" si="64"/>
        <v>0</v>
      </c>
      <c r="L95" s="214">
        <f t="shared" si="64"/>
        <v>0</v>
      </c>
      <c r="M95" s="214">
        <f t="shared" si="64"/>
        <v>0</v>
      </c>
      <c r="N95" s="214">
        <f t="shared" si="64"/>
        <v>0</v>
      </c>
      <c r="O95" s="214">
        <f t="shared" si="64"/>
        <v>0</v>
      </c>
      <c r="P95" s="106">
        <f t="shared" si="53"/>
        <v>0</v>
      </c>
      <c r="Q95" s="86"/>
      <c r="R95" s="86"/>
      <c r="S95" s="86"/>
      <c r="T95" s="86"/>
      <c r="U95" s="86"/>
      <c r="V95" s="86"/>
    </row>
    <row r="96" spans="1:22">
      <c r="A96" s="22">
        <f t="shared" si="54"/>
        <v>96</v>
      </c>
      <c r="B96" s="183" t="s">
        <v>95</v>
      </c>
      <c r="C96" s="222"/>
      <c r="D96" s="214">
        <f>108.35*(D9&gt;=0.4054)</f>
        <v>0</v>
      </c>
      <c r="E96" s="109">
        <f t="shared" ref="E96:O96" si="65">108.35*(E9&gt;=0.4054)</f>
        <v>0</v>
      </c>
      <c r="F96" s="109">
        <f t="shared" si="65"/>
        <v>0</v>
      </c>
      <c r="G96" s="109">
        <f t="shared" si="65"/>
        <v>0</v>
      </c>
      <c r="H96" s="109">
        <f t="shared" si="65"/>
        <v>0</v>
      </c>
      <c r="I96" s="109">
        <f t="shared" si="65"/>
        <v>0</v>
      </c>
      <c r="J96" s="109">
        <f t="shared" si="65"/>
        <v>108.35</v>
      </c>
      <c r="K96" s="109">
        <f t="shared" si="65"/>
        <v>108.35</v>
      </c>
      <c r="L96" s="109">
        <f t="shared" si="65"/>
        <v>108.35</v>
      </c>
      <c r="M96" s="109">
        <f t="shared" si="65"/>
        <v>108.35</v>
      </c>
      <c r="N96" s="109">
        <f t="shared" si="65"/>
        <v>108.35</v>
      </c>
      <c r="O96" s="109">
        <f t="shared" si="65"/>
        <v>108.35</v>
      </c>
      <c r="P96" s="106">
        <f t="shared" si="53"/>
        <v>650.1</v>
      </c>
      <c r="Q96" s="86"/>
      <c r="R96" s="86"/>
      <c r="S96" s="86"/>
      <c r="T96" s="86"/>
      <c r="U96" s="86"/>
      <c r="V96" s="86"/>
    </row>
    <row r="97" spans="1:22">
      <c r="A97" s="22">
        <f t="shared" si="54"/>
        <v>97</v>
      </c>
      <c r="B97" s="184" t="s">
        <v>215</v>
      </c>
      <c r="C97" s="222"/>
      <c r="D97" s="215">
        <f>D65-(D87+D82+D84+D96)</f>
        <v>0</v>
      </c>
      <c r="E97" s="215">
        <f t="shared" ref="E97:O97" si="66">E65-(E87+E82+E84+E96)</f>
        <v>0</v>
      </c>
      <c r="F97" s="215">
        <f t="shared" si="66"/>
        <v>0</v>
      </c>
      <c r="G97" s="215">
        <f t="shared" si="66"/>
        <v>0</v>
      </c>
      <c r="H97" s="215">
        <f t="shared" si="66"/>
        <v>0</v>
      </c>
      <c r="I97" s="215">
        <f t="shared" si="66"/>
        <v>0</v>
      </c>
      <c r="J97" s="215">
        <f t="shared" si="66"/>
        <v>7878.23464285714</v>
      </c>
      <c r="K97" s="215">
        <f t="shared" si="66"/>
        <v>12960.819999999998</v>
      </c>
      <c r="L97" s="215">
        <f t="shared" si="66"/>
        <v>13080.109999999995</v>
      </c>
      <c r="M97" s="215">
        <f t="shared" si="66"/>
        <v>12052.679495999995</v>
      </c>
      <c r="N97" s="215">
        <f t="shared" si="66"/>
        <v>13080.109999999995</v>
      </c>
      <c r="O97" s="215">
        <f t="shared" si="66"/>
        <v>2787.8049599999999</v>
      </c>
      <c r="P97" s="114">
        <f>SUM(C97:O97)</f>
        <v>61839.759098857125</v>
      </c>
      <c r="Q97" s="87"/>
      <c r="R97" s="87"/>
      <c r="S97" s="86"/>
      <c r="T97" s="86"/>
      <c r="U97" s="86"/>
      <c r="V97" s="86"/>
    </row>
    <row r="98" spans="1:22" ht="14">
      <c r="A98" s="22">
        <f t="shared" si="54"/>
        <v>98</v>
      </c>
      <c r="B98" s="116" t="s">
        <v>315</v>
      </c>
      <c r="C98" s="236"/>
      <c r="D98" s="134">
        <f>(SUM(D44:D63)+D81)*(1-12/260*D21)</f>
        <v>0</v>
      </c>
      <c r="E98" s="132">
        <f>(SUM(E44:E63)+E81)*(1-12/260*E21)</f>
        <v>0</v>
      </c>
      <c r="F98" s="132">
        <f>(SUM(F44:F63)+F81)*(1-12/260*F21)</f>
        <v>0</v>
      </c>
      <c r="G98" s="132">
        <f>(SUM(G44:G63)+G81)*(1-12/260*G21)</f>
        <v>0</v>
      </c>
      <c r="H98" s="138">
        <f>(SUM(H44:H63)+H81)*(1-12/260*H21)</f>
        <v>0</v>
      </c>
      <c r="I98" s="135" t="s">
        <v>220</v>
      </c>
      <c r="J98" s="118"/>
      <c r="K98" s="118"/>
      <c r="L98" s="118"/>
      <c r="M98" s="118"/>
      <c r="N98" s="118"/>
      <c r="O98" s="118"/>
      <c r="P98" s="106">
        <f t="shared" si="53"/>
        <v>0</v>
      </c>
      <c r="Q98" s="122"/>
      <c r="R98" s="122"/>
      <c r="S98" s="86"/>
      <c r="T98" s="86"/>
      <c r="U98" s="86"/>
      <c r="V98" s="86"/>
    </row>
    <row r="99" spans="1:22" ht="14">
      <c r="A99" s="22">
        <f t="shared" si="54"/>
        <v>99</v>
      </c>
      <c r="B99" s="185" t="s">
        <v>195</v>
      </c>
      <c r="C99" s="225"/>
      <c r="D99" s="136" t="s">
        <v>220</v>
      </c>
      <c r="E99" s="131"/>
      <c r="F99" s="131"/>
      <c r="G99" s="131"/>
      <c r="H99" s="133"/>
      <c r="I99" s="134">
        <f>(SUM(I$44:I$63)+I$81)*(1-12/260*I$21)</f>
        <v>0</v>
      </c>
      <c r="J99" s="132">
        <f>(SUM(J$44:J$63)+J$81)*(1-12/260*J$21)</f>
        <v>11675.42464285714</v>
      </c>
      <c r="K99" s="132">
        <f>(SUM(K$44:K$63)+K$81)*(1-12/260*K$21)</f>
        <v>21794.149999999998</v>
      </c>
      <c r="L99" s="132">
        <f>(SUM(L$44:L$63)+L$81)*(1-12/260*L$21)</f>
        <v>22026.889999999996</v>
      </c>
      <c r="M99" s="132">
        <f>(SUM(M$44:M$63)-M37+M$81)*(1-12/260*M$21)</f>
        <v>19991.609495999997</v>
      </c>
      <c r="N99" s="132">
        <f>(SUM(N$44:N$63)-N37+N$81)*(1-12/260*N$21)</f>
        <v>22026.889999999996</v>
      </c>
      <c r="O99" s="132">
        <f>(SUM(O$44:O$63)-O37+O$81)*(1-12/260*O$21)</f>
        <v>128.77268923076915</v>
      </c>
      <c r="P99" s="137">
        <f t="shared" si="53"/>
        <v>97643.736828087902</v>
      </c>
      <c r="Q99" s="122"/>
      <c r="R99" s="122"/>
      <c r="S99" s="86"/>
      <c r="T99" s="86"/>
      <c r="U99" s="86"/>
      <c r="V99" s="86"/>
    </row>
    <row r="100" spans="1:22" s="119" customFormat="1">
      <c r="A100" s="22">
        <f t="shared" si="54"/>
        <v>100</v>
      </c>
      <c r="B100" s="128" t="s">
        <v>221</v>
      </c>
      <c r="C100" s="223"/>
      <c r="D100" s="216">
        <f>IF(D9&gt;0,(D44+D45+D52+D53+D54+D55+D56+D57)/D9,0)</f>
        <v>0</v>
      </c>
      <c r="E100" s="129">
        <f t="shared" ref="E100:O100" si="67">IF(E9&gt;0,(E44+E45+E52+E53+E54+E55+E56+E57)/E9,0)</f>
        <v>0</v>
      </c>
      <c r="F100" s="129">
        <f t="shared" si="67"/>
        <v>0</v>
      </c>
      <c r="G100" s="129">
        <f t="shared" si="67"/>
        <v>0</v>
      </c>
      <c r="H100" s="129">
        <f t="shared" si="67"/>
        <v>0</v>
      </c>
      <c r="I100" s="129">
        <f t="shared" si="67"/>
        <v>0</v>
      </c>
      <c r="J100" s="129">
        <f t="shared" si="67"/>
        <v>12900.074999999997</v>
      </c>
      <c r="K100" s="129">
        <f t="shared" si="67"/>
        <v>24080.162499999999</v>
      </c>
      <c r="L100" s="129">
        <f t="shared" si="67"/>
        <v>24338.224999999995</v>
      </c>
      <c r="M100" s="129">
        <f t="shared" si="67"/>
        <v>24338.224999999995</v>
      </c>
      <c r="N100" s="129">
        <f t="shared" si="67"/>
        <v>24338.224999999995</v>
      </c>
      <c r="O100" s="129">
        <f t="shared" si="67"/>
        <v>24338.224999999995</v>
      </c>
      <c r="P100" s="130"/>
      <c r="Q100" s="86"/>
      <c r="R100" s="86"/>
      <c r="S100" s="86"/>
      <c r="T100" s="86"/>
      <c r="U100" s="86"/>
      <c r="V100" s="86"/>
    </row>
    <row r="101" spans="1:22" s="119" customFormat="1" ht="14" thickBot="1">
      <c r="A101" s="22">
        <f>A100+1</f>
        <v>101</v>
      </c>
      <c r="B101" s="119" t="s">
        <v>252</v>
      </c>
      <c r="C101" s="223"/>
      <c r="D101" s="120">
        <f>IF(D9&gt;0,(D66+D73+D74+D76+D77)/D9,0)</f>
        <v>0</v>
      </c>
      <c r="E101" s="120">
        <f t="shared" ref="E101:O101" si="68">IF(E9&gt;0,(E66+E73+E74+E76+E77)/E9,0)</f>
        <v>0</v>
      </c>
      <c r="F101" s="120">
        <f t="shared" si="68"/>
        <v>0</v>
      </c>
      <c r="G101" s="120">
        <f t="shared" si="68"/>
        <v>0</v>
      </c>
      <c r="H101" s="120">
        <f t="shared" si="68"/>
        <v>0</v>
      </c>
      <c r="I101" s="120">
        <f t="shared" si="68"/>
        <v>0</v>
      </c>
      <c r="J101" s="120">
        <f t="shared" si="68"/>
        <v>718.96249999999986</v>
      </c>
      <c r="K101" s="120">
        <f t="shared" si="68"/>
        <v>1342.075</v>
      </c>
      <c r="L101" s="120">
        <f t="shared" si="68"/>
        <v>1356.6875</v>
      </c>
      <c r="M101" s="120">
        <f t="shared" si="68"/>
        <v>1356.6875</v>
      </c>
      <c r="N101" s="120">
        <f t="shared" si="68"/>
        <v>1356.6875</v>
      </c>
      <c r="O101" s="120">
        <f t="shared" si="68"/>
        <v>1356.6875</v>
      </c>
      <c r="Q101" s="86"/>
      <c r="R101" s="86"/>
      <c r="S101" s="86"/>
      <c r="T101" s="86"/>
      <c r="U101" s="86"/>
      <c r="V101" s="86"/>
    </row>
    <row r="102" spans="1:22" ht="14" thickTop="1">
      <c r="A102" s="124">
        <f>A101+1</f>
        <v>102</v>
      </c>
      <c r="B102" s="125" t="s">
        <v>88</v>
      </c>
      <c r="C102" s="224"/>
      <c r="D102" s="217">
        <f t="shared" ref="D102:K102" si="69">IF(LEFT(D$4)&lt;&gt;"b",IF(D$10&gt;=650,650*ROUND(12.5*D$7,2)/12,D$10*ROUND(12.5*D$7,2)/12),IF(D$10&gt;=750,750*ROUND(17.1*D$7,2)/12,D$10*ROUND(17.1*D$7,2)/12))</f>
        <v>0</v>
      </c>
      <c r="E102" s="149">
        <f t="shared" si="69"/>
        <v>0</v>
      </c>
      <c r="F102" s="149">
        <f t="shared" si="69"/>
        <v>0</v>
      </c>
      <c r="G102" s="149">
        <f t="shared" si="69"/>
        <v>0</v>
      </c>
      <c r="H102" s="149">
        <f t="shared" si="69"/>
        <v>0</v>
      </c>
      <c r="I102" s="149">
        <f t="shared" si="69"/>
        <v>0</v>
      </c>
      <c r="J102" s="149">
        <f t="shared" si="69"/>
        <v>1219.3500000000001</v>
      </c>
      <c r="K102" s="149">
        <f t="shared" si="69"/>
        <v>1219.3500000000001</v>
      </c>
      <c r="L102" s="149">
        <f>IF(LEFT(L$4)&lt;&gt;"b",IF(L$10&gt;=650,650*ROUND(12.5*L$7,2)/12,L$10*ROUND(12.5*L$7,2)/12),IF(L$10&gt;=750,750*ROUND(17.1*L$7,2)/12,L$10*ROUND(17.1*L$7,2)/12))</f>
        <v>1232.55</v>
      </c>
      <c r="M102" s="149">
        <f>IF(LEFT(M$4)&lt;&gt;"b",IF(M$10&gt;=650,650*ROUND(12.5*M$7,2)/12,M$10*ROUND(12.5*M$7,2)/12),IF(M$10&gt;=750,750*ROUND(17.1*M$7,2)/12,M$10*ROUND(17.1*M$7,2)/12))</f>
        <v>1232.55</v>
      </c>
      <c r="N102" s="149">
        <f>IF(LEFT(N$4)&lt;&gt;"b",IF(N$10&gt;=650,650*ROUND(12.5*N$7,2)/12,N$10*ROUND(12.5*N$7,2)/12),IF(N$10&gt;=750,750*ROUND(17.1*N$7,2)/12,N$10*ROUND(17.1*N$7,2)/12))</f>
        <v>1232.55</v>
      </c>
      <c r="O102" s="149">
        <f>IF(LEFT(O$4)&lt;&gt;"b",IF(O$10&gt;=650,650*ROUND(12.5*O$7,2)/12,O$10*ROUND(12.5*O$7,2)/12),IF(O$10&gt;=750,750*ROUND(17.1*O$7,2)/12,O$10*ROUND(17.1*O$7,2)/12))</f>
        <v>1232.55</v>
      </c>
      <c r="P102" s="126" t="s">
        <v>186</v>
      </c>
      <c r="Q102" s="86"/>
      <c r="R102" s="86"/>
      <c r="S102" s="86"/>
      <c r="T102" s="86"/>
      <c r="U102" s="86"/>
      <c r="V102" s="86"/>
    </row>
    <row r="103" spans="1:22">
      <c r="A103" s="22">
        <f>A102+1</f>
        <v>103</v>
      </c>
      <c r="B103" s="186" t="s">
        <v>89</v>
      </c>
      <c r="C103" s="224"/>
      <c r="D103" s="218">
        <f t="shared" ref="D103:K103" si="70">IF(LEFT(D$4)&lt;&gt;"b",IF(D$10&gt;650,IF(D$10&gt;=700,50*ROUND(75*D$7,2)/12,(D$10-650)*ROUND(75*D$7,2)/12),0),IF(D$10&gt;750,IF(D$10&gt;=800,50*ROUND(50*D$7,2)/12,(D$10-750)*ROUND(50*D$7,2)/12),0))</f>
        <v>0</v>
      </c>
      <c r="E103" s="110">
        <f t="shared" si="70"/>
        <v>0</v>
      </c>
      <c r="F103" s="110">
        <f t="shared" si="70"/>
        <v>0</v>
      </c>
      <c r="G103" s="110">
        <f t="shared" si="70"/>
        <v>0</v>
      </c>
      <c r="H103" s="110">
        <f t="shared" si="70"/>
        <v>0</v>
      </c>
      <c r="I103" s="110">
        <f t="shared" si="70"/>
        <v>0</v>
      </c>
      <c r="J103" s="110">
        <f t="shared" si="70"/>
        <v>0</v>
      </c>
      <c r="K103" s="110">
        <f t="shared" si="70"/>
        <v>0</v>
      </c>
      <c r="L103" s="110">
        <f>IF(LEFT(L$4)&lt;&gt;"b",IF(L$10&gt;650,IF(L$10&gt;=700,50*ROUND(75*L$7,2)/12,(L$10-650)*ROUND(75*L$7,2)/12),0),IF(L$10&gt;750,IF(L$10&gt;=800,50*ROUND(50*L$7,2)/12,(L$10-750)*ROUND(50*L$7,2)/12),0))</f>
        <v>0</v>
      </c>
      <c r="M103" s="110">
        <f>IF(LEFT(M$4)&lt;&gt;"b",IF(M$10&gt;650,IF(M$10&gt;=700,50*ROUND(75*M$7,2)/12,(M$10-650)*ROUND(75*M$7,2)/12),0),IF(M$10&gt;750,IF(M$10&gt;=800,50*ROUND(50*M$7,2)/12,(M$10-750)*ROUND(50*M$7,2)/12),0))</f>
        <v>0</v>
      </c>
      <c r="N103" s="110">
        <f>IF(LEFT(N$4)&lt;&gt;"b",IF(N$10&gt;650,IF(N$10&gt;=700,50*ROUND(75*N$7,2)/12,(N$10-650)*ROUND(75*N$7,2)/12),0),IF(N$10&gt;750,IF(N$10&gt;=800,50*ROUND(50*N$7,2)/12,(N$10-750)*ROUND(50*N$7,2)/12),0))</f>
        <v>0</v>
      </c>
      <c r="O103" s="110">
        <f>IF(LEFT(O$4)&lt;&gt;"b",IF(O$10&gt;650,IF(O$10&gt;=700,50*ROUND(75*O$7,2)/12,(O$10-650)*ROUND(75*O$7,2)/12),0),IF(O$10&gt;750,IF(O$10&gt;=800,50*ROUND(50*O$7,2)/12,(O$10-750)*ROUND(50*O$7,2)/12),0))</f>
        <v>0</v>
      </c>
      <c r="P103" s="111" t="s">
        <v>186</v>
      </c>
      <c r="Q103" s="86"/>
      <c r="R103" s="86"/>
      <c r="S103" s="86"/>
      <c r="T103" s="86"/>
      <c r="U103" s="86"/>
      <c r="V103" s="86"/>
    </row>
    <row r="104" spans="1:22">
      <c r="A104" s="22">
        <f>A103+1</f>
        <v>104</v>
      </c>
      <c r="B104" s="186" t="s">
        <v>166</v>
      </c>
      <c r="C104" s="224"/>
      <c r="D104" s="218">
        <f t="shared" ref="D104:K104" si="71">IF(LEFT(D$4)&lt;&gt;"b",IF(D$10&gt;700,IF(D$10&gt;=750,50*ROUND(100*D$7,2)/12,(D$10-700)*ROUND(100*D$7,2)/12),0),IF(D$10&gt;800,IF(D$10&gt;=835,35*ROUND(100*D$7,2)/12,(D$10-800)*ROUND(100*D$7,2)/12),0))</f>
        <v>0</v>
      </c>
      <c r="E104" s="110">
        <f t="shared" si="71"/>
        <v>0</v>
      </c>
      <c r="F104" s="110">
        <f t="shared" si="71"/>
        <v>0</v>
      </c>
      <c r="G104" s="110">
        <f t="shared" si="71"/>
        <v>0</v>
      </c>
      <c r="H104" s="110">
        <f t="shared" si="71"/>
        <v>0</v>
      </c>
      <c r="I104" s="110">
        <f t="shared" si="71"/>
        <v>0</v>
      </c>
      <c r="J104" s="110">
        <f t="shared" si="71"/>
        <v>0</v>
      </c>
      <c r="K104" s="110">
        <f t="shared" si="71"/>
        <v>0</v>
      </c>
      <c r="L104" s="110">
        <f>IF(LEFT(L$4)&lt;&gt;"b",IF(L$10&gt;700,IF(L$10&gt;=750,50*ROUND(100*L$7,2)/12,(L$10-700)*ROUND(100*L$7,2)/12),0),IF(L$10&gt;800,IF(L$10&gt;=835,35*ROUND(100*L$7,2)/12,(L$10-800)*ROUND(100*L$7,2)/12),0))</f>
        <v>0</v>
      </c>
      <c r="M104" s="110">
        <f>IF(LEFT(M$4)&lt;&gt;"b",IF(M$10&gt;700,IF(M$10&gt;=750,50*ROUND(100*M$7,2)/12,(M$10-700)*ROUND(100*M$7,2)/12),0),IF(M$10&gt;800,IF(M$10&gt;=835,35*ROUND(100*M$7,2)/12,(M$10-800)*ROUND(100*M$7,2)/12),0))</f>
        <v>0</v>
      </c>
      <c r="N104" s="110">
        <f>IF(LEFT(N$4)&lt;&gt;"b",IF(N$10&gt;700,IF(N$10&gt;=750,50*ROUND(100*N$7,2)/12,(N$10-700)*ROUND(100*N$7,2)/12),0),IF(N$10&gt;800,IF(N$10&gt;=835,35*ROUND(100*N$7,2)/12,(N$10-800)*ROUND(100*N$7,2)/12),0))</f>
        <v>0</v>
      </c>
      <c r="O104" s="110">
        <f>IF(LEFT(O$4)&lt;&gt;"b",IF(O$10&gt;700,IF(O$10&gt;=750,50*ROUND(100*O$7,2)/12,(O$10-700)*ROUND(100*O$7,2)/12),0),IF(O$10&gt;800,IF(O$10&gt;=835,35*ROUND(100*O$7,2)/12,(O$10-800)*ROUND(100*O$7,2)/12),0))</f>
        <v>0</v>
      </c>
      <c r="P104" s="111" t="s">
        <v>186</v>
      </c>
      <c r="Q104" s="86"/>
      <c r="R104" s="86"/>
      <c r="S104" s="86"/>
      <c r="T104" s="86"/>
      <c r="U104" s="86"/>
      <c r="V104" s="86"/>
    </row>
    <row r="105" spans="1:22">
      <c r="A105" s="22">
        <f>A104+1</f>
        <v>105</v>
      </c>
      <c r="B105" s="187" t="s">
        <v>167</v>
      </c>
      <c r="C105" s="224"/>
      <c r="D105" s="219">
        <f t="shared" ref="D105:K105" si="72">IF(LEFT(D$4)&lt;&gt;"b",IF(D$10&gt;750,(D$10-750)*ROUND(125*D$7,2)/12,0),IF(D$10&gt;835,(D$10-835)*ROUND(125*D$7,2)/12,0))</f>
        <v>0</v>
      </c>
      <c r="E105" s="112">
        <f t="shared" si="72"/>
        <v>0</v>
      </c>
      <c r="F105" s="112">
        <f t="shared" si="72"/>
        <v>0</v>
      </c>
      <c r="G105" s="112">
        <f t="shared" si="72"/>
        <v>0</v>
      </c>
      <c r="H105" s="112">
        <f t="shared" si="72"/>
        <v>0</v>
      </c>
      <c r="I105" s="112">
        <f t="shared" si="72"/>
        <v>0</v>
      </c>
      <c r="J105" s="112">
        <f t="shared" si="72"/>
        <v>0</v>
      </c>
      <c r="K105" s="112">
        <f t="shared" si="72"/>
        <v>0</v>
      </c>
      <c r="L105" s="112">
        <f>IF(LEFT(L$4)&lt;&gt;"b",IF(L$10&gt;750,(L$10-750)*ROUND(125*L$7,2)/12,0),IF(L$10&gt;835,(L$10-835)*ROUND(125*L$7,2)/12,0))</f>
        <v>0</v>
      </c>
      <c r="M105" s="112">
        <f>IF(LEFT(M$4)&lt;&gt;"b",IF(M$10&gt;750,(M$10-750)*ROUND(125*M$7,2)/12,0),IF(M$10&gt;835,(M$10-835)*ROUND(125*M$7,2)/12,0))</f>
        <v>0</v>
      </c>
      <c r="N105" s="112">
        <f>IF(LEFT(N$4)&lt;&gt;"b",IF(N$10&gt;750,(N$10-750)*ROUND(125*N$7,2)/12,0),IF(N$10&gt;835,(N$10-835)*ROUND(125*N$7,2)/12,0))</f>
        <v>0</v>
      </c>
      <c r="O105" s="112">
        <f>IF(LEFT(O$4)&lt;&gt;"b",IF(O$10&gt;750,(O$10-750)*ROUND(125*O$7,2)/12,0),IF(O$10&gt;835,(O$10-835)*ROUND(125*O$7,2)/12,0))</f>
        <v>0</v>
      </c>
      <c r="P105" s="113" t="s">
        <v>186</v>
      </c>
      <c r="Q105" s="86"/>
      <c r="R105" s="86"/>
      <c r="S105" s="86"/>
      <c r="T105" s="86"/>
      <c r="U105" s="86"/>
      <c r="V105" s="86"/>
    </row>
    <row r="106" spans="1:22">
      <c r="Q106" s="86"/>
      <c r="R106" s="86"/>
      <c r="S106" s="86"/>
      <c r="T106" s="86"/>
      <c r="U106" s="86"/>
      <c r="V106" s="86"/>
    </row>
    <row r="107" spans="1:22" s="3" customFormat="1">
      <c r="A107" s="87"/>
      <c r="B107" s="86"/>
      <c r="C107" s="86"/>
      <c r="D107" s="115"/>
      <c r="E107" s="115"/>
      <c r="F107" s="115"/>
      <c r="G107" s="115"/>
      <c r="H107" s="115"/>
      <c r="I107" s="115"/>
      <c r="J107" s="115"/>
      <c r="K107" s="115"/>
      <c r="L107" s="115"/>
      <c r="M107" s="115"/>
      <c r="N107" s="115"/>
      <c r="O107" s="115"/>
      <c r="P107" s="86"/>
      <c r="Q107" s="86"/>
      <c r="R107" s="86"/>
      <c r="S107" s="86"/>
      <c r="T107" s="86"/>
      <c r="U107" s="86"/>
      <c r="V107" s="86"/>
    </row>
    <row r="108" spans="1:22" s="3" customFormat="1">
      <c r="A108" s="87"/>
      <c r="B108" s="86"/>
      <c r="C108" s="86"/>
      <c r="D108" s="115"/>
      <c r="E108" s="88"/>
      <c r="F108" s="88"/>
      <c r="G108" s="88"/>
      <c r="H108" s="88"/>
      <c r="I108" s="88"/>
      <c r="J108" s="88"/>
      <c r="K108" s="88"/>
      <c r="L108" s="88"/>
      <c r="M108" s="88"/>
      <c r="N108" s="88"/>
      <c r="O108" s="88"/>
      <c r="P108" s="86"/>
      <c r="Q108" s="86"/>
      <c r="R108" s="86"/>
      <c r="S108" s="86"/>
      <c r="T108" s="86"/>
      <c r="U108" s="86"/>
      <c r="V108" s="86"/>
    </row>
    <row r="109" spans="1:22" s="3" customFormat="1">
      <c r="A109" s="87"/>
      <c r="B109" s="86"/>
      <c r="C109" s="86"/>
      <c r="D109" s="88"/>
      <c r="E109" s="88"/>
      <c r="F109" s="88"/>
      <c r="G109" s="88"/>
      <c r="H109" s="88"/>
      <c r="I109" s="88"/>
      <c r="J109" s="88"/>
      <c r="K109" s="88"/>
      <c r="L109" s="88"/>
      <c r="M109" s="88"/>
      <c r="N109" s="88"/>
      <c r="O109" s="88"/>
      <c r="P109" s="86"/>
      <c r="Q109" s="86"/>
      <c r="R109" s="86"/>
      <c r="S109" s="86"/>
      <c r="T109" s="86"/>
      <c r="U109" s="86"/>
      <c r="V109" s="86"/>
    </row>
    <row r="110" spans="1:22" s="3" customFormat="1">
      <c r="A110" s="87"/>
      <c r="B110" s="86"/>
      <c r="C110" s="86"/>
      <c r="D110" s="88"/>
      <c r="E110" s="88"/>
      <c r="F110" s="88"/>
      <c r="G110" s="88"/>
      <c r="H110" s="88"/>
      <c r="I110" s="88"/>
      <c r="J110" s="88"/>
      <c r="K110" s="88"/>
      <c r="L110" s="88"/>
      <c r="M110" s="88"/>
      <c r="N110" s="88"/>
      <c r="O110" s="88"/>
      <c r="P110" s="86"/>
      <c r="Q110" s="86"/>
      <c r="R110" s="86"/>
      <c r="S110" s="86"/>
      <c r="T110" s="86"/>
      <c r="U110" s="86"/>
      <c r="V110" s="86"/>
    </row>
    <row r="111" spans="1:22" s="3" customFormat="1">
      <c r="A111" s="87"/>
      <c r="B111" s="86"/>
      <c r="C111" s="86"/>
      <c r="D111" s="88"/>
      <c r="E111" s="88"/>
      <c r="F111" s="88"/>
      <c r="G111" s="88"/>
      <c r="H111" s="88"/>
      <c r="I111" s="88"/>
      <c r="J111" s="88"/>
      <c r="K111" s="88"/>
      <c r="L111" s="88"/>
      <c r="M111" s="88"/>
      <c r="N111" s="88"/>
      <c r="O111" s="88"/>
      <c r="P111" s="86"/>
      <c r="Q111" s="86"/>
      <c r="R111" s="86"/>
      <c r="S111" s="86"/>
      <c r="T111" s="86"/>
      <c r="U111" s="86"/>
      <c r="V111" s="86"/>
    </row>
    <row r="112" spans="1:22">
      <c r="A112" s="82"/>
      <c r="B112" s="83"/>
      <c r="C112" s="83"/>
      <c r="D112" s="84"/>
      <c r="E112" s="84"/>
      <c r="F112" s="84"/>
      <c r="G112" s="84"/>
      <c r="H112" s="84"/>
      <c r="I112" s="84"/>
      <c r="J112" s="84"/>
      <c r="K112" s="84"/>
      <c r="L112" s="84"/>
      <c r="M112" s="84"/>
      <c r="N112" s="84"/>
      <c r="O112" s="84"/>
      <c r="P112" s="83"/>
    </row>
    <row r="113" spans="1:16">
      <c r="A113" s="82"/>
      <c r="B113" s="83"/>
      <c r="C113" s="83"/>
      <c r="D113" s="84"/>
      <c r="E113" s="84"/>
      <c r="F113" s="84"/>
      <c r="G113" s="84"/>
      <c r="H113" s="84"/>
      <c r="I113" s="84"/>
      <c r="J113" s="84"/>
      <c r="K113" s="84"/>
      <c r="L113" s="84"/>
      <c r="M113" s="84"/>
      <c r="N113" s="84"/>
      <c r="O113" s="84"/>
      <c r="P113" s="83"/>
    </row>
    <row r="114" spans="1:16">
      <c r="A114" s="82"/>
      <c r="B114" s="83"/>
      <c r="C114" s="83"/>
      <c r="D114" s="84"/>
      <c r="E114" s="84"/>
      <c r="F114" s="84"/>
      <c r="G114" s="84"/>
      <c r="H114" s="84"/>
      <c r="I114" s="84"/>
      <c r="J114" s="84"/>
      <c r="K114" s="84"/>
      <c r="L114" s="84"/>
      <c r="M114" s="84"/>
      <c r="N114" s="84"/>
      <c r="O114" s="84"/>
      <c r="P114" s="83"/>
    </row>
    <row r="115" spans="1:16">
      <c r="A115" s="82"/>
      <c r="B115" s="83"/>
      <c r="C115" s="83"/>
      <c r="D115" s="84"/>
      <c r="E115" s="84"/>
      <c r="F115" s="84"/>
      <c r="G115" s="84"/>
      <c r="H115" s="84"/>
      <c r="I115" s="84"/>
      <c r="J115" s="84"/>
      <c r="K115" s="84"/>
      <c r="L115" s="84"/>
      <c r="M115" s="84"/>
      <c r="N115" s="84"/>
      <c r="O115" s="84"/>
      <c r="P115" s="83"/>
    </row>
    <row r="116" spans="1:16">
      <c r="A116" s="82"/>
      <c r="B116" s="83"/>
      <c r="C116" s="83"/>
      <c r="D116" s="84"/>
      <c r="E116" s="84"/>
      <c r="F116" s="84"/>
      <c r="G116" s="84"/>
      <c r="H116" s="84"/>
      <c r="I116" s="84"/>
      <c r="J116" s="84"/>
      <c r="K116" s="84"/>
      <c r="L116" s="84"/>
      <c r="M116" s="84"/>
      <c r="N116" s="84"/>
      <c r="O116" s="84"/>
      <c r="P116" s="83"/>
    </row>
    <row r="117" spans="1:16">
      <c r="A117" s="82"/>
      <c r="B117" s="83"/>
      <c r="C117" s="83"/>
      <c r="D117" s="84"/>
      <c r="E117" s="84"/>
      <c r="F117" s="84"/>
      <c r="G117" s="84"/>
      <c r="H117" s="84"/>
      <c r="I117" s="84"/>
      <c r="J117" s="84"/>
      <c r="K117" s="84"/>
      <c r="L117" s="84"/>
      <c r="M117" s="84"/>
      <c r="N117" s="84"/>
      <c r="O117" s="84"/>
      <c r="P117" s="83"/>
    </row>
    <row r="118" spans="1:16">
      <c r="A118" s="82"/>
      <c r="B118" s="83"/>
      <c r="C118" s="83"/>
      <c r="D118" s="84"/>
      <c r="E118" s="84"/>
      <c r="F118" s="84"/>
      <c r="G118" s="84"/>
      <c r="H118" s="84"/>
      <c r="I118" s="84"/>
      <c r="J118" s="84"/>
      <c r="K118" s="84"/>
      <c r="L118" s="84"/>
      <c r="M118" s="84"/>
      <c r="N118" s="84"/>
      <c r="O118" s="84"/>
      <c r="P118" s="83"/>
    </row>
    <row r="119" spans="1:16">
      <c r="A119" s="82"/>
      <c r="B119" s="83"/>
      <c r="C119" s="83"/>
      <c r="D119" s="84"/>
      <c r="E119" s="84"/>
      <c r="F119" s="84"/>
      <c r="G119" s="84"/>
      <c r="H119" s="84"/>
      <c r="I119" s="84"/>
      <c r="J119" s="84"/>
      <c r="K119" s="84"/>
      <c r="L119" s="84"/>
      <c r="M119" s="84"/>
      <c r="N119" s="84"/>
      <c r="O119" s="84"/>
      <c r="P119" s="83"/>
    </row>
    <row r="120" spans="1:16">
      <c r="A120" s="82"/>
      <c r="B120" s="83"/>
      <c r="C120" s="83"/>
      <c r="D120" s="84"/>
      <c r="E120" s="84"/>
      <c r="F120" s="84"/>
      <c r="G120" s="84"/>
      <c r="H120" s="84"/>
      <c r="I120" s="84"/>
      <c r="J120" s="84"/>
      <c r="K120" s="84"/>
      <c r="L120" s="84"/>
      <c r="M120" s="84"/>
      <c r="N120" s="84"/>
      <c r="O120" s="84"/>
      <c r="P120" s="83"/>
    </row>
    <row r="121" spans="1:16">
      <c r="A121" s="82"/>
      <c r="B121" s="83"/>
      <c r="C121" s="83"/>
      <c r="D121" s="84"/>
      <c r="E121" s="84"/>
      <c r="F121" s="84"/>
      <c r="G121" s="84"/>
      <c r="H121" s="84"/>
      <c r="I121" s="84"/>
      <c r="J121" s="84"/>
      <c r="K121" s="84"/>
      <c r="L121" s="84"/>
      <c r="M121" s="84"/>
      <c r="N121" s="84"/>
      <c r="O121" s="84"/>
      <c r="P121" s="83"/>
    </row>
    <row r="122" spans="1:16">
      <c r="A122" s="82"/>
      <c r="B122" s="83"/>
      <c r="C122" s="83"/>
      <c r="D122" s="84"/>
      <c r="E122" s="84"/>
      <c r="F122" s="84"/>
      <c r="G122" s="84"/>
      <c r="H122" s="84"/>
      <c r="I122" s="84"/>
      <c r="J122" s="84"/>
      <c r="K122" s="84"/>
      <c r="L122" s="84"/>
      <c r="M122" s="84"/>
      <c r="N122" s="84"/>
      <c r="O122" s="84"/>
      <c r="P122" s="83"/>
    </row>
    <row r="123" spans="1:16">
      <c r="A123" s="82"/>
      <c r="B123" s="83"/>
      <c r="C123" s="83"/>
      <c r="D123" s="84"/>
      <c r="E123" s="84"/>
      <c r="F123" s="84"/>
      <c r="G123" s="84"/>
      <c r="H123" s="84"/>
      <c r="I123" s="84"/>
      <c r="J123" s="84"/>
      <c r="K123" s="84"/>
      <c r="L123" s="84"/>
      <c r="M123" s="84"/>
      <c r="N123" s="84"/>
      <c r="O123" s="84"/>
      <c r="P123" s="83"/>
    </row>
    <row r="124" spans="1:16">
      <c r="A124" s="82"/>
      <c r="B124" s="83"/>
      <c r="C124" s="83"/>
      <c r="D124" s="84"/>
      <c r="E124" s="84"/>
      <c r="F124" s="84"/>
      <c r="G124" s="84"/>
      <c r="H124" s="84"/>
      <c r="I124" s="84"/>
      <c r="J124" s="84"/>
      <c r="K124" s="84"/>
      <c r="L124" s="84"/>
      <c r="M124" s="84"/>
      <c r="N124" s="84"/>
      <c r="O124" s="84"/>
      <c r="P124" s="83"/>
    </row>
    <row r="125" spans="1:16">
      <c r="A125" s="82"/>
      <c r="B125" s="83"/>
      <c r="C125" s="83"/>
      <c r="D125" s="84"/>
      <c r="E125" s="84"/>
      <c r="F125" s="84"/>
      <c r="G125" s="84"/>
      <c r="H125" s="84"/>
      <c r="I125" s="84"/>
      <c r="J125" s="84"/>
      <c r="K125" s="84"/>
      <c r="L125" s="84"/>
      <c r="M125" s="84"/>
      <c r="N125" s="84"/>
      <c r="O125" s="84"/>
      <c r="P125" s="83"/>
    </row>
    <row r="126" spans="1:16">
      <c r="A126" s="82"/>
      <c r="B126" s="83"/>
      <c r="C126" s="83"/>
      <c r="D126" s="84"/>
      <c r="E126" s="84"/>
      <c r="F126" s="84"/>
      <c r="G126" s="84"/>
      <c r="H126" s="84"/>
      <c r="I126" s="84"/>
      <c r="J126" s="84"/>
      <c r="K126" s="84"/>
      <c r="L126" s="84"/>
      <c r="M126" s="84"/>
      <c r="N126" s="84"/>
      <c r="O126" s="84"/>
      <c r="P126" s="83"/>
    </row>
    <row r="127" spans="1:16">
      <c r="A127" s="82"/>
      <c r="B127" s="83"/>
      <c r="C127" s="83"/>
      <c r="D127" s="84"/>
      <c r="E127" s="84"/>
      <c r="F127" s="84"/>
      <c r="G127" s="84"/>
      <c r="H127" s="84"/>
      <c r="I127" s="84"/>
      <c r="J127" s="84"/>
      <c r="K127" s="84"/>
      <c r="L127" s="84"/>
      <c r="M127" s="84"/>
      <c r="N127" s="84"/>
      <c r="O127" s="84"/>
      <c r="P127" s="83"/>
    </row>
    <row r="128" spans="1:16">
      <c r="A128" s="82"/>
      <c r="B128" s="83"/>
      <c r="C128" s="83"/>
      <c r="D128" s="84"/>
      <c r="E128" s="84"/>
      <c r="F128" s="84"/>
      <c r="G128" s="84"/>
      <c r="H128" s="84"/>
      <c r="I128" s="84"/>
      <c r="J128" s="84"/>
      <c r="K128" s="84"/>
      <c r="L128" s="84"/>
      <c r="M128" s="84"/>
      <c r="N128" s="84"/>
      <c r="O128" s="84"/>
      <c r="P128" s="83"/>
    </row>
    <row r="129" spans="1:16">
      <c r="A129" s="82"/>
      <c r="B129" s="83"/>
      <c r="C129" s="83"/>
      <c r="D129" s="84"/>
      <c r="E129" s="84"/>
      <c r="F129" s="84"/>
      <c r="G129" s="84"/>
      <c r="H129" s="84"/>
      <c r="I129" s="84"/>
      <c r="J129" s="84"/>
      <c r="K129" s="84"/>
      <c r="L129" s="84"/>
      <c r="M129" s="84"/>
      <c r="N129" s="84"/>
      <c r="O129" s="84"/>
      <c r="P129" s="83"/>
    </row>
    <row r="130" spans="1:16">
      <c r="A130" s="82"/>
      <c r="B130" s="83"/>
      <c r="C130" s="83"/>
      <c r="D130" s="84"/>
      <c r="E130" s="84"/>
      <c r="F130" s="84"/>
      <c r="G130" s="84"/>
      <c r="H130" s="84"/>
      <c r="I130" s="84"/>
      <c r="J130" s="84"/>
      <c r="K130" s="84"/>
      <c r="L130" s="84"/>
      <c r="M130" s="84"/>
      <c r="N130" s="84"/>
      <c r="O130" s="84"/>
      <c r="P130" s="83"/>
    </row>
    <row r="131" spans="1:16">
      <c r="A131" s="82"/>
      <c r="B131" s="83"/>
      <c r="C131" s="83"/>
      <c r="D131" s="84"/>
      <c r="E131" s="84"/>
      <c r="F131" s="84"/>
      <c r="G131" s="84"/>
      <c r="H131" s="84"/>
      <c r="I131" s="84"/>
      <c r="J131" s="84"/>
      <c r="K131" s="84"/>
      <c r="L131" s="84"/>
      <c r="M131" s="84"/>
      <c r="N131" s="84"/>
      <c r="O131" s="84"/>
      <c r="P131" s="83"/>
    </row>
    <row r="132" spans="1:16">
      <c r="A132" s="82"/>
      <c r="B132" s="83"/>
      <c r="C132" s="83"/>
      <c r="D132" s="84"/>
      <c r="E132" s="84"/>
      <c r="F132" s="84"/>
      <c r="G132" s="84"/>
      <c r="H132" s="84"/>
      <c r="I132" s="84"/>
      <c r="J132" s="84"/>
      <c r="K132" s="84"/>
      <c r="L132" s="84"/>
      <c r="M132" s="84"/>
      <c r="N132" s="84"/>
      <c r="O132" s="84"/>
      <c r="P132" s="83"/>
    </row>
    <row r="133" spans="1:16">
      <c r="A133" s="82"/>
      <c r="B133" s="83"/>
      <c r="C133" s="83"/>
      <c r="D133" s="84"/>
      <c r="E133" s="84"/>
      <c r="F133" s="84"/>
      <c r="G133" s="84"/>
      <c r="H133" s="84"/>
      <c r="I133" s="84"/>
      <c r="J133" s="84"/>
      <c r="K133" s="84"/>
      <c r="L133" s="84"/>
      <c r="M133" s="84"/>
      <c r="N133" s="84"/>
      <c r="O133" s="84"/>
      <c r="P133" s="83"/>
    </row>
    <row r="134" spans="1:16">
      <c r="A134" s="82"/>
      <c r="B134" s="83"/>
      <c r="C134" s="83"/>
      <c r="D134" s="84"/>
      <c r="E134" s="84"/>
      <c r="F134" s="84"/>
      <c r="G134" s="84"/>
      <c r="H134" s="84"/>
      <c r="I134" s="84"/>
      <c r="J134" s="84"/>
      <c r="K134" s="84"/>
      <c r="L134" s="84"/>
      <c r="M134" s="84"/>
      <c r="N134" s="84"/>
      <c r="O134" s="84"/>
      <c r="P134" s="83"/>
    </row>
    <row r="135" spans="1:16">
      <c r="A135" s="82"/>
      <c r="B135" s="83"/>
      <c r="C135" s="83"/>
      <c r="D135" s="84"/>
      <c r="E135" s="84"/>
      <c r="F135" s="84"/>
      <c r="G135" s="84"/>
      <c r="H135" s="84"/>
      <c r="I135" s="84"/>
      <c r="J135" s="84"/>
      <c r="K135" s="84"/>
      <c r="L135" s="84"/>
      <c r="M135" s="84"/>
      <c r="N135" s="84"/>
      <c r="O135" s="84"/>
      <c r="P135" s="83"/>
    </row>
    <row r="136" spans="1:16">
      <c r="A136" s="82"/>
      <c r="B136" s="83"/>
      <c r="C136" s="83"/>
      <c r="D136" s="84"/>
      <c r="E136" s="84"/>
      <c r="F136" s="84"/>
      <c r="G136" s="84"/>
      <c r="H136" s="84"/>
      <c r="I136" s="84"/>
      <c r="J136" s="84"/>
      <c r="K136" s="84"/>
      <c r="L136" s="84"/>
      <c r="M136" s="84"/>
      <c r="N136" s="84"/>
      <c r="O136" s="84"/>
      <c r="P136" s="83"/>
    </row>
    <row r="137" spans="1:16">
      <c r="A137" s="82"/>
      <c r="B137" s="83"/>
      <c r="C137" s="83"/>
      <c r="D137" s="84"/>
      <c r="E137" s="84"/>
      <c r="F137" s="84"/>
      <c r="G137" s="84"/>
      <c r="H137" s="84"/>
      <c r="I137" s="84"/>
      <c r="J137" s="84"/>
      <c r="K137" s="84"/>
      <c r="L137" s="84"/>
      <c r="M137" s="84"/>
      <c r="N137" s="84"/>
      <c r="O137" s="84"/>
      <c r="P137" s="83"/>
    </row>
    <row r="138" spans="1:16">
      <c r="A138" s="82"/>
      <c r="B138" s="83"/>
      <c r="C138" s="83"/>
      <c r="D138" s="84"/>
      <c r="E138" s="84"/>
      <c r="F138" s="84"/>
      <c r="G138" s="84"/>
      <c r="H138" s="84"/>
      <c r="I138" s="84"/>
      <c r="J138" s="84"/>
      <c r="K138" s="84"/>
      <c r="L138" s="84"/>
      <c r="M138" s="84"/>
      <c r="N138" s="84"/>
      <c r="O138" s="84"/>
      <c r="P138" s="83"/>
    </row>
    <row r="139" spans="1:16">
      <c r="A139" s="82"/>
      <c r="B139" s="83"/>
      <c r="C139" s="83"/>
      <c r="D139" s="84"/>
      <c r="E139" s="84"/>
      <c r="F139" s="84"/>
      <c r="G139" s="84"/>
      <c r="H139" s="84"/>
      <c r="I139" s="84"/>
      <c r="J139" s="84"/>
      <c r="K139" s="84"/>
      <c r="L139" s="84"/>
      <c r="M139" s="84"/>
      <c r="N139" s="84"/>
      <c r="O139" s="84"/>
      <c r="P139" s="83"/>
    </row>
    <row r="140" spans="1:16">
      <c r="A140" s="82"/>
      <c r="B140" s="83"/>
      <c r="C140" s="83"/>
      <c r="D140" s="84"/>
      <c r="E140" s="84"/>
      <c r="F140" s="84"/>
      <c r="G140" s="84"/>
      <c r="H140" s="84"/>
      <c r="I140" s="84"/>
      <c r="J140" s="84"/>
      <c r="K140" s="84"/>
      <c r="L140" s="84"/>
      <c r="M140" s="84"/>
      <c r="N140" s="84"/>
      <c r="O140" s="84"/>
      <c r="P140" s="83"/>
    </row>
    <row r="141" spans="1:16">
      <c r="A141" s="82"/>
      <c r="B141" s="83"/>
      <c r="C141" s="83"/>
      <c r="D141" s="84"/>
      <c r="E141" s="84"/>
      <c r="F141" s="84"/>
      <c r="G141" s="84"/>
      <c r="H141" s="84"/>
      <c r="I141" s="84"/>
      <c r="J141" s="84"/>
      <c r="K141" s="84"/>
      <c r="L141" s="84"/>
      <c r="M141" s="84"/>
      <c r="N141" s="84"/>
      <c r="O141" s="84"/>
      <c r="P141" s="83"/>
    </row>
    <row r="142" spans="1:16">
      <c r="A142" s="82"/>
      <c r="B142" s="83"/>
      <c r="C142" s="83"/>
      <c r="D142" s="84"/>
      <c r="E142" s="84"/>
      <c r="F142" s="84"/>
      <c r="G142" s="84"/>
      <c r="H142" s="84"/>
      <c r="I142" s="84"/>
      <c r="J142" s="84"/>
      <c r="K142" s="84"/>
      <c r="L142" s="84"/>
      <c r="M142" s="84"/>
      <c r="N142" s="84"/>
      <c r="O142" s="84"/>
      <c r="P142" s="83"/>
    </row>
    <row r="143" spans="1:16">
      <c r="A143" s="82"/>
      <c r="B143" s="83"/>
      <c r="C143" s="83"/>
      <c r="D143" s="84"/>
      <c r="E143" s="84"/>
      <c r="F143" s="84"/>
      <c r="G143" s="84"/>
      <c r="H143" s="84"/>
      <c r="I143" s="84"/>
      <c r="J143" s="84"/>
      <c r="K143" s="84"/>
      <c r="L143" s="84"/>
      <c r="M143" s="84"/>
      <c r="N143" s="84"/>
      <c r="O143" s="84"/>
      <c r="P143" s="83"/>
    </row>
    <row r="144" spans="1:16">
      <c r="A144" s="82"/>
      <c r="B144" s="83"/>
      <c r="C144" s="83"/>
      <c r="D144" s="84"/>
      <c r="E144" s="84"/>
      <c r="F144" s="84"/>
      <c r="G144" s="84"/>
      <c r="H144" s="84"/>
      <c r="I144" s="84"/>
      <c r="J144" s="84"/>
      <c r="K144" s="84"/>
      <c r="L144" s="84"/>
      <c r="M144" s="84"/>
      <c r="N144" s="84"/>
      <c r="O144" s="84"/>
      <c r="P144" s="83"/>
    </row>
    <row r="145" spans="1:16">
      <c r="A145" s="82"/>
      <c r="B145" s="83"/>
      <c r="C145" s="83"/>
      <c r="D145" s="84"/>
      <c r="E145" s="84"/>
      <c r="F145" s="84"/>
      <c r="G145" s="84"/>
      <c r="H145" s="84"/>
      <c r="I145" s="84"/>
      <c r="J145" s="84"/>
      <c r="K145" s="84"/>
      <c r="L145" s="84"/>
      <c r="M145" s="84"/>
      <c r="N145" s="84"/>
      <c r="O145" s="84"/>
      <c r="P145" s="83"/>
    </row>
    <row r="146" spans="1:16">
      <c r="A146" s="82"/>
      <c r="B146" s="83"/>
      <c r="C146" s="83"/>
      <c r="D146" s="84"/>
      <c r="E146" s="84"/>
      <c r="F146" s="84"/>
      <c r="G146" s="84"/>
      <c r="H146" s="84"/>
      <c r="I146" s="84"/>
      <c r="J146" s="84"/>
      <c r="K146" s="84"/>
      <c r="L146" s="84"/>
      <c r="M146" s="84"/>
      <c r="N146" s="84"/>
      <c r="O146" s="84"/>
      <c r="P146" s="83"/>
    </row>
    <row r="147" spans="1:16">
      <c r="A147" s="82"/>
      <c r="B147" s="83"/>
      <c r="C147" s="83"/>
      <c r="D147" s="84"/>
      <c r="E147" s="84"/>
      <c r="F147" s="84"/>
      <c r="G147" s="84"/>
      <c r="H147" s="84"/>
      <c r="I147" s="84"/>
      <c r="J147" s="84"/>
      <c r="K147" s="84"/>
      <c r="L147" s="84"/>
      <c r="M147" s="84"/>
      <c r="N147" s="84"/>
      <c r="O147" s="84"/>
      <c r="P147" s="83"/>
    </row>
    <row r="148" spans="1:16">
      <c r="A148" s="82"/>
      <c r="B148" s="83"/>
      <c r="C148" s="83"/>
      <c r="D148" s="84"/>
      <c r="E148" s="84"/>
      <c r="F148" s="84"/>
      <c r="G148" s="84"/>
      <c r="H148" s="84"/>
      <c r="I148" s="84"/>
      <c r="J148" s="84"/>
      <c r="K148" s="84"/>
      <c r="L148" s="84"/>
      <c r="M148" s="84"/>
      <c r="N148" s="84"/>
      <c r="O148" s="84"/>
      <c r="P148" s="83"/>
    </row>
    <row r="149" spans="1:16">
      <c r="A149" s="82"/>
      <c r="B149" s="83"/>
      <c r="C149" s="83"/>
      <c r="D149" s="84"/>
      <c r="E149" s="84"/>
      <c r="F149" s="84"/>
      <c r="G149" s="84"/>
      <c r="H149" s="84"/>
      <c r="I149" s="84"/>
      <c r="J149" s="84"/>
      <c r="K149" s="84"/>
      <c r="L149" s="84"/>
      <c r="M149" s="84"/>
      <c r="N149" s="84"/>
      <c r="O149" s="84"/>
      <c r="P149" s="83"/>
    </row>
    <row r="150" spans="1:16">
      <c r="A150" s="82"/>
      <c r="B150" s="83"/>
      <c r="C150" s="83"/>
      <c r="D150" s="84"/>
      <c r="E150" s="84"/>
      <c r="F150" s="84"/>
      <c r="G150" s="84"/>
      <c r="H150" s="84"/>
      <c r="I150" s="84"/>
      <c r="J150" s="84"/>
      <c r="K150" s="84"/>
      <c r="L150" s="84"/>
      <c r="M150" s="84"/>
      <c r="N150" s="84"/>
      <c r="O150" s="84"/>
      <c r="P150" s="83"/>
    </row>
    <row r="151" spans="1:16">
      <c r="A151" s="82"/>
      <c r="B151" s="83"/>
      <c r="C151" s="83"/>
      <c r="D151" s="84"/>
      <c r="E151" s="84"/>
      <c r="F151" s="84"/>
      <c r="G151" s="84"/>
      <c r="H151" s="84"/>
      <c r="I151" s="84"/>
      <c r="J151" s="84"/>
      <c r="K151" s="84"/>
      <c r="L151" s="84"/>
      <c r="M151" s="84"/>
      <c r="N151" s="84"/>
      <c r="O151" s="84"/>
      <c r="P151" s="83"/>
    </row>
    <row r="152" spans="1:16">
      <c r="A152" s="82"/>
      <c r="B152" s="83"/>
      <c r="C152" s="83"/>
      <c r="D152" s="84"/>
      <c r="E152" s="84"/>
      <c r="F152" s="84"/>
      <c r="G152" s="84"/>
      <c r="H152" s="84"/>
      <c r="I152" s="84"/>
      <c r="J152" s="84"/>
      <c r="K152" s="84"/>
      <c r="L152" s="84"/>
      <c r="M152" s="84"/>
      <c r="N152" s="84"/>
      <c r="O152" s="84"/>
      <c r="P152" s="83"/>
    </row>
    <row r="153" spans="1:16">
      <c r="A153" s="82"/>
      <c r="B153" s="83"/>
      <c r="C153" s="83"/>
      <c r="D153" s="84"/>
      <c r="E153" s="84"/>
      <c r="F153" s="84"/>
      <c r="G153" s="84"/>
      <c r="H153" s="84"/>
      <c r="I153" s="84"/>
      <c r="J153" s="84"/>
      <c r="K153" s="84"/>
      <c r="L153" s="84"/>
      <c r="M153" s="84"/>
      <c r="N153" s="84"/>
      <c r="O153" s="84"/>
      <c r="P153" s="83"/>
    </row>
    <row r="154" spans="1:16">
      <c r="A154" s="82"/>
      <c r="B154" s="83"/>
      <c r="C154" s="83"/>
      <c r="D154" s="84"/>
      <c r="E154" s="84"/>
      <c r="F154" s="84"/>
      <c r="G154" s="84"/>
      <c r="H154" s="84"/>
      <c r="I154" s="84"/>
      <c r="J154" s="84"/>
      <c r="K154" s="84"/>
      <c r="L154" s="84"/>
      <c r="M154" s="84"/>
      <c r="N154" s="84"/>
      <c r="O154" s="84"/>
      <c r="P154" s="83"/>
    </row>
    <row r="155" spans="1:16">
      <c r="A155" s="82"/>
      <c r="B155" s="83"/>
      <c r="C155" s="83"/>
      <c r="D155" s="84"/>
      <c r="E155" s="84"/>
      <c r="F155" s="84"/>
      <c r="G155" s="84"/>
      <c r="H155" s="84"/>
      <c r="I155" s="84"/>
      <c r="J155" s="84"/>
      <c r="K155" s="84"/>
      <c r="L155" s="84"/>
      <c r="M155" s="84"/>
      <c r="N155" s="84"/>
      <c r="O155" s="84"/>
      <c r="P155" s="83"/>
    </row>
    <row r="156" spans="1:16">
      <c r="A156" s="82"/>
      <c r="B156" s="83"/>
      <c r="C156" s="83"/>
      <c r="D156" s="84"/>
      <c r="E156" s="84"/>
      <c r="F156" s="84"/>
      <c r="G156" s="84"/>
      <c r="H156" s="84"/>
      <c r="I156" s="84"/>
      <c r="J156" s="84"/>
      <c r="K156" s="84"/>
      <c r="L156" s="84"/>
      <c r="M156" s="84"/>
      <c r="N156" s="84"/>
      <c r="O156" s="84"/>
      <c r="P156" s="83"/>
    </row>
    <row r="157" spans="1:16">
      <c r="A157" s="82"/>
      <c r="B157" s="83"/>
      <c r="C157" s="83"/>
      <c r="D157" s="84"/>
      <c r="E157" s="84"/>
      <c r="F157" s="84"/>
      <c r="G157" s="84"/>
      <c r="H157" s="84"/>
      <c r="I157" s="84"/>
      <c r="J157" s="84"/>
      <c r="K157" s="84"/>
      <c r="L157" s="84"/>
      <c r="M157" s="84"/>
      <c r="N157" s="84"/>
      <c r="O157" s="84"/>
      <c r="P157" s="83"/>
    </row>
    <row r="158" spans="1:16">
      <c r="A158" s="82"/>
      <c r="B158" s="83"/>
      <c r="C158" s="83"/>
      <c r="D158" s="84"/>
      <c r="E158" s="84"/>
      <c r="F158" s="84"/>
      <c r="G158" s="84"/>
      <c r="H158" s="84"/>
      <c r="I158" s="84"/>
      <c r="J158" s="84"/>
      <c r="K158" s="84"/>
      <c r="L158" s="84"/>
      <c r="M158" s="84"/>
      <c r="N158" s="84"/>
      <c r="O158" s="84"/>
      <c r="P158" s="83"/>
    </row>
    <row r="159" spans="1:16">
      <c r="A159" s="82"/>
      <c r="B159" s="83"/>
      <c r="C159" s="83"/>
      <c r="D159" s="84"/>
      <c r="E159" s="84"/>
      <c r="F159" s="84"/>
      <c r="G159" s="84"/>
      <c r="H159" s="84"/>
      <c r="I159" s="84"/>
      <c r="J159" s="84"/>
      <c r="K159" s="84"/>
      <c r="L159" s="84"/>
      <c r="M159" s="84"/>
      <c r="N159" s="84"/>
      <c r="O159" s="84"/>
      <c r="P159" s="83"/>
    </row>
    <row r="160" spans="1:16">
      <c r="A160" s="82"/>
      <c r="B160" s="83"/>
      <c r="C160" s="83"/>
      <c r="D160" s="84"/>
      <c r="E160" s="84"/>
      <c r="F160" s="84"/>
      <c r="G160" s="84"/>
      <c r="H160" s="84"/>
      <c r="I160" s="84"/>
      <c r="J160" s="84"/>
      <c r="K160" s="84"/>
      <c r="L160" s="84"/>
      <c r="M160" s="84"/>
      <c r="N160" s="84"/>
      <c r="O160" s="84"/>
      <c r="P160" s="83"/>
    </row>
    <row r="161" spans="1:16">
      <c r="A161" s="82"/>
      <c r="B161" s="83"/>
      <c r="C161" s="83"/>
      <c r="D161" s="84"/>
      <c r="E161" s="84"/>
      <c r="F161" s="84"/>
      <c r="G161" s="84"/>
      <c r="H161" s="84"/>
      <c r="I161" s="84"/>
      <c r="J161" s="84"/>
      <c r="K161" s="84"/>
      <c r="L161" s="84"/>
      <c r="M161" s="84"/>
      <c r="N161" s="84"/>
      <c r="O161" s="84"/>
      <c r="P161" s="83"/>
    </row>
    <row r="162" spans="1:16">
      <c r="A162" s="82"/>
      <c r="B162" s="83"/>
      <c r="C162" s="83"/>
      <c r="D162" s="84"/>
      <c r="E162" s="84"/>
      <c r="F162" s="84"/>
      <c r="G162" s="84"/>
      <c r="H162" s="84"/>
      <c r="I162" s="84"/>
      <c r="J162" s="84"/>
      <c r="K162" s="84"/>
      <c r="L162" s="84"/>
      <c r="M162" s="84"/>
      <c r="N162" s="84"/>
      <c r="O162" s="84"/>
      <c r="P162" s="83"/>
    </row>
    <row r="163" spans="1:16">
      <c r="A163" s="82"/>
      <c r="B163" s="83"/>
      <c r="C163" s="83"/>
      <c r="D163" s="84"/>
      <c r="E163" s="84"/>
      <c r="F163" s="84"/>
      <c r="G163" s="84"/>
      <c r="H163" s="84"/>
      <c r="I163" s="84"/>
      <c r="J163" s="84"/>
      <c r="K163" s="84"/>
      <c r="L163" s="84"/>
      <c r="M163" s="84"/>
      <c r="N163" s="84"/>
      <c r="O163" s="84"/>
      <c r="P163" s="83"/>
    </row>
    <row r="164" spans="1:16">
      <c r="A164" s="82"/>
      <c r="B164" s="83"/>
      <c r="C164" s="83"/>
      <c r="D164" s="84"/>
      <c r="E164" s="84"/>
      <c r="F164" s="84"/>
      <c r="G164" s="84"/>
      <c r="H164" s="84"/>
      <c r="I164" s="84"/>
      <c r="J164" s="84"/>
      <c r="K164" s="84"/>
      <c r="L164" s="84"/>
      <c r="M164" s="84"/>
      <c r="N164" s="84"/>
      <c r="O164" s="84"/>
      <c r="P164" s="83"/>
    </row>
    <row r="165" spans="1:16">
      <c r="A165" s="82"/>
      <c r="B165" s="83"/>
      <c r="C165" s="83"/>
      <c r="D165" s="84"/>
      <c r="E165" s="84"/>
      <c r="F165" s="84"/>
      <c r="G165" s="84"/>
      <c r="H165" s="84"/>
      <c r="I165" s="84"/>
      <c r="J165" s="84"/>
      <c r="K165" s="84"/>
      <c r="L165" s="84"/>
      <c r="M165" s="84"/>
      <c r="N165" s="84"/>
      <c r="O165" s="84"/>
      <c r="P165" s="83"/>
    </row>
    <row r="166" spans="1:16">
      <c r="A166" s="82"/>
      <c r="B166" s="83"/>
      <c r="C166" s="83"/>
      <c r="D166" s="84"/>
      <c r="E166" s="84"/>
      <c r="F166" s="84"/>
      <c r="G166" s="84"/>
      <c r="H166" s="84"/>
      <c r="I166" s="84"/>
      <c r="J166" s="84"/>
      <c r="K166" s="84"/>
      <c r="L166" s="84"/>
      <c r="M166" s="84"/>
      <c r="N166" s="84"/>
      <c r="O166" s="84"/>
      <c r="P166" s="83"/>
    </row>
    <row r="167" spans="1:16">
      <c r="A167" s="82"/>
      <c r="B167" s="83"/>
      <c r="C167" s="83"/>
      <c r="D167" s="84"/>
      <c r="E167" s="84"/>
      <c r="F167" s="84"/>
      <c r="G167" s="84"/>
      <c r="H167" s="84"/>
      <c r="I167" s="84"/>
      <c r="J167" s="84"/>
      <c r="K167" s="84"/>
      <c r="L167" s="84"/>
      <c r="M167" s="84"/>
      <c r="N167" s="84"/>
      <c r="O167" s="84"/>
      <c r="P167" s="83"/>
    </row>
    <row r="168" spans="1:16">
      <c r="A168" s="82"/>
      <c r="B168" s="83"/>
      <c r="C168" s="83"/>
      <c r="D168" s="84"/>
      <c r="E168" s="84"/>
      <c r="F168" s="84"/>
      <c r="G168" s="84"/>
      <c r="H168" s="84"/>
      <c r="I168" s="84"/>
      <c r="J168" s="84"/>
      <c r="K168" s="84"/>
      <c r="L168" s="84"/>
      <c r="M168" s="84"/>
      <c r="N168" s="84"/>
      <c r="O168" s="84"/>
      <c r="P168" s="83"/>
    </row>
    <row r="169" spans="1:16">
      <c r="A169" s="82"/>
      <c r="B169" s="83"/>
      <c r="C169" s="83"/>
      <c r="D169" s="84"/>
      <c r="E169" s="84"/>
      <c r="F169" s="84"/>
      <c r="G169" s="84"/>
      <c r="H169" s="84"/>
      <c r="I169" s="84"/>
      <c r="J169" s="84"/>
      <c r="K169" s="84"/>
      <c r="L169" s="84"/>
      <c r="M169" s="84"/>
      <c r="N169" s="84"/>
      <c r="O169" s="84"/>
      <c r="P169" s="83"/>
    </row>
    <row r="170" spans="1:16">
      <c r="A170" s="82"/>
      <c r="B170" s="83"/>
      <c r="C170" s="83"/>
      <c r="D170" s="84"/>
      <c r="E170" s="84"/>
      <c r="F170" s="84"/>
      <c r="G170" s="84"/>
      <c r="H170" s="84"/>
      <c r="I170" s="84"/>
      <c r="J170" s="84"/>
      <c r="K170" s="84"/>
      <c r="L170" s="84"/>
      <c r="M170" s="84"/>
      <c r="N170" s="84"/>
      <c r="O170" s="84"/>
      <c r="P170" s="83"/>
    </row>
    <row r="171" spans="1:16">
      <c r="A171" s="82"/>
      <c r="B171" s="83"/>
      <c r="C171" s="83"/>
      <c r="D171" s="84"/>
      <c r="E171" s="84"/>
      <c r="F171" s="84"/>
      <c r="G171" s="84"/>
      <c r="H171" s="84"/>
      <c r="I171" s="84"/>
      <c r="J171" s="84"/>
      <c r="K171" s="84"/>
      <c r="L171" s="84"/>
      <c r="M171" s="84"/>
      <c r="N171" s="84"/>
      <c r="O171" s="84"/>
      <c r="P171" s="83"/>
    </row>
    <row r="172" spans="1:16">
      <c r="A172" s="82"/>
      <c r="B172" s="83"/>
      <c r="C172" s="83"/>
      <c r="D172" s="84"/>
      <c r="E172" s="84"/>
      <c r="F172" s="84"/>
      <c r="G172" s="84"/>
      <c r="H172" s="84"/>
      <c r="I172" s="84"/>
      <c r="J172" s="84"/>
      <c r="K172" s="84"/>
      <c r="L172" s="84"/>
      <c r="M172" s="84"/>
      <c r="N172" s="84"/>
      <c r="O172" s="84"/>
      <c r="P172" s="83"/>
    </row>
    <row r="173" spans="1:16">
      <c r="A173" s="82"/>
      <c r="B173" s="83"/>
      <c r="C173" s="83"/>
      <c r="D173" s="84"/>
      <c r="E173" s="84"/>
      <c r="F173" s="84"/>
      <c r="G173" s="84"/>
      <c r="H173" s="84"/>
      <c r="I173" s="84"/>
      <c r="J173" s="84"/>
      <c r="K173" s="84"/>
      <c r="L173" s="84"/>
      <c r="M173" s="84"/>
      <c r="N173" s="84"/>
      <c r="O173" s="84"/>
      <c r="P173" s="83"/>
    </row>
    <row r="174" spans="1:16">
      <c r="A174" s="82"/>
      <c r="B174" s="83"/>
      <c r="C174" s="83"/>
      <c r="D174" s="84"/>
      <c r="E174" s="84"/>
      <c r="F174" s="84"/>
      <c r="G174" s="84"/>
      <c r="H174" s="84"/>
      <c r="I174" s="84"/>
      <c r="J174" s="84"/>
      <c r="K174" s="84"/>
      <c r="L174" s="84"/>
      <c r="M174" s="84"/>
      <c r="N174" s="84"/>
      <c r="O174" s="84"/>
      <c r="P174" s="83"/>
    </row>
    <row r="175" spans="1:16">
      <c r="A175" s="82"/>
      <c r="B175" s="83"/>
      <c r="C175" s="83"/>
      <c r="D175" s="84"/>
      <c r="E175" s="84"/>
      <c r="F175" s="84"/>
      <c r="G175" s="84"/>
      <c r="H175" s="84"/>
      <c r="I175" s="84"/>
      <c r="J175" s="84"/>
      <c r="K175" s="84"/>
      <c r="L175" s="84"/>
      <c r="M175" s="84"/>
      <c r="N175" s="84"/>
      <c r="O175" s="84"/>
      <c r="P175" s="83"/>
    </row>
    <row r="176" spans="1:16">
      <c r="A176" s="82"/>
      <c r="B176" s="83"/>
      <c r="C176" s="83"/>
      <c r="D176" s="84"/>
      <c r="E176" s="84"/>
      <c r="F176" s="84"/>
      <c r="G176" s="84"/>
      <c r="H176" s="84"/>
      <c r="I176" s="84"/>
      <c r="J176" s="84"/>
      <c r="K176" s="84"/>
      <c r="L176" s="84"/>
      <c r="M176" s="84"/>
      <c r="N176" s="84"/>
      <c r="O176" s="84"/>
      <c r="P176" s="83"/>
    </row>
    <row r="177" spans="1:16">
      <c r="A177" s="82"/>
      <c r="B177" s="83"/>
      <c r="C177" s="83"/>
      <c r="D177" s="84"/>
      <c r="E177" s="84"/>
      <c r="F177" s="84"/>
      <c r="G177" s="84"/>
      <c r="H177" s="84"/>
      <c r="I177" s="84"/>
      <c r="J177" s="84"/>
      <c r="K177" s="84"/>
      <c r="L177" s="84"/>
      <c r="M177" s="84"/>
      <c r="N177" s="84"/>
      <c r="O177" s="84"/>
      <c r="P177" s="83"/>
    </row>
    <row r="178" spans="1:16">
      <c r="A178" s="82"/>
      <c r="B178" s="83"/>
      <c r="C178" s="83"/>
      <c r="D178" s="84"/>
      <c r="E178" s="84"/>
      <c r="F178" s="84"/>
      <c r="G178" s="84"/>
      <c r="H178" s="84"/>
      <c r="I178" s="84"/>
      <c r="J178" s="84"/>
      <c r="K178" s="84"/>
      <c r="L178" s="84"/>
      <c r="M178" s="84"/>
      <c r="N178" s="84"/>
      <c r="O178" s="84"/>
      <c r="P178" s="83"/>
    </row>
    <row r="179" spans="1:16">
      <c r="A179" s="82"/>
      <c r="B179" s="83"/>
      <c r="C179" s="83"/>
      <c r="D179" s="84"/>
      <c r="E179" s="84"/>
      <c r="F179" s="84"/>
      <c r="G179" s="84"/>
      <c r="H179" s="84"/>
      <c r="I179" s="84"/>
      <c r="J179" s="84"/>
      <c r="K179" s="84"/>
      <c r="L179" s="84"/>
      <c r="M179" s="84"/>
      <c r="N179" s="84"/>
      <c r="O179" s="84"/>
      <c r="P179" s="83"/>
    </row>
    <row r="180" spans="1:16">
      <c r="A180" s="82"/>
      <c r="B180" s="83"/>
      <c r="C180" s="83"/>
      <c r="D180" s="84"/>
      <c r="E180" s="84"/>
      <c r="F180" s="84"/>
      <c r="G180" s="84"/>
      <c r="H180" s="84"/>
      <c r="I180" s="84"/>
      <c r="J180" s="84"/>
      <c r="K180" s="84"/>
      <c r="L180" s="84"/>
      <c r="M180" s="84"/>
      <c r="N180" s="84"/>
      <c r="O180" s="84"/>
      <c r="P180" s="83"/>
    </row>
    <row r="181" spans="1:16">
      <c r="A181" s="82"/>
      <c r="B181" s="83"/>
      <c r="C181" s="83"/>
      <c r="D181" s="84"/>
      <c r="E181" s="84"/>
      <c r="F181" s="84"/>
      <c r="G181" s="84"/>
      <c r="H181" s="84"/>
      <c r="I181" s="84"/>
      <c r="J181" s="84"/>
      <c r="K181" s="84"/>
      <c r="L181" s="84"/>
      <c r="M181" s="84"/>
      <c r="N181" s="84"/>
      <c r="O181" s="84"/>
      <c r="P181" s="83"/>
    </row>
    <row r="182" spans="1:16">
      <c r="A182" s="82"/>
      <c r="B182" s="83"/>
      <c r="C182" s="83"/>
      <c r="D182" s="84"/>
      <c r="E182" s="84"/>
      <c r="F182" s="84"/>
      <c r="G182" s="84"/>
      <c r="H182" s="84"/>
      <c r="I182" s="84"/>
      <c r="J182" s="84"/>
      <c r="K182" s="84"/>
      <c r="L182" s="84"/>
      <c r="M182" s="84"/>
      <c r="N182" s="84"/>
      <c r="O182" s="84"/>
      <c r="P182" s="83"/>
    </row>
    <row r="183" spans="1:16">
      <c r="A183" s="82"/>
      <c r="B183" s="83"/>
      <c r="C183" s="83"/>
      <c r="D183" s="84"/>
      <c r="E183" s="84"/>
      <c r="F183" s="84"/>
      <c r="G183" s="84"/>
      <c r="H183" s="84"/>
      <c r="I183" s="84"/>
      <c r="J183" s="84"/>
      <c r="K183" s="84"/>
      <c r="L183" s="84"/>
      <c r="M183" s="84"/>
      <c r="N183" s="84"/>
      <c r="O183" s="84"/>
      <c r="P183" s="83"/>
    </row>
    <row r="184" spans="1:16">
      <c r="A184" s="82"/>
      <c r="B184" s="83"/>
      <c r="C184" s="83"/>
      <c r="D184" s="84"/>
      <c r="E184" s="84"/>
      <c r="F184" s="84"/>
      <c r="G184" s="84"/>
      <c r="H184" s="84"/>
      <c r="I184" s="84"/>
      <c r="J184" s="84"/>
      <c r="K184" s="84"/>
      <c r="L184" s="84"/>
      <c r="M184" s="84"/>
      <c r="N184" s="84"/>
      <c r="O184" s="84"/>
      <c r="P184" s="83"/>
    </row>
    <row r="185" spans="1:16">
      <c r="A185" s="82"/>
      <c r="B185" s="83"/>
      <c r="C185" s="83"/>
      <c r="D185" s="84"/>
      <c r="E185" s="84"/>
      <c r="F185" s="84"/>
      <c r="G185" s="84"/>
      <c r="H185" s="84"/>
      <c r="I185" s="84"/>
      <c r="J185" s="84"/>
      <c r="K185" s="84"/>
      <c r="L185" s="84"/>
      <c r="M185" s="84"/>
      <c r="N185" s="84"/>
      <c r="O185" s="84"/>
      <c r="P185" s="83"/>
    </row>
    <row r="186" spans="1:16">
      <c r="A186" s="82"/>
      <c r="B186" s="83"/>
      <c r="C186" s="83"/>
      <c r="D186" s="84"/>
      <c r="E186" s="84"/>
      <c r="F186" s="84"/>
      <c r="G186" s="84"/>
      <c r="H186" s="84"/>
      <c r="I186" s="84"/>
      <c r="J186" s="84"/>
      <c r="K186" s="84"/>
      <c r="L186" s="84"/>
      <c r="M186" s="84"/>
      <c r="N186" s="84"/>
      <c r="O186" s="84"/>
      <c r="P186" s="83"/>
    </row>
    <row r="187" spans="1:16">
      <c r="A187" s="82"/>
      <c r="B187" s="83"/>
      <c r="C187" s="83"/>
      <c r="D187" s="84"/>
      <c r="E187" s="84"/>
      <c r="F187" s="84"/>
      <c r="G187" s="84"/>
      <c r="H187" s="84"/>
      <c r="I187" s="84"/>
      <c r="J187" s="84"/>
      <c r="K187" s="84"/>
      <c r="L187" s="84"/>
      <c r="M187" s="84"/>
      <c r="N187" s="84"/>
      <c r="O187" s="84"/>
      <c r="P187" s="83"/>
    </row>
    <row r="188" spans="1:16">
      <c r="A188" s="82"/>
      <c r="B188" s="83"/>
      <c r="C188" s="83"/>
      <c r="D188" s="84"/>
      <c r="E188" s="84"/>
      <c r="F188" s="84"/>
      <c r="G188" s="84"/>
      <c r="H188" s="84"/>
      <c r="I188" s="84"/>
      <c r="J188" s="84"/>
      <c r="K188" s="84"/>
      <c r="L188" s="84"/>
      <c r="M188" s="84"/>
      <c r="N188" s="84"/>
      <c r="O188" s="84"/>
      <c r="P188" s="83"/>
    </row>
    <row r="189" spans="1:16">
      <c r="A189" s="82"/>
      <c r="B189" s="83"/>
      <c r="C189" s="83"/>
      <c r="D189" s="84"/>
      <c r="E189" s="84"/>
      <c r="F189" s="84"/>
      <c r="G189" s="84"/>
      <c r="H189" s="84"/>
      <c r="I189" s="84"/>
      <c r="J189" s="84"/>
      <c r="K189" s="84"/>
      <c r="L189" s="84"/>
      <c r="M189" s="84"/>
      <c r="N189" s="84"/>
      <c r="O189" s="84"/>
      <c r="P189" s="83"/>
    </row>
    <row r="190" spans="1:16">
      <c r="A190" s="82"/>
      <c r="B190" s="83"/>
      <c r="C190" s="83"/>
      <c r="D190" s="84"/>
      <c r="E190" s="84"/>
      <c r="F190" s="84"/>
      <c r="G190" s="84"/>
      <c r="H190" s="84"/>
      <c r="I190" s="84"/>
      <c r="J190" s="84"/>
      <c r="K190" s="84"/>
      <c r="L190" s="84"/>
      <c r="M190" s="84"/>
      <c r="N190" s="84"/>
      <c r="O190" s="84"/>
      <c r="P190" s="83"/>
    </row>
    <row r="191" spans="1:16">
      <c r="A191" s="82"/>
      <c r="B191" s="83"/>
      <c r="C191" s="83"/>
      <c r="D191" s="84"/>
      <c r="E191" s="84"/>
      <c r="F191" s="84"/>
      <c r="G191" s="84"/>
      <c r="H191" s="84"/>
      <c r="I191" s="84"/>
      <c r="J191" s="84"/>
      <c r="K191" s="84"/>
      <c r="L191" s="84"/>
      <c r="M191" s="84"/>
      <c r="N191" s="84"/>
      <c r="O191" s="84"/>
      <c r="P191" s="83"/>
    </row>
    <row r="192" spans="1:16">
      <c r="A192" s="82"/>
      <c r="B192" s="83"/>
      <c r="C192" s="83"/>
      <c r="D192" s="84"/>
      <c r="E192" s="84"/>
      <c r="F192" s="84"/>
      <c r="G192" s="84"/>
      <c r="H192" s="84"/>
      <c r="I192" s="84"/>
      <c r="J192" s="84"/>
      <c r="K192" s="84"/>
      <c r="L192" s="84"/>
      <c r="M192" s="84"/>
      <c r="N192" s="84"/>
      <c r="O192" s="84"/>
      <c r="P192" s="83"/>
    </row>
    <row r="193" spans="1:16">
      <c r="A193" s="82"/>
      <c r="B193" s="83"/>
      <c r="C193" s="83"/>
      <c r="D193" s="84"/>
      <c r="E193" s="84"/>
      <c r="F193" s="84"/>
      <c r="G193" s="84"/>
      <c r="H193" s="84"/>
      <c r="I193" s="84"/>
      <c r="J193" s="84"/>
      <c r="K193" s="84"/>
      <c r="L193" s="84"/>
      <c r="M193" s="84"/>
      <c r="N193" s="84"/>
      <c r="O193" s="84"/>
      <c r="P193" s="83"/>
    </row>
    <row r="194" spans="1:16">
      <c r="A194" s="82"/>
      <c r="B194" s="83"/>
      <c r="C194" s="83"/>
      <c r="D194" s="84"/>
      <c r="E194" s="84"/>
      <c r="F194" s="84"/>
      <c r="G194" s="84"/>
      <c r="H194" s="84"/>
      <c r="I194" s="84"/>
      <c r="J194" s="84"/>
      <c r="K194" s="84"/>
      <c r="L194" s="84"/>
      <c r="M194" s="84"/>
      <c r="N194" s="84"/>
      <c r="O194" s="84"/>
      <c r="P194" s="83"/>
    </row>
    <row r="195" spans="1:16">
      <c r="A195" s="82"/>
      <c r="B195" s="83"/>
      <c r="C195" s="83"/>
      <c r="D195" s="84"/>
      <c r="E195" s="84"/>
      <c r="F195" s="84"/>
      <c r="G195" s="84"/>
      <c r="H195" s="84"/>
      <c r="I195" s="84"/>
      <c r="J195" s="84"/>
      <c r="K195" s="84"/>
      <c r="L195" s="84"/>
      <c r="M195" s="84"/>
      <c r="N195" s="84"/>
      <c r="O195" s="84"/>
      <c r="P195" s="83"/>
    </row>
    <row r="196" spans="1:16">
      <c r="A196" s="82"/>
      <c r="B196" s="83"/>
      <c r="C196" s="83"/>
      <c r="D196" s="84"/>
      <c r="E196" s="84"/>
      <c r="F196" s="84"/>
      <c r="G196" s="84"/>
      <c r="H196" s="84"/>
      <c r="I196" s="84"/>
      <c r="J196" s="84"/>
      <c r="K196" s="84"/>
      <c r="L196" s="84"/>
      <c r="M196" s="84"/>
      <c r="N196" s="84"/>
      <c r="O196" s="84"/>
      <c r="P196" s="83"/>
    </row>
    <row r="197" spans="1:16">
      <c r="A197" s="82"/>
      <c r="B197" s="83"/>
      <c r="C197" s="83"/>
      <c r="D197" s="84"/>
      <c r="E197" s="84"/>
      <c r="F197" s="84"/>
      <c r="G197" s="84"/>
      <c r="H197" s="84"/>
      <c r="I197" s="84"/>
      <c r="J197" s="84"/>
      <c r="K197" s="84"/>
      <c r="L197" s="84"/>
      <c r="M197" s="84"/>
      <c r="N197" s="84"/>
      <c r="O197" s="84"/>
      <c r="P197" s="83"/>
    </row>
    <row r="198" spans="1:16">
      <c r="A198" s="82"/>
      <c r="B198" s="83"/>
      <c r="C198" s="83"/>
      <c r="D198" s="84"/>
      <c r="E198" s="84"/>
      <c r="F198" s="84"/>
      <c r="G198" s="84"/>
      <c r="H198" s="84"/>
      <c r="I198" s="84"/>
      <c r="J198" s="84"/>
      <c r="K198" s="84"/>
      <c r="L198" s="84"/>
      <c r="M198" s="84"/>
      <c r="N198" s="84"/>
      <c r="O198" s="84"/>
      <c r="P198" s="83"/>
    </row>
    <row r="199" spans="1:16">
      <c r="A199" s="82"/>
      <c r="B199" s="83"/>
      <c r="C199" s="83"/>
      <c r="D199" s="84"/>
      <c r="E199" s="84"/>
      <c r="F199" s="84"/>
      <c r="G199" s="84"/>
      <c r="H199" s="84"/>
      <c r="I199" s="84"/>
      <c r="J199" s="84"/>
      <c r="K199" s="84"/>
      <c r="L199" s="84"/>
      <c r="M199" s="84"/>
      <c r="N199" s="84"/>
      <c r="O199" s="84"/>
      <c r="P199" s="83"/>
    </row>
    <row r="200" spans="1:16">
      <c r="A200" s="82"/>
      <c r="B200" s="83"/>
      <c r="C200" s="83"/>
      <c r="D200" s="84"/>
      <c r="E200" s="84"/>
      <c r="F200" s="84"/>
      <c r="G200" s="84"/>
      <c r="H200" s="84"/>
      <c r="I200" s="84"/>
      <c r="J200" s="84"/>
      <c r="K200" s="84"/>
      <c r="L200" s="84"/>
      <c r="M200" s="84"/>
      <c r="N200" s="84"/>
      <c r="O200" s="84"/>
      <c r="P200" s="83"/>
    </row>
    <row r="201" spans="1:16">
      <c r="A201" s="82"/>
      <c r="B201" s="83"/>
      <c r="C201" s="83"/>
      <c r="D201" s="84"/>
      <c r="E201" s="84"/>
      <c r="F201" s="84"/>
      <c r="G201" s="84"/>
      <c r="H201" s="84"/>
      <c r="I201" s="84"/>
      <c r="J201" s="84"/>
      <c r="K201" s="84"/>
      <c r="L201" s="84"/>
      <c r="M201" s="84"/>
      <c r="N201" s="84"/>
      <c r="O201" s="84"/>
      <c r="P201" s="83"/>
    </row>
    <row r="202" spans="1:16">
      <c r="A202" s="82"/>
      <c r="B202" s="83"/>
      <c r="C202" s="83"/>
      <c r="D202" s="84"/>
      <c r="E202" s="84"/>
      <c r="F202" s="84"/>
      <c r="G202" s="84"/>
      <c r="H202" s="84"/>
      <c r="I202" s="84"/>
      <c r="J202" s="84"/>
      <c r="K202" s="84"/>
      <c r="L202" s="84"/>
      <c r="M202" s="84"/>
      <c r="N202" s="84"/>
      <c r="O202" s="84"/>
      <c r="P202" s="83"/>
    </row>
    <row r="203" spans="1:16">
      <c r="A203" s="82"/>
      <c r="B203" s="83"/>
      <c r="C203" s="83"/>
      <c r="D203" s="84"/>
      <c r="E203" s="84"/>
      <c r="F203" s="84"/>
      <c r="G203" s="84"/>
      <c r="H203" s="84"/>
      <c r="I203" s="84"/>
      <c r="J203" s="84"/>
      <c r="K203" s="84"/>
      <c r="L203" s="84"/>
      <c r="M203" s="84"/>
      <c r="N203" s="84"/>
      <c r="O203" s="84"/>
      <c r="P203" s="83"/>
    </row>
    <row r="204" spans="1:16">
      <c r="A204" s="82"/>
      <c r="B204" s="83"/>
      <c r="C204" s="83"/>
      <c r="D204" s="84"/>
      <c r="E204" s="84"/>
      <c r="F204" s="84"/>
      <c r="G204" s="84"/>
      <c r="H204" s="84"/>
      <c r="I204" s="84"/>
      <c r="J204" s="84"/>
      <c r="K204" s="84"/>
      <c r="L204" s="84"/>
      <c r="M204" s="84"/>
      <c r="N204" s="84"/>
      <c r="O204" s="84"/>
      <c r="P204" s="83"/>
    </row>
    <row r="205" spans="1:16">
      <c r="A205" s="82"/>
      <c r="B205" s="83"/>
      <c r="C205" s="83"/>
      <c r="D205" s="84"/>
      <c r="E205" s="84"/>
      <c r="F205" s="84"/>
      <c r="G205" s="84"/>
      <c r="H205" s="84"/>
      <c r="I205" s="84"/>
      <c r="J205" s="84"/>
      <c r="K205" s="84"/>
      <c r="L205" s="84"/>
      <c r="M205" s="84"/>
      <c r="N205" s="84"/>
      <c r="O205" s="84"/>
      <c r="P205" s="83"/>
    </row>
    <row r="206" spans="1:16">
      <c r="A206" s="82"/>
      <c r="B206" s="83"/>
      <c r="C206" s="83"/>
      <c r="D206" s="84"/>
      <c r="E206" s="84"/>
      <c r="F206" s="84"/>
      <c r="G206" s="84"/>
      <c r="H206" s="84"/>
      <c r="I206" s="84"/>
      <c r="J206" s="84"/>
      <c r="K206" s="84"/>
      <c r="L206" s="84"/>
      <c r="M206" s="84"/>
      <c r="N206" s="84"/>
      <c r="O206" s="84"/>
      <c r="P206" s="83"/>
    </row>
    <row r="207" spans="1:16">
      <c r="A207" s="82"/>
      <c r="B207" s="83"/>
      <c r="C207" s="83"/>
      <c r="D207" s="84"/>
      <c r="E207" s="84"/>
      <c r="F207" s="84"/>
      <c r="G207" s="84"/>
      <c r="H207" s="84"/>
      <c r="I207" s="84"/>
      <c r="J207" s="84"/>
      <c r="K207" s="84"/>
      <c r="L207" s="84"/>
      <c r="M207" s="84"/>
      <c r="N207" s="84"/>
      <c r="O207" s="84"/>
      <c r="P207" s="83"/>
    </row>
    <row r="208" spans="1:16">
      <c r="A208" s="82"/>
      <c r="B208" s="83"/>
      <c r="C208" s="83"/>
      <c r="D208" s="84"/>
      <c r="E208" s="84"/>
      <c r="F208" s="84"/>
      <c r="G208" s="84"/>
      <c r="H208" s="84"/>
      <c r="I208" s="84"/>
      <c r="J208" s="84"/>
      <c r="K208" s="84"/>
      <c r="L208" s="84"/>
      <c r="M208" s="84"/>
      <c r="N208" s="84"/>
      <c r="O208" s="84"/>
      <c r="P208" s="83"/>
    </row>
    <row r="209" spans="1:16">
      <c r="A209" s="82"/>
      <c r="B209" s="83"/>
      <c r="C209" s="83"/>
      <c r="D209" s="84"/>
      <c r="E209" s="84"/>
      <c r="F209" s="84"/>
      <c r="G209" s="84"/>
      <c r="H209" s="84"/>
      <c r="I209" s="84"/>
      <c r="J209" s="84"/>
      <c r="K209" s="84"/>
      <c r="L209" s="84"/>
      <c r="M209" s="84"/>
      <c r="N209" s="84"/>
      <c r="O209" s="84"/>
      <c r="P209" s="83"/>
    </row>
    <row r="210" spans="1:16">
      <c r="A210" s="82"/>
      <c r="B210" s="83"/>
      <c r="C210" s="83"/>
      <c r="D210" s="84"/>
      <c r="E210" s="84"/>
      <c r="F210" s="84"/>
      <c r="G210" s="84"/>
      <c r="H210" s="84"/>
      <c r="I210" s="84"/>
      <c r="J210" s="84"/>
      <c r="K210" s="84"/>
      <c r="L210" s="84"/>
      <c r="M210" s="84"/>
      <c r="N210" s="84"/>
      <c r="O210" s="84"/>
      <c r="P210" s="83"/>
    </row>
    <row r="211" spans="1:16">
      <c r="A211" s="82"/>
      <c r="B211" s="83"/>
      <c r="C211" s="83"/>
      <c r="D211" s="84"/>
      <c r="E211" s="84"/>
      <c r="F211" s="84"/>
      <c r="G211" s="84"/>
      <c r="H211" s="84"/>
      <c r="I211" s="84"/>
      <c r="J211" s="84"/>
      <c r="K211" s="84"/>
      <c r="L211" s="84"/>
      <c r="M211" s="84"/>
      <c r="N211" s="84"/>
      <c r="O211" s="84"/>
      <c r="P211" s="83"/>
    </row>
    <row r="212" spans="1:16">
      <c r="A212" s="82"/>
      <c r="B212" s="83"/>
      <c r="C212" s="83"/>
      <c r="D212" s="84"/>
      <c r="E212" s="84"/>
      <c r="F212" s="84"/>
      <c r="G212" s="84"/>
      <c r="H212" s="84"/>
      <c r="I212" s="84"/>
      <c r="J212" s="84"/>
      <c r="K212" s="84"/>
      <c r="L212" s="84"/>
      <c r="M212" s="84"/>
      <c r="N212" s="84"/>
      <c r="O212" s="84"/>
      <c r="P212" s="83"/>
    </row>
    <row r="213" spans="1:16">
      <c r="A213" s="82"/>
      <c r="B213" s="83"/>
      <c r="C213" s="83"/>
      <c r="D213" s="84"/>
      <c r="E213" s="84"/>
      <c r="F213" s="84"/>
      <c r="G213" s="84"/>
      <c r="H213" s="84"/>
      <c r="I213" s="84"/>
      <c r="J213" s="84"/>
      <c r="K213" s="84"/>
      <c r="L213" s="84"/>
      <c r="M213" s="84"/>
      <c r="N213" s="84"/>
      <c r="O213" s="84"/>
      <c r="P213" s="83"/>
    </row>
    <row r="214" spans="1:16">
      <c r="A214" s="82"/>
      <c r="B214" s="83"/>
      <c r="C214" s="83"/>
      <c r="D214" s="84"/>
      <c r="E214" s="84"/>
      <c r="F214" s="84"/>
      <c r="G214" s="84"/>
      <c r="H214" s="84"/>
      <c r="I214" s="84"/>
      <c r="J214" s="84"/>
      <c r="K214" s="84"/>
      <c r="L214" s="84"/>
      <c r="M214" s="84"/>
      <c r="N214" s="84"/>
      <c r="O214" s="84"/>
      <c r="P214" s="83"/>
    </row>
    <row r="215" spans="1:16">
      <c r="A215" s="82"/>
      <c r="B215" s="83"/>
      <c r="C215" s="83"/>
      <c r="D215" s="84"/>
      <c r="E215" s="84"/>
      <c r="F215" s="84"/>
      <c r="G215" s="84"/>
      <c r="H215" s="84"/>
      <c r="I215" s="84"/>
      <c r="J215" s="84"/>
      <c r="K215" s="84"/>
      <c r="L215" s="84"/>
      <c r="M215" s="84"/>
      <c r="N215" s="84"/>
      <c r="O215" s="84"/>
      <c r="P215" s="83"/>
    </row>
    <row r="216" spans="1:16">
      <c r="A216" s="82"/>
      <c r="B216" s="83"/>
      <c r="C216" s="83"/>
      <c r="D216" s="84"/>
      <c r="E216" s="84"/>
      <c r="F216" s="84"/>
      <c r="G216" s="84"/>
      <c r="H216" s="84"/>
      <c r="I216" s="84"/>
      <c r="J216" s="84"/>
      <c r="K216" s="84"/>
      <c r="L216" s="84"/>
      <c r="M216" s="84"/>
      <c r="N216" s="84"/>
      <c r="O216" s="84"/>
      <c r="P216" s="83"/>
    </row>
    <row r="217" spans="1:16">
      <c r="A217" s="82"/>
      <c r="B217" s="83"/>
      <c r="C217" s="83"/>
      <c r="D217" s="84"/>
      <c r="E217" s="84"/>
      <c r="F217" s="84"/>
      <c r="G217" s="84"/>
      <c r="H217" s="84"/>
      <c r="I217" s="84"/>
      <c r="J217" s="84"/>
      <c r="K217" s="84"/>
      <c r="L217" s="84"/>
      <c r="M217" s="84"/>
      <c r="N217" s="84"/>
      <c r="O217" s="84"/>
      <c r="P217" s="83"/>
    </row>
    <row r="218" spans="1:16">
      <c r="A218" s="82"/>
      <c r="B218" s="83"/>
      <c r="C218" s="83"/>
      <c r="D218" s="84"/>
      <c r="E218" s="84"/>
      <c r="F218" s="84"/>
      <c r="G218" s="84"/>
      <c r="H218" s="84"/>
      <c r="I218" s="84"/>
      <c r="J218" s="84"/>
      <c r="K218" s="84"/>
      <c r="L218" s="84"/>
      <c r="M218" s="84"/>
      <c r="N218" s="84"/>
      <c r="O218" s="84"/>
      <c r="P218" s="83"/>
    </row>
    <row r="219" spans="1:16">
      <c r="A219" s="82"/>
      <c r="B219" s="83"/>
      <c r="C219" s="83"/>
      <c r="D219" s="84"/>
      <c r="E219" s="84"/>
      <c r="F219" s="84"/>
      <c r="G219" s="84"/>
      <c r="H219" s="84"/>
      <c r="I219" s="84"/>
      <c r="J219" s="84"/>
      <c r="K219" s="84"/>
      <c r="L219" s="84"/>
      <c r="M219" s="84"/>
      <c r="N219" s="84"/>
      <c r="O219" s="84"/>
      <c r="P219" s="83"/>
    </row>
    <row r="220" spans="1:16">
      <c r="A220" s="82"/>
      <c r="B220" s="83"/>
      <c r="C220" s="83"/>
      <c r="D220" s="84"/>
      <c r="E220" s="84"/>
      <c r="F220" s="84"/>
      <c r="G220" s="84"/>
      <c r="H220" s="84"/>
      <c r="I220" s="84"/>
      <c r="J220" s="84"/>
      <c r="K220" s="84"/>
      <c r="L220" s="84"/>
      <c r="M220" s="84"/>
      <c r="N220" s="84"/>
      <c r="O220" s="84"/>
      <c r="P220" s="83"/>
    </row>
    <row r="221" spans="1:16">
      <c r="A221" s="82"/>
      <c r="B221" s="83"/>
      <c r="C221" s="83"/>
      <c r="D221" s="84"/>
      <c r="E221" s="84"/>
      <c r="F221" s="84"/>
      <c r="G221" s="84"/>
      <c r="H221" s="84"/>
      <c r="I221" s="84"/>
      <c r="J221" s="84"/>
      <c r="K221" s="84"/>
      <c r="L221" s="84"/>
      <c r="M221" s="84"/>
      <c r="N221" s="84"/>
      <c r="O221" s="84"/>
      <c r="P221" s="83"/>
    </row>
    <row r="222" spans="1:16">
      <c r="A222" s="82"/>
      <c r="B222" s="83"/>
      <c r="C222" s="83"/>
      <c r="D222" s="84"/>
      <c r="E222" s="84"/>
      <c r="F222" s="84"/>
      <c r="G222" s="84"/>
      <c r="H222" s="84"/>
      <c r="I222" s="84"/>
      <c r="J222" s="84"/>
      <c r="K222" s="84"/>
      <c r="L222" s="84"/>
      <c r="M222" s="84"/>
      <c r="N222" s="84"/>
      <c r="O222" s="84"/>
      <c r="P222" s="83"/>
    </row>
    <row r="223" spans="1:16">
      <c r="A223" s="82"/>
      <c r="B223" s="83"/>
      <c r="C223" s="83"/>
      <c r="D223" s="84"/>
      <c r="E223" s="84"/>
      <c r="F223" s="84"/>
      <c r="G223" s="84"/>
      <c r="H223" s="84"/>
      <c r="I223" s="84"/>
      <c r="J223" s="84"/>
      <c r="K223" s="84"/>
      <c r="L223" s="84"/>
      <c r="M223" s="84"/>
      <c r="N223" s="84"/>
      <c r="O223" s="84"/>
      <c r="P223" s="83"/>
    </row>
    <row r="224" spans="1:16">
      <c r="A224" s="82"/>
      <c r="B224" s="83"/>
      <c r="C224" s="83"/>
      <c r="D224" s="84"/>
      <c r="E224" s="84"/>
      <c r="F224" s="84"/>
      <c r="G224" s="84"/>
      <c r="H224" s="84"/>
      <c r="I224" s="84"/>
      <c r="J224" s="84"/>
      <c r="K224" s="84"/>
      <c r="L224" s="84"/>
      <c r="M224" s="84"/>
      <c r="N224" s="84"/>
      <c r="O224" s="84"/>
      <c r="P224" s="83"/>
    </row>
    <row r="225" spans="1:16">
      <c r="A225" s="82"/>
      <c r="B225" s="83"/>
      <c r="C225" s="83"/>
      <c r="D225" s="84"/>
      <c r="E225" s="84"/>
      <c r="F225" s="84"/>
      <c r="G225" s="84"/>
      <c r="H225" s="84"/>
      <c r="I225" s="84"/>
      <c r="J225" s="84"/>
      <c r="K225" s="84"/>
      <c r="L225" s="84"/>
      <c r="M225" s="84"/>
      <c r="N225" s="84"/>
      <c r="O225" s="84"/>
      <c r="P225" s="83"/>
    </row>
    <row r="226" spans="1:16">
      <c r="A226" s="82"/>
      <c r="B226" s="83"/>
      <c r="C226" s="83"/>
      <c r="D226" s="84"/>
      <c r="E226" s="84"/>
      <c r="F226" s="84"/>
      <c r="G226" s="84"/>
      <c r="H226" s="84"/>
      <c r="I226" s="84"/>
      <c r="J226" s="84"/>
      <c r="K226" s="84"/>
      <c r="L226" s="84"/>
      <c r="M226" s="84"/>
      <c r="N226" s="84"/>
      <c r="O226" s="84"/>
      <c r="P226" s="83"/>
    </row>
    <row r="227" spans="1:16">
      <c r="A227" s="82"/>
      <c r="B227" s="83"/>
      <c r="C227" s="83"/>
      <c r="D227" s="84"/>
      <c r="E227" s="84"/>
      <c r="F227" s="84"/>
      <c r="G227" s="84"/>
      <c r="H227" s="84"/>
      <c r="I227" s="84"/>
      <c r="J227" s="84"/>
      <c r="K227" s="84"/>
      <c r="L227" s="84"/>
      <c r="M227" s="84"/>
      <c r="N227" s="84"/>
      <c r="O227" s="84"/>
      <c r="P227" s="83"/>
    </row>
    <row r="228" spans="1:16">
      <c r="A228" s="82"/>
      <c r="B228" s="83"/>
      <c r="C228" s="83"/>
      <c r="D228" s="84"/>
      <c r="E228" s="84"/>
      <c r="F228" s="84"/>
      <c r="G228" s="84"/>
      <c r="H228" s="84"/>
      <c r="I228" s="84"/>
      <c r="J228" s="84"/>
      <c r="K228" s="84"/>
      <c r="L228" s="84"/>
      <c r="M228" s="84"/>
      <c r="N228" s="84"/>
      <c r="O228" s="84"/>
      <c r="P228" s="83"/>
    </row>
    <row r="229" spans="1:16">
      <c r="A229" s="82"/>
      <c r="B229" s="83"/>
      <c r="C229" s="83"/>
      <c r="D229" s="84"/>
      <c r="E229" s="84"/>
      <c r="F229" s="84"/>
      <c r="G229" s="84"/>
      <c r="H229" s="84"/>
      <c r="I229" s="84"/>
      <c r="J229" s="84"/>
      <c r="K229" s="84"/>
      <c r="L229" s="84"/>
      <c r="M229" s="84"/>
      <c r="N229" s="84"/>
      <c r="O229" s="84"/>
      <c r="P229" s="83"/>
    </row>
    <row r="230" spans="1:16">
      <c r="A230" s="82"/>
      <c r="B230" s="83"/>
      <c r="C230" s="83"/>
      <c r="D230" s="84"/>
      <c r="E230" s="84"/>
      <c r="F230" s="84"/>
      <c r="G230" s="84"/>
      <c r="H230" s="84"/>
      <c r="I230" s="84"/>
      <c r="J230" s="84"/>
      <c r="K230" s="84"/>
      <c r="L230" s="84"/>
      <c r="M230" s="84"/>
      <c r="N230" s="84"/>
      <c r="O230" s="84"/>
      <c r="P230" s="83"/>
    </row>
    <row r="231" spans="1:16">
      <c r="A231" s="82"/>
      <c r="B231" s="83"/>
      <c r="C231" s="83"/>
      <c r="D231" s="84"/>
      <c r="E231" s="84"/>
      <c r="F231" s="84"/>
      <c r="G231" s="84"/>
      <c r="H231" s="84"/>
      <c r="I231" s="84"/>
      <c r="J231" s="84"/>
      <c r="K231" s="84"/>
      <c r="L231" s="84"/>
      <c r="M231" s="84"/>
      <c r="N231" s="84"/>
      <c r="O231" s="84"/>
      <c r="P231" s="83"/>
    </row>
    <row r="232" spans="1:16">
      <c r="A232" s="82"/>
      <c r="B232" s="83"/>
      <c r="C232" s="83"/>
      <c r="D232" s="84"/>
      <c r="E232" s="84"/>
      <c r="F232" s="84"/>
      <c r="G232" s="84"/>
      <c r="H232" s="84"/>
      <c r="I232" s="84"/>
      <c r="J232" s="84"/>
      <c r="K232" s="84"/>
      <c r="L232" s="84"/>
      <c r="M232" s="84"/>
      <c r="N232" s="84"/>
      <c r="O232" s="84"/>
      <c r="P232" s="83"/>
    </row>
    <row r="233" spans="1:16">
      <c r="A233" s="82"/>
      <c r="B233" s="83"/>
      <c r="C233" s="83"/>
      <c r="D233" s="84"/>
      <c r="E233" s="84"/>
      <c r="F233" s="84"/>
      <c r="G233" s="84"/>
      <c r="H233" s="84"/>
      <c r="I233" s="84"/>
      <c r="J233" s="84"/>
      <c r="K233" s="84"/>
      <c r="L233" s="84"/>
      <c r="M233" s="84"/>
      <c r="N233" s="84"/>
      <c r="O233" s="84"/>
      <c r="P233" s="83"/>
    </row>
    <row r="234" spans="1:16">
      <c r="A234" s="82"/>
      <c r="B234" s="83"/>
      <c r="C234" s="83"/>
      <c r="D234" s="84"/>
      <c r="E234" s="84"/>
      <c r="F234" s="84"/>
      <c r="G234" s="84"/>
      <c r="H234" s="84"/>
      <c r="I234" s="84"/>
      <c r="J234" s="84"/>
      <c r="K234" s="84"/>
      <c r="L234" s="84"/>
      <c r="M234" s="84"/>
      <c r="N234" s="84"/>
      <c r="O234" s="84"/>
      <c r="P234" s="83"/>
    </row>
    <row r="235" spans="1:16">
      <c r="A235" s="82"/>
      <c r="B235" s="83"/>
      <c r="C235" s="83"/>
      <c r="D235" s="84"/>
      <c r="E235" s="84"/>
      <c r="F235" s="84"/>
      <c r="G235" s="84"/>
      <c r="H235" s="84"/>
      <c r="I235" s="84"/>
      <c r="J235" s="84"/>
      <c r="K235" s="84"/>
      <c r="L235" s="84"/>
      <c r="M235" s="84"/>
      <c r="N235" s="84"/>
      <c r="O235" s="84"/>
      <c r="P235" s="83"/>
    </row>
    <row r="236" spans="1:16">
      <c r="A236" s="82"/>
      <c r="B236" s="83"/>
      <c r="C236" s="83"/>
      <c r="D236" s="84"/>
      <c r="E236" s="84"/>
      <c r="F236" s="84"/>
      <c r="G236" s="84"/>
      <c r="H236" s="84"/>
      <c r="I236" s="84"/>
      <c r="J236" s="84"/>
      <c r="K236" s="84"/>
      <c r="L236" s="84"/>
      <c r="M236" s="84"/>
      <c r="N236" s="84"/>
      <c r="O236" s="84"/>
      <c r="P236" s="83"/>
    </row>
    <row r="237" spans="1:16">
      <c r="A237" s="82"/>
      <c r="B237" s="83"/>
      <c r="C237" s="83"/>
      <c r="D237" s="84"/>
      <c r="E237" s="84"/>
      <c r="F237" s="84"/>
      <c r="G237" s="84"/>
      <c r="H237" s="84"/>
      <c r="I237" s="84"/>
      <c r="J237" s="84"/>
      <c r="K237" s="84"/>
      <c r="L237" s="84"/>
      <c r="M237" s="84"/>
      <c r="N237" s="84"/>
      <c r="O237" s="84"/>
      <c r="P237" s="83"/>
    </row>
    <row r="238" spans="1:16">
      <c r="A238" s="82"/>
      <c r="B238" s="83"/>
      <c r="C238" s="83"/>
      <c r="D238" s="84"/>
      <c r="E238" s="84"/>
      <c r="F238" s="84"/>
      <c r="G238" s="84"/>
      <c r="H238" s="84"/>
      <c r="I238" s="84"/>
      <c r="J238" s="84"/>
      <c r="K238" s="84"/>
      <c r="L238" s="84"/>
      <c r="M238" s="84"/>
      <c r="N238" s="84"/>
      <c r="O238" s="84"/>
      <c r="P238" s="83"/>
    </row>
    <row r="239" spans="1:16">
      <c r="A239" s="82"/>
      <c r="B239" s="83"/>
      <c r="C239" s="83"/>
      <c r="D239" s="84"/>
      <c r="E239" s="84"/>
      <c r="F239" s="84"/>
      <c r="G239" s="84"/>
      <c r="H239" s="84"/>
      <c r="I239" s="84"/>
      <c r="J239" s="84"/>
      <c r="K239" s="84"/>
      <c r="L239" s="84"/>
      <c r="M239" s="84"/>
      <c r="N239" s="84"/>
      <c r="O239" s="84"/>
      <c r="P239" s="83"/>
    </row>
    <row r="240" spans="1:16">
      <c r="A240" s="82"/>
      <c r="B240" s="83"/>
      <c r="C240" s="83"/>
      <c r="D240" s="84"/>
      <c r="E240" s="84"/>
      <c r="F240" s="84"/>
      <c r="G240" s="84"/>
      <c r="H240" s="84"/>
      <c r="I240" s="84"/>
      <c r="J240" s="84"/>
      <c r="K240" s="84"/>
      <c r="L240" s="84"/>
      <c r="M240" s="84"/>
      <c r="N240" s="84"/>
      <c r="O240" s="84"/>
      <c r="P240" s="83"/>
    </row>
    <row r="241" spans="1:16">
      <c r="A241" s="82"/>
      <c r="B241" s="83"/>
      <c r="C241" s="83"/>
      <c r="D241" s="84"/>
      <c r="E241" s="84"/>
      <c r="F241" s="84"/>
      <c r="G241" s="84"/>
      <c r="H241" s="84"/>
      <c r="I241" s="84"/>
      <c r="J241" s="84"/>
      <c r="K241" s="84"/>
      <c r="L241" s="84"/>
      <c r="M241" s="84"/>
      <c r="N241" s="84"/>
      <c r="O241" s="84"/>
      <c r="P241" s="83"/>
    </row>
    <row r="242" spans="1:16">
      <c r="A242" s="82"/>
      <c r="B242" s="83"/>
      <c r="C242" s="83"/>
      <c r="D242" s="84"/>
      <c r="E242" s="84"/>
      <c r="F242" s="84"/>
      <c r="G242" s="84"/>
      <c r="H242" s="84"/>
      <c r="I242" s="84"/>
      <c r="J242" s="84"/>
      <c r="K242" s="84"/>
      <c r="L242" s="84"/>
      <c r="M242" s="84"/>
      <c r="N242" s="84"/>
      <c r="O242" s="84"/>
      <c r="P242" s="83"/>
    </row>
    <row r="243" spans="1:16">
      <c r="A243" s="82"/>
      <c r="B243" s="83"/>
      <c r="C243" s="83"/>
      <c r="D243" s="84"/>
      <c r="E243" s="84"/>
      <c r="F243" s="84"/>
      <c r="G243" s="84"/>
      <c r="H243" s="84"/>
      <c r="I243" s="84"/>
      <c r="J243" s="84"/>
      <c r="K243" s="84"/>
      <c r="L243" s="84"/>
      <c r="M243" s="84"/>
      <c r="N243" s="84"/>
      <c r="O243" s="84"/>
      <c r="P243" s="83"/>
    </row>
    <row r="244" spans="1:16">
      <c r="A244" s="82"/>
      <c r="B244" s="83"/>
      <c r="C244" s="83"/>
      <c r="D244" s="84"/>
      <c r="E244" s="84"/>
      <c r="F244" s="84"/>
      <c r="G244" s="84"/>
      <c r="H244" s="84"/>
      <c r="I244" s="84"/>
      <c r="J244" s="84"/>
      <c r="K244" s="84"/>
      <c r="L244" s="84"/>
      <c r="M244" s="84"/>
      <c r="N244" s="84"/>
      <c r="O244" s="84"/>
      <c r="P244" s="83"/>
    </row>
    <row r="245" spans="1:16">
      <c r="A245" s="82"/>
      <c r="B245" s="83"/>
      <c r="C245" s="83"/>
      <c r="D245" s="84"/>
      <c r="E245" s="84"/>
      <c r="F245" s="84"/>
      <c r="G245" s="84"/>
      <c r="H245" s="84"/>
      <c r="I245" s="84"/>
      <c r="J245" s="84"/>
      <c r="K245" s="84"/>
      <c r="L245" s="84"/>
      <c r="M245" s="84"/>
      <c r="N245" s="84"/>
      <c r="O245" s="84"/>
      <c r="P245" s="83"/>
    </row>
    <row r="246" spans="1:16">
      <c r="A246" s="82"/>
      <c r="B246" s="83"/>
      <c r="C246" s="83"/>
      <c r="D246" s="84"/>
      <c r="E246" s="84"/>
      <c r="F246" s="84"/>
      <c r="G246" s="84"/>
      <c r="H246" s="84"/>
      <c r="I246" s="84"/>
      <c r="J246" s="84"/>
      <c r="K246" s="84"/>
      <c r="L246" s="84"/>
      <c r="M246" s="84"/>
      <c r="N246" s="84"/>
      <c r="O246" s="84"/>
      <c r="P246" s="83"/>
    </row>
    <row r="247" spans="1:16">
      <c r="A247" s="82"/>
      <c r="B247" s="83"/>
      <c r="C247" s="83"/>
      <c r="D247" s="84"/>
      <c r="E247" s="84"/>
      <c r="F247" s="84"/>
      <c r="G247" s="84"/>
      <c r="H247" s="84"/>
      <c r="I247" s="84"/>
      <c r="J247" s="84"/>
      <c r="K247" s="84"/>
      <c r="L247" s="84"/>
      <c r="M247" s="84"/>
      <c r="N247" s="84"/>
      <c r="O247" s="84"/>
      <c r="P247" s="83"/>
    </row>
    <row r="248" spans="1:16">
      <c r="A248" s="82"/>
      <c r="B248" s="83"/>
      <c r="C248" s="83"/>
      <c r="D248" s="84"/>
      <c r="E248" s="84"/>
      <c r="F248" s="84"/>
      <c r="G248" s="84"/>
      <c r="H248" s="84"/>
      <c r="I248" s="84"/>
      <c r="J248" s="84"/>
      <c r="K248" s="84"/>
      <c r="L248" s="84"/>
      <c r="M248" s="84"/>
      <c r="N248" s="84"/>
      <c r="O248" s="84"/>
      <c r="P248" s="83"/>
    </row>
    <row r="249" spans="1:16">
      <c r="A249" s="82"/>
      <c r="B249" s="83"/>
      <c r="C249" s="83"/>
      <c r="D249" s="84"/>
      <c r="E249" s="84"/>
      <c r="F249" s="84"/>
      <c r="G249" s="84"/>
      <c r="H249" s="84"/>
      <c r="I249" s="84"/>
      <c r="J249" s="84"/>
      <c r="K249" s="84"/>
      <c r="L249" s="84"/>
      <c r="M249" s="84"/>
      <c r="N249" s="84"/>
      <c r="O249" s="84"/>
      <c r="P249" s="83"/>
    </row>
    <row r="250" spans="1:16">
      <c r="A250" s="82"/>
      <c r="B250" s="83"/>
      <c r="C250" s="83"/>
      <c r="D250" s="84"/>
      <c r="E250" s="84"/>
      <c r="F250" s="84"/>
      <c r="G250" s="84"/>
      <c r="H250" s="84"/>
      <c r="I250" s="84"/>
      <c r="J250" s="84"/>
      <c r="K250" s="84"/>
      <c r="L250" s="84"/>
      <c r="M250" s="84"/>
      <c r="N250" s="84"/>
      <c r="O250" s="84"/>
      <c r="P250" s="83"/>
    </row>
    <row r="251" spans="1:16">
      <c r="A251" s="82"/>
      <c r="B251" s="83"/>
      <c r="C251" s="83"/>
      <c r="D251" s="84"/>
      <c r="E251" s="84"/>
      <c r="F251" s="84"/>
      <c r="G251" s="84"/>
      <c r="H251" s="84"/>
      <c r="I251" s="84"/>
      <c r="J251" s="84"/>
      <c r="K251" s="84"/>
      <c r="L251" s="84"/>
      <c r="M251" s="84"/>
      <c r="N251" s="84"/>
      <c r="O251" s="84"/>
      <c r="P251" s="83"/>
    </row>
    <row r="252" spans="1:16">
      <c r="A252" s="82"/>
      <c r="B252" s="83"/>
      <c r="C252" s="83"/>
      <c r="D252" s="84"/>
      <c r="E252" s="84"/>
      <c r="F252" s="84"/>
      <c r="G252" s="84"/>
      <c r="H252" s="84"/>
      <c r="I252" s="84"/>
      <c r="J252" s="84"/>
      <c r="K252" s="84"/>
      <c r="L252" s="84"/>
      <c r="M252" s="84"/>
      <c r="N252" s="84"/>
      <c r="O252" s="84"/>
      <c r="P252" s="83"/>
    </row>
    <row r="253" spans="1:16">
      <c r="A253" s="82"/>
      <c r="B253" s="83"/>
      <c r="C253" s="83"/>
      <c r="D253" s="84"/>
      <c r="E253" s="84"/>
      <c r="F253" s="84"/>
      <c r="G253" s="84"/>
      <c r="H253" s="84"/>
      <c r="I253" s="84"/>
      <c r="J253" s="84"/>
      <c r="K253" s="84"/>
      <c r="L253" s="84"/>
      <c r="M253" s="84"/>
      <c r="N253" s="84"/>
      <c r="O253" s="84"/>
      <c r="P253" s="83"/>
    </row>
    <row r="254" spans="1:16">
      <c r="A254" s="82"/>
      <c r="B254" s="83"/>
      <c r="C254" s="83"/>
      <c r="D254" s="84"/>
      <c r="E254" s="84"/>
      <c r="F254" s="84"/>
      <c r="G254" s="84"/>
      <c r="H254" s="84"/>
      <c r="I254" s="84"/>
      <c r="J254" s="84"/>
      <c r="K254" s="84"/>
      <c r="L254" s="84"/>
      <c r="M254" s="84"/>
      <c r="N254" s="84"/>
      <c r="O254" s="84"/>
      <c r="P254" s="83"/>
    </row>
    <row r="255" spans="1:16">
      <c r="A255" s="82"/>
      <c r="B255" s="83"/>
      <c r="C255" s="83"/>
      <c r="D255" s="84"/>
      <c r="E255" s="84"/>
      <c r="F255" s="84"/>
      <c r="G255" s="84"/>
      <c r="H255" s="84"/>
      <c r="I255" s="84"/>
      <c r="J255" s="84"/>
      <c r="K255" s="84"/>
      <c r="L255" s="84"/>
      <c r="M255" s="84"/>
      <c r="N255" s="84"/>
      <c r="O255" s="84"/>
      <c r="P255" s="83"/>
    </row>
    <row r="256" spans="1:16">
      <c r="A256" s="82"/>
      <c r="B256" s="83"/>
      <c r="C256" s="83"/>
      <c r="D256" s="84"/>
      <c r="E256" s="84"/>
      <c r="F256" s="84"/>
      <c r="G256" s="84"/>
      <c r="H256" s="84"/>
      <c r="I256" s="84"/>
      <c r="J256" s="84"/>
      <c r="K256" s="84"/>
      <c r="L256" s="84"/>
      <c r="M256" s="84"/>
      <c r="N256" s="84"/>
      <c r="O256" s="84"/>
      <c r="P256" s="83"/>
    </row>
    <row r="257" spans="1:16">
      <c r="A257" s="82"/>
      <c r="B257" s="83"/>
      <c r="C257" s="83"/>
      <c r="D257" s="84"/>
      <c r="E257" s="84"/>
      <c r="F257" s="84"/>
      <c r="G257" s="84"/>
      <c r="H257" s="84"/>
      <c r="I257" s="84"/>
      <c r="J257" s="84"/>
      <c r="K257" s="84"/>
      <c r="L257" s="84"/>
      <c r="M257" s="84"/>
      <c r="N257" s="84"/>
      <c r="O257" s="84"/>
      <c r="P257" s="83"/>
    </row>
    <row r="258" spans="1:16">
      <c r="A258" s="82"/>
      <c r="B258" s="83"/>
      <c r="C258" s="83"/>
      <c r="D258" s="84"/>
      <c r="E258" s="84"/>
      <c r="F258" s="84"/>
      <c r="G258" s="84"/>
      <c r="H258" s="84"/>
      <c r="I258" s="84"/>
      <c r="J258" s="84"/>
      <c r="K258" s="84"/>
      <c r="L258" s="84"/>
      <c r="M258" s="84"/>
      <c r="N258" s="84"/>
      <c r="O258" s="84"/>
      <c r="P258" s="83"/>
    </row>
    <row r="259" spans="1:16">
      <c r="A259" s="82"/>
      <c r="B259" s="83"/>
      <c r="C259" s="83"/>
      <c r="D259" s="84"/>
      <c r="E259" s="84"/>
      <c r="F259" s="84"/>
      <c r="G259" s="84"/>
      <c r="H259" s="84"/>
      <c r="I259" s="84"/>
      <c r="J259" s="84"/>
      <c r="K259" s="84"/>
      <c r="L259" s="84"/>
      <c r="M259" s="84"/>
      <c r="N259" s="84"/>
      <c r="O259" s="84"/>
      <c r="P259" s="83"/>
    </row>
    <row r="260" spans="1:16">
      <c r="A260" s="82"/>
      <c r="B260" s="83"/>
      <c r="C260" s="83"/>
      <c r="D260" s="84"/>
      <c r="E260" s="84"/>
      <c r="F260" s="84"/>
      <c r="G260" s="84"/>
      <c r="H260" s="84"/>
      <c r="I260" s="84"/>
      <c r="J260" s="84"/>
      <c r="K260" s="84"/>
      <c r="L260" s="84"/>
      <c r="M260" s="84"/>
      <c r="N260" s="84"/>
      <c r="O260" s="84"/>
      <c r="P260" s="83"/>
    </row>
    <row r="261" spans="1:16">
      <c r="A261" s="82"/>
      <c r="B261" s="83"/>
      <c r="C261" s="83"/>
      <c r="D261" s="84"/>
      <c r="E261" s="84"/>
      <c r="F261" s="84"/>
      <c r="G261" s="84"/>
      <c r="H261" s="84"/>
      <c r="I261" s="84"/>
      <c r="J261" s="84"/>
      <c r="K261" s="84"/>
      <c r="L261" s="84"/>
      <c r="M261" s="84"/>
      <c r="N261" s="84"/>
      <c r="O261" s="84"/>
      <c r="P261" s="83"/>
    </row>
    <row r="262" spans="1:16">
      <c r="A262" s="82"/>
      <c r="B262" s="83"/>
      <c r="C262" s="83"/>
      <c r="D262" s="84"/>
      <c r="E262" s="84"/>
      <c r="F262" s="84"/>
      <c r="G262" s="84"/>
      <c r="H262" s="84"/>
      <c r="I262" s="84"/>
      <c r="J262" s="84"/>
      <c r="K262" s="84"/>
      <c r="L262" s="84"/>
      <c r="M262" s="84"/>
      <c r="N262" s="84"/>
      <c r="O262" s="84"/>
      <c r="P262" s="83"/>
    </row>
    <row r="263" spans="1:16">
      <c r="A263" s="82"/>
      <c r="B263" s="83"/>
      <c r="C263" s="83"/>
      <c r="D263" s="84"/>
      <c r="E263" s="84"/>
      <c r="F263" s="84"/>
      <c r="G263" s="84"/>
      <c r="H263" s="84"/>
      <c r="I263" s="84"/>
      <c r="J263" s="84"/>
      <c r="K263" s="84"/>
      <c r="L263" s="84"/>
      <c r="M263" s="84"/>
      <c r="N263" s="84"/>
      <c r="O263" s="84"/>
      <c r="P263" s="83"/>
    </row>
    <row r="264" spans="1:16">
      <c r="A264" s="82"/>
      <c r="B264" s="83"/>
      <c r="C264" s="83"/>
      <c r="D264" s="84"/>
      <c r="E264" s="84"/>
      <c r="F264" s="84"/>
      <c r="G264" s="84"/>
      <c r="H264" s="84"/>
      <c r="I264" s="84"/>
      <c r="J264" s="84"/>
      <c r="K264" s="84"/>
      <c r="L264" s="84"/>
      <c r="M264" s="84"/>
      <c r="N264" s="84"/>
      <c r="O264" s="84"/>
      <c r="P264" s="83"/>
    </row>
    <row r="265" spans="1:16">
      <c r="A265" s="82"/>
      <c r="B265" s="83"/>
      <c r="C265" s="83"/>
      <c r="D265" s="84"/>
      <c r="E265" s="84"/>
      <c r="F265" s="84"/>
      <c r="G265" s="84"/>
      <c r="H265" s="84"/>
      <c r="I265" s="84"/>
      <c r="J265" s="84"/>
      <c r="K265" s="84"/>
      <c r="L265" s="84"/>
      <c r="M265" s="84"/>
      <c r="N265" s="84"/>
      <c r="O265" s="84"/>
      <c r="P265" s="83"/>
    </row>
    <row r="266" spans="1:16">
      <c r="A266" s="82"/>
      <c r="B266" s="83"/>
      <c r="C266" s="83"/>
      <c r="D266" s="84"/>
      <c r="E266" s="84"/>
      <c r="F266" s="84"/>
      <c r="G266" s="84"/>
      <c r="H266" s="84"/>
      <c r="I266" s="84"/>
      <c r="J266" s="84"/>
      <c r="K266" s="84"/>
      <c r="L266" s="84"/>
      <c r="M266" s="84"/>
      <c r="N266" s="84"/>
      <c r="O266" s="84"/>
      <c r="P266" s="83"/>
    </row>
    <row r="267" spans="1:16">
      <c r="A267" s="82"/>
      <c r="B267" s="83"/>
      <c r="C267" s="83"/>
      <c r="D267" s="84"/>
      <c r="E267" s="84"/>
      <c r="F267" s="84"/>
      <c r="G267" s="84"/>
      <c r="H267" s="84"/>
      <c r="I267" s="84"/>
      <c r="J267" s="84"/>
      <c r="K267" s="84"/>
      <c r="L267" s="84"/>
      <c r="M267" s="84"/>
      <c r="N267" s="84"/>
      <c r="O267" s="84"/>
      <c r="P267" s="83"/>
    </row>
    <row r="268" spans="1:16">
      <c r="A268" s="82"/>
      <c r="B268" s="83"/>
      <c r="C268" s="83"/>
      <c r="D268" s="84"/>
      <c r="E268" s="84"/>
      <c r="F268" s="84"/>
      <c r="G268" s="84"/>
      <c r="H268" s="84"/>
      <c r="I268" s="84"/>
      <c r="J268" s="84"/>
      <c r="K268" s="84"/>
      <c r="L268" s="84"/>
      <c r="M268" s="84"/>
      <c r="N268" s="84"/>
      <c r="O268" s="84"/>
      <c r="P268" s="83"/>
    </row>
    <row r="269" spans="1:16">
      <c r="A269" s="82"/>
      <c r="B269" s="83"/>
      <c r="C269" s="83"/>
      <c r="D269" s="84"/>
      <c r="E269" s="84"/>
      <c r="F269" s="84"/>
      <c r="G269" s="84"/>
      <c r="H269" s="84"/>
      <c r="I269" s="84"/>
      <c r="J269" s="84"/>
      <c r="K269" s="84"/>
      <c r="L269" s="84"/>
      <c r="M269" s="84"/>
      <c r="N269" s="84"/>
      <c r="O269" s="84"/>
      <c r="P269" s="83"/>
    </row>
    <row r="270" spans="1:16">
      <c r="A270" s="82"/>
      <c r="B270" s="83"/>
      <c r="C270" s="83"/>
      <c r="D270" s="84"/>
      <c r="E270" s="84"/>
      <c r="F270" s="84"/>
      <c r="G270" s="84"/>
      <c r="H270" s="84"/>
      <c r="I270" s="84"/>
      <c r="J270" s="84"/>
      <c r="K270" s="84"/>
      <c r="L270" s="84"/>
      <c r="M270" s="84"/>
      <c r="N270" s="84"/>
      <c r="O270" s="84"/>
      <c r="P270" s="83"/>
    </row>
    <row r="271" spans="1:16">
      <c r="A271" s="82"/>
      <c r="B271" s="83"/>
      <c r="C271" s="83"/>
      <c r="D271" s="84"/>
      <c r="E271" s="84"/>
      <c r="F271" s="84"/>
      <c r="G271" s="84"/>
      <c r="H271" s="84"/>
      <c r="I271" s="84"/>
      <c r="J271" s="84"/>
      <c r="K271" s="84"/>
      <c r="L271" s="84"/>
      <c r="M271" s="84"/>
      <c r="N271" s="84"/>
      <c r="O271" s="84"/>
      <c r="P271" s="83"/>
    </row>
    <row r="272" spans="1:16">
      <c r="A272" s="82"/>
      <c r="B272" s="83"/>
      <c r="C272" s="83"/>
      <c r="D272" s="84"/>
      <c r="E272" s="84"/>
      <c r="F272" s="84"/>
      <c r="G272" s="84"/>
      <c r="H272" s="84"/>
      <c r="I272" s="84"/>
      <c r="J272" s="84"/>
      <c r="K272" s="84"/>
      <c r="L272" s="84"/>
      <c r="M272" s="84"/>
      <c r="N272" s="84"/>
      <c r="O272" s="84"/>
      <c r="P272" s="83"/>
    </row>
    <row r="273" spans="1:16">
      <c r="A273" s="82"/>
      <c r="B273" s="83"/>
      <c r="C273" s="83"/>
      <c r="D273" s="84"/>
      <c r="E273" s="84"/>
      <c r="F273" s="84"/>
      <c r="G273" s="84"/>
      <c r="H273" s="84"/>
      <c r="I273" s="84"/>
      <c r="J273" s="84"/>
      <c r="K273" s="84"/>
      <c r="L273" s="84"/>
      <c r="M273" s="84"/>
      <c r="N273" s="84"/>
      <c r="O273" s="84"/>
      <c r="P273" s="83"/>
    </row>
    <row r="274" spans="1:16">
      <c r="A274" s="82"/>
      <c r="B274" s="83"/>
      <c r="C274" s="83"/>
      <c r="D274" s="84"/>
      <c r="E274" s="84"/>
      <c r="F274" s="84"/>
      <c r="G274" s="84"/>
      <c r="H274" s="84"/>
      <c r="I274" s="84"/>
      <c r="J274" s="84"/>
      <c r="K274" s="84"/>
      <c r="L274" s="84"/>
      <c r="M274" s="84"/>
      <c r="N274" s="84"/>
      <c r="O274" s="84"/>
      <c r="P274" s="83"/>
    </row>
    <row r="275" spans="1:16">
      <c r="A275" s="82"/>
      <c r="B275" s="83"/>
      <c r="C275" s="83"/>
      <c r="D275" s="84"/>
      <c r="E275" s="84"/>
      <c r="F275" s="84"/>
      <c r="G275" s="84"/>
      <c r="H275" s="84"/>
      <c r="I275" s="84"/>
      <c r="J275" s="84"/>
      <c r="K275" s="84"/>
      <c r="L275" s="84"/>
      <c r="M275" s="84"/>
      <c r="N275" s="84"/>
      <c r="O275" s="84"/>
      <c r="P275" s="83"/>
    </row>
    <row r="276" spans="1:16">
      <c r="A276" s="82"/>
      <c r="B276" s="83"/>
      <c r="C276" s="83"/>
      <c r="D276" s="84"/>
      <c r="E276" s="84"/>
      <c r="F276" s="84"/>
      <c r="G276" s="84"/>
      <c r="H276" s="84"/>
      <c r="I276" s="84"/>
      <c r="J276" s="84"/>
      <c r="K276" s="84"/>
      <c r="L276" s="84"/>
      <c r="M276" s="84"/>
      <c r="N276" s="84"/>
      <c r="O276" s="84"/>
      <c r="P276" s="83"/>
    </row>
    <row r="277" spans="1:16">
      <c r="A277" s="82"/>
      <c r="B277" s="83"/>
      <c r="C277" s="83"/>
      <c r="D277" s="84"/>
      <c r="E277" s="84"/>
      <c r="F277" s="84"/>
      <c r="G277" s="84"/>
      <c r="H277" s="84"/>
      <c r="I277" s="84"/>
      <c r="J277" s="84"/>
      <c r="K277" s="84"/>
      <c r="L277" s="84"/>
      <c r="M277" s="84"/>
      <c r="N277" s="84"/>
      <c r="O277" s="84"/>
      <c r="P277" s="83"/>
    </row>
    <row r="278" spans="1:16">
      <c r="A278" s="82"/>
      <c r="B278" s="83"/>
      <c r="C278" s="83"/>
      <c r="D278" s="84"/>
      <c r="E278" s="84"/>
      <c r="F278" s="84"/>
      <c r="G278" s="84"/>
      <c r="H278" s="84"/>
      <c r="I278" s="84"/>
      <c r="J278" s="84"/>
      <c r="K278" s="84"/>
      <c r="L278" s="84"/>
      <c r="M278" s="84"/>
      <c r="N278" s="84"/>
      <c r="O278" s="84"/>
      <c r="P278" s="83"/>
    </row>
    <row r="279" spans="1:16">
      <c r="A279" s="82"/>
      <c r="B279" s="83"/>
      <c r="C279" s="83"/>
      <c r="D279" s="84"/>
      <c r="E279" s="84"/>
      <c r="F279" s="84"/>
      <c r="G279" s="84"/>
      <c r="H279" s="84"/>
      <c r="I279" s="84"/>
      <c r="J279" s="84"/>
      <c r="K279" s="84"/>
      <c r="L279" s="84"/>
      <c r="M279" s="84"/>
      <c r="N279" s="84"/>
      <c r="O279" s="84"/>
      <c r="P279" s="83"/>
    </row>
    <row r="280" spans="1:16">
      <c r="A280" s="82"/>
      <c r="B280" s="83"/>
      <c r="C280" s="83"/>
      <c r="D280" s="84"/>
      <c r="E280" s="84"/>
      <c r="F280" s="84"/>
      <c r="G280" s="84"/>
      <c r="H280" s="84"/>
      <c r="I280" s="84"/>
      <c r="J280" s="84"/>
      <c r="K280" s="84"/>
      <c r="L280" s="84"/>
      <c r="M280" s="84"/>
      <c r="N280" s="84"/>
      <c r="O280" s="84"/>
      <c r="P280" s="83"/>
    </row>
    <row r="281" spans="1:16">
      <c r="A281" s="82"/>
      <c r="B281" s="83"/>
      <c r="C281" s="83"/>
      <c r="D281" s="84"/>
      <c r="E281" s="84"/>
      <c r="F281" s="84"/>
      <c r="G281" s="84"/>
      <c r="H281" s="84"/>
      <c r="I281" s="84"/>
      <c r="J281" s="84"/>
      <c r="K281" s="84"/>
      <c r="L281" s="84"/>
      <c r="M281" s="84"/>
      <c r="N281" s="84"/>
      <c r="O281" s="84"/>
      <c r="P281" s="83"/>
    </row>
    <row r="282" spans="1:16">
      <c r="A282" s="82"/>
      <c r="B282" s="83"/>
      <c r="C282" s="83"/>
      <c r="D282" s="84"/>
      <c r="E282" s="84"/>
      <c r="F282" s="84"/>
      <c r="G282" s="84"/>
      <c r="H282" s="84"/>
      <c r="I282" s="84"/>
      <c r="J282" s="84"/>
      <c r="K282" s="84"/>
      <c r="L282" s="84"/>
      <c r="M282" s="84"/>
      <c r="N282" s="84"/>
      <c r="O282" s="84"/>
      <c r="P282" s="83"/>
    </row>
    <row r="283" spans="1:16">
      <c r="A283" s="82"/>
      <c r="B283" s="83"/>
      <c r="C283" s="83"/>
      <c r="D283" s="84"/>
      <c r="E283" s="84"/>
      <c r="F283" s="84"/>
      <c r="G283" s="84"/>
      <c r="H283" s="84"/>
      <c r="I283" s="84"/>
      <c r="J283" s="84"/>
      <c r="K283" s="84"/>
      <c r="L283" s="84"/>
      <c r="M283" s="84"/>
      <c r="N283" s="84"/>
      <c r="O283" s="84"/>
      <c r="P283" s="83"/>
    </row>
    <row r="284" spans="1:16">
      <c r="A284" s="82"/>
      <c r="B284" s="83"/>
      <c r="C284" s="83"/>
      <c r="D284" s="84"/>
      <c r="E284" s="84"/>
      <c r="F284" s="84"/>
      <c r="G284" s="84"/>
      <c r="H284" s="84"/>
      <c r="I284" s="84"/>
      <c r="J284" s="84"/>
      <c r="K284" s="84"/>
      <c r="L284" s="84"/>
      <c r="M284" s="84"/>
      <c r="N284" s="84"/>
      <c r="O284" s="84"/>
      <c r="P284" s="83"/>
    </row>
    <row r="285" spans="1:16">
      <c r="A285" s="82"/>
      <c r="B285" s="83"/>
      <c r="C285" s="83"/>
      <c r="D285" s="84"/>
      <c r="E285" s="84"/>
      <c r="F285" s="84"/>
      <c r="G285" s="84"/>
      <c r="H285" s="84"/>
      <c r="I285" s="84"/>
      <c r="J285" s="84"/>
      <c r="K285" s="84"/>
      <c r="L285" s="84"/>
      <c r="M285" s="84"/>
      <c r="N285" s="84"/>
      <c r="O285" s="84"/>
      <c r="P285" s="83"/>
    </row>
    <row r="286" spans="1:16">
      <c r="A286" s="82"/>
      <c r="B286" s="83"/>
      <c r="C286" s="83"/>
      <c r="D286" s="84"/>
      <c r="E286" s="84"/>
      <c r="F286" s="84"/>
      <c r="G286" s="84"/>
      <c r="H286" s="84"/>
      <c r="I286" s="84"/>
      <c r="J286" s="84"/>
      <c r="K286" s="84"/>
      <c r="L286" s="84"/>
      <c r="M286" s="84"/>
      <c r="N286" s="84"/>
      <c r="O286" s="84"/>
      <c r="P286" s="83"/>
    </row>
    <row r="287" spans="1:16">
      <c r="A287" s="82"/>
      <c r="B287" s="83"/>
      <c r="C287" s="83"/>
      <c r="D287" s="84"/>
      <c r="E287" s="84"/>
      <c r="F287" s="84"/>
      <c r="G287" s="84"/>
      <c r="H287" s="84"/>
      <c r="I287" s="84"/>
      <c r="J287" s="84"/>
      <c r="K287" s="84"/>
      <c r="L287" s="84"/>
      <c r="M287" s="84"/>
      <c r="N287" s="84"/>
      <c r="O287" s="84"/>
      <c r="P287" s="83"/>
    </row>
    <row r="288" spans="1:16">
      <c r="A288" s="82"/>
      <c r="B288" s="83"/>
      <c r="C288" s="83"/>
      <c r="D288" s="84"/>
      <c r="E288" s="84"/>
      <c r="F288" s="84"/>
      <c r="G288" s="84"/>
      <c r="H288" s="84"/>
      <c r="I288" s="84"/>
      <c r="J288" s="84"/>
      <c r="K288" s="84"/>
      <c r="L288" s="84"/>
      <c r="M288" s="84"/>
      <c r="N288" s="84"/>
      <c r="O288" s="84"/>
      <c r="P288" s="83"/>
    </row>
    <row r="289" spans="1:16">
      <c r="A289" s="82"/>
      <c r="B289" s="83"/>
      <c r="C289" s="83"/>
      <c r="D289" s="84"/>
      <c r="E289" s="84"/>
      <c r="F289" s="84"/>
      <c r="G289" s="84"/>
      <c r="H289" s="84"/>
      <c r="I289" s="84"/>
      <c r="J289" s="84"/>
      <c r="K289" s="84"/>
      <c r="L289" s="84"/>
      <c r="M289" s="84"/>
      <c r="N289" s="84"/>
      <c r="O289" s="84"/>
      <c r="P289" s="83"/>
    </row>
    <row r="290" spans="1:16">
      <c r="A290" s="82"/>
      <c r="B290" s="83"/>
      <c r="C290" s="83"/>
      <c r="D290" s="84"/>
      <c r="E290" s="84"/>
      <c r="F290" s="84"/>
      <c r="G290" s="84"/>
      <c r="H290" s="84"/>
      <c r="I290" s="84"/>
      <c r="J290" s="84"/>
      <c r="K290" s="84"/>
      <c r="L290" s="84"/>
      <c r="M290" s="84"/>
      <c r="N290" s="84"/>
      <c r="O290" s="84"/>
      <c r="P290" s="83"/>
    </row>
    <row r="291" spans="1:16">
      <c r="A291" s="82"/>
      <c r="B291" s="83"/>
      <c r="C291" s="83"/>
      <c r="D291" s="84"/>
      <c r="E291" s="84"/>
      <c r="F291" s="84"/>
      <c r="G291" s="84"/>
      <c r="H291" s="84"/>
      <c r="I291" s="84"/>
      <c r="J291" s="84"/>
      <c r="K291" s="84"/>
      <c r="L291" s="84"/>
      <c r="M291" s="84"/>
      <c r="N291" s="84"/>
      <c r="O291" s="84"/>
      <c r="P291" s="83"/>
    </row>
    <row r="292" spans="1:16">
      <c r="A292" s="82"/>
      <c r="B292" s="83"/>
      <c r="C292" s="83"/>
      <c r="D292" s="84"/>
      <c r="E292" s="84"/>
      <c r="F292" s="84"/>
      <c r="G292" s="84"/>
      <c r="H292" s="84"/>
      <c r="I292" s="84"/>
      <c r="J292" s="84"/>
      <c r="K292" s="84"/>
      <c r="L292" s="84"/>
      <c r="M292" s="84"/>
      <c r="N292" s="84"/>
      <c r="O292" s="84"/>
      <c r="P292" s="83"/>
    </row>
    <row r="293" spans="1:16">
      <c r="A293" s="82"/>
      <c r="B293" s="83"/>
      <c r="C293" s="83"/>
      <c r="D293" s="84"/>
      <c r="E293" s="84"/>
      <c r="F293" s="84"/>
      <c r="G293" s="84"/>
      <c r="H293" s="84"/>
      <c r="I293" s="84"/>
      <c r="J293" s="84"/>
      <c r="K293" s="84"/>
      <c r="L293" s="84"/>
      <c r="M293" s="84"/>
      <c r="N293" s="84"/>
      <c r="O293" s="84"/>
      <c r="P293" s="83"/>
    </row>
    <row r="294" spans="1:16">
      <c r="A294" s="82"/>
      <c r="B294" s="83"/>
      <c r="C294" s="83"/>
      <c r="D294" s="84"/>
      <c r="E294" s="84"/>
      <c r="F294" s="84"/>
      <c r="G294" s="84"/>
      <c r="H294" s="84"/>
      <c r="I294" s="84"/>
      <c r="J294" s="84"/>
      <c r="K294" s="84"/>
      <c r="L294" s="84"/>
      <c r="M294" s="84"/>
      <c r="N294" s="84"/>
      <c r="O294" s="84"/>
      <c r="P294" s="83"/>
    </row>
    <row r="295" spans="1:16">
      <c r="A295" s="82"/>
      <c r="B295" s="83"/>
      <c r="C295" s="83"/>
      <c r="D295" s="84"/>
      <c r="E295" s="84"/>
      <c r="F295" s="84"/>
      <c r="G295" s="84"/>
      <c r="H295" s="84"/>
      <c r="I295" s="84"/>
      <c r="J295" s="84"/>
      <c r="K295" s="84"/>
      <c r="L295" s="84"/>
      <c r="M295" s="84"/>
      <c r="N295" s="84"/>
      <c r="O295" s="84"/>
      <c r="P295" s="83"/>
    </row>
  </sheetData>
  <mergeCells count="1">
    <mergeCell ref="C3:C42"/>
  </mergeCells>
  <phoneticPr fontId="21" type="noConversion"/>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42" max="16383" man="1"/>
  </rowBreaks>
  <ignoredErrors>
    <ignoredError sqref="F10:H10" unlockedFormula="1"/>
  </ignoredErrors>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31">
    <tabColor theme="3" tint="0.59999389629810485"/>
    <pageSetUpPr fitToPage="1"/>
  </sheetPr>
  <dimension ref="A1:V295"/>
  <sheetViews>
    <sheetView workbookViewId="0">
      <selection activeCell="G1" sqref="G1"/>
    </sheetView>
  </sheetViews>
  <sheetFormatPr baseColWidth="10" defaultColWidth="20.85546875" defaultRowHeight="13"/>
  <cols>
    <col min="1" max="1" width="3.5703125" style="22" customWidth="1"/>
    <col min="2" max="2" width="32.42578125" style="3" customWidth="1"/>
    <col min="3" max="3" width="10.140625" style="3" customWidth="1"/>
    <col min="4" max="15" width="9.7109375" style="24" customWidth="1"/>
    <col min="16" max="16" width="44.85546875" style="3" customWidth="1"/>
    <col min="17" max="17" width="9.7109375" style="3" customWidth="1"/>
    <col min="18" max="18" width="10.140625" style="3" customWidth="1"/>
    <col min="19" max="22" width="8.7109375" style="3" customWidth="1"/>
    <col min="23" max="16384" width="20.85546875" style="83"/>
  </cols>
  <sheetData>
    <row r="1" spans="1:22" ht="27" customHeight="1">
      <c r="A1" s="1">
        <v>1</v>
      </c>
      <c r="B1" s="62" t="s">
        <v>151</v>
      </c>
      <c r="C1" s="22" t="s">
        <v>351</v>
      </c>
      <c r="D1" s="78" t="s">
        <v>202</v>
      </c>
      <c r="E1" s="77" t="str">
        <f>D1</f>
        <v>NN</v>
      </c>
      <c r="F1" s="77" t="str">
        <f t="shared" ref="F1:O1" si="0">E1</f>
        <v>NN</v>
      </c>
      <c r="G1" s="77" t="str">
        <f t="shared" si="0"/>
        <v>NN</v>
      </c>
      <c r="H1" s="77" t="str">
        <f t="shared" si="0"/>
        <v>NN</v>
      </c>
      <c r="I1" s="77" t="str">
        <f t="shared" si="0"/>
        <v>NN</v>
      </c>
      <c r="J1" s="77" t="str">
        <f t="shared" si="0"/>
        <v>NN</v>
      </c>
      <c r="K1" s="77" t="str">
        <f t="shared" si="0"/>
        <v>NN</v>
      </c>
      <c r="L1" s="77" t="str">
        <f t="shared" si="0"/>
        <v>NN</v>
      </c>
      <c r="M1" s="77" t="str">
        <f t="shared" si="0"/>
        <v>NN</v>
      </c>
      <c r="N1" s="77" t="str">
        <f t="shared" si="0"/>
        <v>NN</v>
      </c>
      <c r="O1" s="77" t="str">
        <f t="shared" si="0"/>
        <v>NN</v>
      </c>
      <c r="P1" s="3" t="s">
        <v>185</v>
      </c>
      <c r="Q1" s="86"/>
      <c r="R1" s="86"/>
      <c r="S1" s="86"/>
      <c r="T1" s="86"/>
      <c r="U1" s="86"/>
      <c r="V1" s="86"/>
    </row>
    <row r="2" spans="1:22" ht="14" customHeight="1">
      <c r="A2" s="4">
        <f t="shared" ref="A2:A44" si="1">A1+1</f>
        <v>2</v>
      </c>
      <c r="B2" s="89" t="s">
        <v>36</v>
      </c>
      <c r="C2" s="234" t="s">
        <v>330</v>
      </c>
      <c r="D2" s="76" t="str">
        <f>"AUG 10"</f>
        <v>AUG 10</v>
      </c>
      <c r="E2" s="76" t="str">
        <f>"SEP10"</f>
        <v>SEP10</v>
      </c>
      <c r="F2" s="76" t="str">
        <f>"OKT 10"</f>
        <v>OKT 10</v>
      </c>
      <c r="G2" s="76" t="str">
        <f>"NOV 10"</f>
        <v>NOV 10</v>
      </c>
      <c r="H2" s="76" t="str">
        <f>"DEC 10"</f>
        <v>DEC 10</v>
      </c>
      <c r="I2" s="76" t="str">
        <f>"JAN 11"</f>
        <v>JAN 11</v>
      </c>
      <c r="J2" s="76" t="str">
        <f>"FEB 11"</f>
        <v>FEB 11</v>
      </c>
      <c r="K2" s="76" t="str">
        <f>"MAR 11"</f>
        <v>MAR 11</v>
      </c>
      <c r="L2" s="256" t="str">
        <f>"APR 11"</f>
        <v>APR 11</v>
      </c>
      <c r="M2" s="256" t="str">
        <f>"MAJ11"</f>
        <v>MAJ11</v>
      </c>
      <c r="N2" s="256" t="str">
        <f>"JUN 11"</f>
        <v>JUN 11</v>
      </c>
      <c r="O2" s="256" t="str">
        <f>"JUL 11"</f>
        <v>JUL 11</v>
      </c>
      <c r="P2" s="254" t="s">
        <v>257</v>
      </c>
      <c r="Q2" s="86"/>
      <c r="R2" s="86"/>
      <c r="S2" s="86"/>
      <c r="T2" s="86"/>
      <c r="U2" s="86"/>
      <c r="V2" s="86"/>
    </row>
    <row r="3" spans="1:22" ht="27" customHeight="1">
      <c r="A3" s="4">
        <f t="shared" si="1"/>
        <v>3</v>
      </c>
      <c r="B3" s="160" t="s">
        <v>37</v>
      </c>
      <c r="C3" s="1273" t="s">
        <v>67</v>
      </c>
      <c r="D3" s="188">
        <v>1</v>
      </c>
      <c r="E3" s="237">
        <v>1</v>
      </c>
      <c r="F3" s="237">
        <v>1</v>
      </c>
      <c r="G3" s="237">
        <v>1</v>
      </c>
      <c r="H3" s="237">
        <v>1</v>
      </c>
      <c r="I3" s="237">
        <v>1</v>
      </c>
      <c r="J3" s="237">
        <v>1</v>
      </c>
      <c r="K3" s="237">
        <v>1</v>
      </c>
      <c r="L3" s="238">
        <v>1</v>
      </c>
      <c r="M3" s="238">
        <v>1</v>
      </c>
      <c r="N3" s="238">
        <v>1</v>
      </c>
      <c r="O3" s="238">
        <v>1</v>
      </c>
      <c r="P3" s="6" t="s">
        <v>107</v>
      </c>
      <c r="Q3" s="86"/>
      <c r="R3" s="86"/>
      <c r="S3" s="86"/>
      <c r="T3" s="86"/>
      <c r="U3" s="86"/>
      <c r="V3" s="86"/>
    </row>
    <row r="4" spans="1:22" ht="14" customHeight="1">
      <c r="A4" s="4">
        <f t="shared" si="1"/>
        <v>4</v>
      </c>
      <c r="B4" s="161" t="s">
        <v>155</v>
      </c>
      <c r="C4" s="1274"/>
      <c r="D4" s="189" t="s">
        <v>217</v>
      </c>
      <c r="E4" s="239" t="str">
        <f>D4</f>
        <v>Bh1</v>
      </c>
      <c r="F4" s="239" t="str">
        <f t="shared" ref="F4:O4" si="2">E4</f>
        <v>Bh1</v>
      </c>
      <c r="G4" s="239" t="str">
        <f t="shared" si="2"/>
        <v>Bh1</v>
      </c>
      <c r="H4" s="239" t="str">
        <f t="shared" si="2"/>
        <v>Bh1</v>
      </c>
      <c r="I4" s="239" t="str">
        <f t="shared" si="2"/>
        <v>Bh1</v>
      </c>
      <c r="J4" s="239" t="str">
        <f t="shared" si="2"/>
        <v>Bh1</v>
      </c>
      <c r="K4" s="239" t="str">
        <f t="shared" si="2"/>
        <v>Bh1</v>
      </c>
      <c r="L4" s="239" t="str">
        <f t="shared" si="2"/>
        <v>Bh1</v>
      </c>
      <c r="M4" s="239" t="str">
        <f t="shared" si="2"/>
        <v>Bh1</v>
      </c>
      <c r="N4" s="239" t="str">
        <f t="shared" si="2"/>
        <v>Bh1</v>
      </c>
      <c r="O4" s="239" t="str">
        <f t="shared" si="2"/>
        <v>Bh1</v>
      </c>
      <c r="P4" s="6" t="s">
        <v>203</v>
      </c>
      <c r="Q4" s="86"/>
      <c r="R4" s="86"/>
      <c r="S4" s="86"/>
      <c r="T4" s="86"/>
      <c r="U4" s="86"/>
      <c r="V4" s="86"/>
    </row>
    <row r="5" spans="1:22" ht="24" customHeight="1">
      <c r="A5" s="4">
        <f>A4+1</f>
        <v>5</v>
      </c>
      <c r="B5" s="162" t="s">
        <v>54</v>
      </c>
      <c r="C5" s="1274"/>
      <c r="D5" s="189"/>
      <c r="E5" s="79" t="str">
        <f>IF(D5&lt;&gt;"",D5,"")</f>
        <v/>
      </c>
      <c r="F5" s="79" t="str">
        <f t="shared" ref="F5:O5" si="3">IF(E5&lt;&gt;"",E5,"")</f>
        <v/>
      </c>
      <c r="G5" s="79" t="str">
        <f t="shared" si="3"/>
        <v/>
      </c>
      <c r="H5" s="79" t="str">
        <f t="shared" si="3"/>
        <v/>
      </c>
      <c r="I5" s="79" t="str">
        <f t="shared" si="3"/>
        <v/>
      </c>
      <c r="J5" s="79" t="str">
        <f t="shared" si="3"/>
        <v/>
      </c>
      <c r="K5" s="79" t="str">
        <f t="shared" si="3"/>
        <v/>
      </c>
      <c r="L5" s="79" t="str">
        <f t="shared" si="3"/>
        <v/>
      </c>
      <c r="M5" s="79" t="str">
        <f t="shared" si="3"/>
        <v/>
      </c>
      <c r="N5" s="79" t="str">
        <f t="shared" si="3"/>
        <v/>
      </c>
      <c r="O5" s="79" t="str">
        <f t="shared" si="3"/>
        <v/>
      </c>
      <c r="P5" s="65" t="s">
        <v>55</v>
      </c>
      <c r="Q5" s="86"/>
      <c r="R5" s="86"/>
      <c r="S5" s="86"/>
      <c r="T5" s="86"/>
      <c r="U5" s="86"/>
      <c r="V5" s="86"/>
    </row>
    <row r="6" spans="1:22" ht="24" customHeight="1">
      <c r="A6" s="4">
        <f t="shared" si="1"/>
        <v>6</v>
      </c>
      <c r="B6" s="161" t="s">
        <v>112</v>
      </c>
      <c r="C6" s="1274"/>
      <c r="D6" s="189" t="s">
        <v>216</v>
      </c>
      <c r="E6" s="71" t="str">
        <f>$D6</f>
        <v>L</v>
      </c>
      <c r="F6" s="71" t="str">
        <f t="shared" ref="F6:O8" si="4">$D6</f>
        <v>L</v>
      </c>
      <c r="G6" s="71" t="str">
        <f t="shared" si="4"/>
        <v>L</v>
      </c>
      <c r="H6" s="71" t="str">
        <f t="shared" si="4"/>
        <v>L</v>
      </c>
      <c r="I6" s="71" t="str">
        <f t="shared" si="4"/>
        <v>L</v>
      </c>
      <c r="J6" s="71" t="str">
        <f t="shared" si="4"/>
        <v>L</v>
      </c>
      <c r="K6" s="71" t="str">
        <f t="shared" si="4"/>
        <v>L</v>
      </c>
      <c r="L6" s="71" t="str">
        <f t="shared" si="4"/>
        <v>L</v>
      </c>
      <c r="M6" s="71" t="str">
        <f t="shared" si="4"/>
        <v>L</v>
      </c>
      <c r="N6" s="71" t="str">
        <f t="shared" si="4"/>
        <v>L</v>
      </c>
      <c r="O6" s="71" t="str">
        <f t="shared" si="4"/>
        <v>L</v>
      </c>
      <c r="P6" s="6" t="s">
        <v>13</v>
      </c>
      <c r="Q6" s="86"/>
      <c r="R6" s="86"/>
      <c r="S6" s="86"/>
      <c r="T6" s="86"/>
      <c r="U6" s="86"/>
      <c r="V6" s="86"/>
    </row>
    <row r="7" spans="1:22" ht="14" customHeight="1">
      <c r="A7" s="4">
        <f t="shared" si="1"/>
        <v>7</v>
      </c>
      <c r="B7" s="161" t="s">
        <v>210</v>
      </c>
      <c r="C7" s="1274"/>
      <c r="D7" s="69">
        <v>1.3106599999999999</v>
      </c>
      <c r="E7" s="69">
        <v>1.3106599999999999</v>
      </c>
      <c r="F7" s="69">
        <v>1.3106599999999999</v>
      </c>
      <c r="G7" s="69">
        <v>1.3106599999999999</v>
      </c>
      <c r="H7" s="69">
        <v>1.3106599999999999</v>
      </c>
      <c r="I7" s="69">
        <v>1.3106599999999999</v>
      </c>
      <c r="J7" s="69">
        <v>1.3106599999999999</v>
      </c>
      <c r="K7" s="69">
        <v>1.3106599999999999</v>
      </c>
      <c r="L7" s="255">
        <v>1.3106599999999999</v>
      </c>
      <c r="M7" s="69">
        <f>L7</f>
        <v>1.3106599999999999</v>
      </c>
      <c r="N7" s="69">
        <f>M7</f>
        <v>1.3106599999999999</v>
      </c>
      <c r="O7" s="69">
        <f>N7</f>
        <v>1.3106599999999999</v>
      </c>
      <c r="P7" s="70" t="s">
        <v>182</v>
      </c>
      <c r="Q7" s="86"/>
      <c r="R7" s="86"/>
      <c r="S7" s="86"/>
      <c r="T7" s="86"/>
      <c r="U7" s="86"/>
      <c r="V7" s="86"/>
    </row>
    <row r="8" spans="1:22" ht="14" customHeight="1">
      <c r="A8" s="4">
        <f t="shared" si="1"/>
        <v>8</v>
      </c>
      <c r="B8" s="161" t="s">
        <v>127</v>
      </c>
      <c r="C8" s="1274"/>
      <c r="D8" s="191">
        <v>3</v>
      </c>
      <c r="E8" s="71">
        <f>$D8</f>
        <v>3</v>
      </c>
      <c r="F8" s="71">
        <f t="shared" si="4"/>
        <v>3</v>
      </c>
      <c r="G8" s="71">
        <f t="shared" si="4"/>
        <v>3</v>
      </c>
      <c r="H8" s="71">
        <f t="shared" si="4"/>
        <v>3</v>
      </c>
      <c r="I8" s="71">
        <f t="shared" si="4"/>
        <v>3</v>
      </c>
      <c r="J8" s="71">
        <f t="shared" si="4"/>
        <v>3</v>
      </c>
      <c r="K8" s="71">
        <f t="shared" si="4"/>
        <v>3</v>
      </c>
      <c r="L8" s="71">
        <f t="shared" si="4"/>
        <v>3</v>
      </c>
      <c r="M8" s="71">
        <f t="shared" si="4"/>
        <v>3</v>
      </c>
      <c r="N8" s="71">
        <f t="shared" si="4"/>
        <v>3</v>
      </c>
      <c r="O8" s="71">
        <f t="shared" si="4"/>
        <v>3</v>
      </c>
      <c r="P8" s="3" t="s">
        <v>99</v>
      </c>
      <c r="Q8" s="86"/>
      <c r="R8" s="86"/>
      <c r="S8" s="86"/>
      <c r="T8" s="86"/>
      <c r="U8" s="86"/>
      <c r="V8" s="86"/>
    </row>
    <row r="9" spans="1:22" ht="28">
      <c r="A9" s="4">
        <f>A8+1</f>
        <v>9</v>
      </c>
      <c r="B9" s="161" t="s">
        <v>34</v>
      </c>
      <c r="C9" s="1274"/>
      <c r="D9" s="143">
        <v>0.66139999999999999</v>
      </c>
      <c r="E9" s="240">
        <f>D9</f>
        <v>0.66139999999999999</v>
      </c>
      <c r="F9" s="240">
        <f t="shared" ref="F9:O12" si="5">E9</f>
        <v>0.66139999999999999</v>
      </c>
      <c r="G9" s="240">
        <f t="shared" si="5"/>
        <v>0.66139999999999999</v>
      </c>
      <c r="H9" s="240">
        <f t="shared" si="5"/>
        <v>0.66139999999999999</v>
      </c>
      <c r="I9" s="240">
        <f t="shared" si="5"/>
        <v>0.66139999999999999</v>
      </c>
      <c r="J9" s="240">
        <f t="shared" si="5"/>
        <v>0.66139999999999999</v>
      </c>
      <c r="K9" s="240">
        <f t="shared" si="5"/>
        <v>0.66139999999999999</v>
      </c>
      <c r="L9" s="240">
        <f t="shared" si="5"/>
        <v>0.66139999999999999</v>
      </c>
      <c r="M9" s="240">
        <f t="shared" si="5"/>
        <v>0.66139999999999999</v>
      </c>
      <c r="N9" s="240">
        <f t="shared" si="5"/>
        <v>0.66139999999999999</v>
      </c>
      <c r="O9" s="240">
        <f t="shared" si="5"/>
        <v>0.66139999999999999</v>
      </c>
      <c r="P9" s="6" t="s">
        <v>73</v>
      </c>
      <c r="Q9" s="86"/>
      <c r="R9" s="86"/>
      <c r="S9" s="86"/>
      <c r="T9" s="86"/>
      <c r="U9" s="86"/>
      <c r="V9" s="86"/>
    </row>
    <row r="10" spans="1:22" ht="24" customHeight="1">
      <c r="A10" s="4">
        <f t="shared" si="1"/>
        <v>10</v>
      </c>
      <c r="B10" s="161" t="s">
        <v>212</v>
      </c>
      <c r="C10" s="1274"/>
      <c r="D10" s="192">
        <v>600</v>
      </c>
      <c r="E10" s="241">
        <f>D10</f>
        <v>600</v>
      </c>
      <c r="F10" s="241">
        <f t="shared" si="5"/>
        <v>600</v>
      </c>
      <c r="G10" s="241">
        <f t="shared" si="5"/>
        <v>600</v>
      </c>
      <c r="H10" s="241">
        <f t="shared" si="5"/>
        <v>600</v>
      </c>
      <c r="I10" s="241">
        <f t="shared" si="5"/>
        <v>600</v>
      </c>
      <c r="J10" s="241">
        <f t="shared" si="5"/>
        <v>600</v>
      </c>
      <c r="K10" s="241">
        <f t="shared" si="5"/>
        <v>600</v>
      </c>
      <c r="L10" s="241">
        <f t="shared" si="5"/>
        <v>600</v>
      </c>
      <c r="M10" s="241">
        <f t="shared" si="5"/>
        <v>600</v>
      </c>
      <c r="N10" s="241">
        <f t="shared" si="5"/>
        <v>600</v>
      </c>
      <c r="O10" s="241">
        <f t="shared" si="5"/>
        <v>600</v>
      </c>
      <c r="P10" s="6" t="s">
        <v>68</v>
      </c>
      <c r="Q10" s="86"/>
      <c r="R10" s="86"/>
      <c r="S10" s="86"/>
      <c r="T10" s="86"/>
      <c r="U10" s="86"/>
      <c r="V10" s="86"/>
    </row>
    <row r="11" spans="1:22" ht="24" customHeight="1">
      <c r="A11" s="4">
        <f t="shared" si="1"/>
        <v>11</v>
      </c>
      <c r="B11" s="163" t="s">
        <v>213</v>
      </c>
      <c r="C11" s="1274"/>
      <c r="D11" s="193"/>
      <c r="E11" s="242">
        <f>D11</f>
        <v>0</v>
      </c>
      <c r="F11" s="242">
        <f t="shared" si="5"/>
        <v>0</v>
      </c>
      <c r="G11" s="242">
        <f t="shared" si="5"/>
        <v>0</v>
      </c>
      <c r="H11" s="242">
        <f t="shared" si="5"/>
        <v>0</v>
      </c>
      <c r="I11" s="242">
        <f t="shared" si="5"/>
        <v>0</v>
      </c>
      <c r="J11" s="242">
        <f t="shared" si="5"/>
        <v>0</v>
      </c>
      <c r="K11" s="242">
        <f t="shared" si="5"/>
        <v>0</v>
      </c>
      <c r="L11" s="242">
        <f t="shared" si="5"/>
        <v>0</v>
      </c>
      <c r="M11" s="242">
        <f t="shared" si="5"/>
        <v>0</v>
      </c>
      <c r="N11" s="242">
        <f t="shared" si="5"/>
        <v>0</v>
      </c>
      <c r="O11" s="242">
        <f t="shared" si="5"/>
        <v>0</v>
      </c>
      <c r="P11" s="12" t="s">
        <v>74</v>
      </c>
      <c r="Q11" s="86"/>
      <c r="R11" s="86"/>
      <c r="S11" s="86"/>
      <c r="T11" s="86"/>
      <c r="U11" s="86"/>
      <c r="V11" s="86"/>
    </row>
    <row r="12" spans="1:22" ht="24" customHeight="1">
      <c r="A12" s="4">
        <f t="shared" si="1"/>
        <v>12</v>
      </c>
      <c r="B12" s="164" t="s">
        <v>255</v>
      </c>
      <c r="C12" s="1274"/>
      <c r="D12" s="193"/>
      <c r="E12" s="242">
        <f>D12</f>
        <v>0</v>
      </c>
      <c r="F12" s="242">
        <f t="shared" si="5"/>
        <v>0</v>
      </c>
      <c r="G12" s="242">
        <f t="shared" si="5"/>
        <v>0</v>
      </c>
      <c r="H12" s="242">
        <f t="shared" si="5"/>
        <v>0</v>
      </c>
      <c r="I12" s="242">
        <f t="shared" si="5"/>
        <v>0</v>
      </c>
      <c r="J12" s="242">
        <f t="shared" si="5"/>
        <v>0</v>
      </c>
      <c r="K12" s="242">
        <f t="shared" si="5"/>
        <v>0</v>
      </c>
      <c r="L12" s="242">
        <f t="shared" si="5"/>
        <v>0</v>
      </c>
      <c r="M12" s="242">
        <f t="shared" si="5"/>
        <v>0</v>
      </c>
      <c r="N12" s="242">
        <f t="shared" si="5"/>
        <v>0</v>
      </c>
      <c r="O12" s="242">
        <f t="shared" si="5"/>
        <v>0</v>
      </c>
      <c r="P12" s="3" t="s">
        <v>77</v>
      </c>
      <c r="Q12" s="86"/>
      <c r="R12" s="86"/>
      <c r="S12" s="86"/>
      <c r="T12" s="86"/>
      <c r="U12" s="86"/>
      <c r="V12" s="86"/>
    </row>
    <row r="13" spans="1:22" ht="24" customHeight="1">
      <c r="A13" s="4">
        <f>A12+1</f>
        <v>13</v>
      </c>
      <c r="B13" s="165" t="s">
        <v>255</v>
      </c>
      <c r="C13" s="1274"/>
      <c r="D13" s="194"/>
      <c r="E13" s="243">
        <f t="shared" ref="E13:O20" si="6">D13</f>
        <v>0</v>
      </c>
      <c r="F13" s="243">
        <f t="shared" si="6"/>
        <v>0</v>
      </c>
      <c r="G13" s="243">
        <f t="shared" si="6"/>
        <v>0</v>
      </c>
      <c r="H13" s="243">
        <f t="shared" si="6"/>
        <v>0</v>
      </c>
      <c r="I13" s="243">
        <f t="shared" si="6"/>
        <v>0</v>
      </c>
      <c r="J13" s="243">
        <f t="shared" si="6"/>
        <v>0</v>
      </c>
      <c r="K13" s="243">
        <f t="shared" si="6"/>
        <v>0</v>
      </c>
      <c r="L13" s="243">
        <f t="shared" si="6"/>
        <v>0</v>
      </c>
      <c r="M13" s="243">
        <f t="shared" si="6"/>
        <v>0</v>
      </c>
      <c r="N13" s="243">
        <f t="shared" si="6"/>
        <v>0</v>
      </c>
      <c r="O13" s="243">
        <f t="shared" si="6"/>
        <v>0</v>
      </c>
      <c r="P13" s="3" t="s">
        <v>77</v>
      </c>
      <c r="Q13" s="86"/>
      <c r="R13" s="86"/>
      <c r="S13" s="86"/>
      <c r="T13" s="86"/>
      <c r="U13" s="86"/>
      <c r="V13" s="86"/>
    </row>
    <row r="14" spans="1:22" ht="24" customHeight="1">
      <c r="A14" s="4">
        <f t="shared" si="1"/>
        <v>14</v>
      </c>
      <c r="B14" s="166" t="s">
        <v>255</v>
      </c>
      <c r="C14" s="1274"/>
      <c r="D14" s="195"/>
      <c r="E14" s="244">
        <f t="shared" si="6"/>
        <v>0</v>
      </c>
      <c r="F14" s="244">
        <f t="shared" si="6"/>
        <v>0</v>
      </c>
      <c r="G14" s="244">
        <f t="shared" si="6"/>
        <v>0</v>
      </c>
      <c r="H14" s="244">
        <f t="shared" si="6"/>
        <v>0</v>
      </c>
      <c r="I14" s="244">
        <f t="shared" si="6"/>
        <v>0</v>
      </c>
      <c r="J14" s="244">
        <f t="shared" si="6"/>
        <v>0</v>
      </c>
      <c r="K14" s="244">
        <f t="shared" si="6"/>
        <v>0</v>
      </c>
      <c r="L14" s="244">
        <f t="shared" si="6"/>
        <v>0</v>
      </c>
      <c r="M14" s="244">
        <f t="shared" si="6"/>
        <v>0</v>
      </c>
      <c r="N14" s="244">
        <f t="shared" si="6"/>
        <v>0</v>
      </c>
      <c r="O14" s="244">
        <f t="shared" si="6"/>
        <v>0</v>
      </c>
      <c r="P14" s="3" t="s">
        <v>77</v>
      </c>
      <c r="Q14" s="86"/>
      <c r="R14" s="86"/>
      <c r="S14" s="86"/>
      <c r="T14" s="86"/>
      <c r="U14" s="86"/>
      <c r="V14" s="86"/>
    </row>
    <row r="15" spans="1:22" ht="24" customHeight="1">
      <c r="A15" s="4">
        <f t="shared" si="1"/>
        <v>15</v>
      </c>
      <c r="B15" s="167" t="s">
        <v>188</v>
      </c>
      <c r="C15" s="1274"/>
      <c r="D15" s="196"/>
      <c r="E15" s="245">
        <f t="shared" si="6"/>
        <v>0</v>
      </c>
      <c r="F15" s="245">
        <f t="shared" si="6"/>
        <v>0</v>
      </c>
      <c r="G15" s="245">
        <f t="shared" si="6"/>
        <v>0</v>
      </c>
      <c r="H15" s="245">
        <f t="shared" si="6"/>
        <v>0</v>
      </c>
      <c r="I15" s="245">
        <f t="shared" si="6"/>
        <v>0</v>
      </c>
      <c r="J15" s="245">
        <f t="shared" si="6"/>
        <v>0</v>
      </c>
      <c r="K15" s="245">
        <f t="shared" si="6"/>
        <v>0</v>
      </c>
      <c r="L15" s="245">
        <f t="shared" si="6"/>
        <v>0</v>
      </c>
      <c r="M15" s="245">
        <f t="shared" si="6"/>
        <v>0</v>
      </c>
      <c r="N15" s="245">
        <f t="shared" si="6"/>
        <v>0</v>
      </c>
      <c r="O15" s="245">
        <f t="shared" si="6"/>
        <v>0</v>
      </c>
      <c r="P15" s="3" t="s">
        <v>75</v>
      </c>
      <c r="Q15" s="86"/>
      <c r="R15" s="86"/>
      <c r="S15" s="86"/>
      <c r="T15" s="86"/>
      <c r="U15" s="86"/>
      <c r="V15" s="86"/>
    </row>
    <row r="16" spans="1:22" ht="24" customHeight="1">
      <c r="A16" s="4">
        <f t="shared" si="1"/>
        <v>16</v>
      </c>
      <c r="B16" s="164" t="s">
        <v>189</v>
      </c>
      <c r="C16" s="1274"/>
      <c r="D16" s="193">
        <v>12000</v>
      </c>
      <c r="E16" s="242">
        <f t="shared" si="6"/>
        <v>12000</v>
      </c>
      <c r="F16" s="242">
        <f t="shared" si="6"/>
        <v>12000</v>
      </c>
      <c r="G16" s="242">
        <f t="shared" si="6"/>
        <v>12000</v>
      </c>
      <c r="H16" s="242">
        <f t="shared" si="6"/>
        <v>12000</v>
      </c>
      <c r="I16" s="242">
        <f t="shared" si="6"/>
        <v>12000</v>
      </c>
      <c r="J16" s="242">
        <f t="shared" si="6"/>
        <v>12000</v>
      </c>
      <c r="K16" s="242">
        <f t="shared" si="6"/>
        <v>12000</v>
      </c>
      <c r="L16" s="242">
        <f t="shared" si="6"/>
        <v>12000</v>
      </c>
      <c r="M16" s="242">
        <f t="shared" si="6"/>
        <v>12000</v>
      </c>
      <c r="N16" s="242">
        <f t="shared" si="6"/>
        <v>12000</v>
      </c>
      <c r="O16" s="242">
        <f t="shared" si="6"/>
        <v>12000</v>
      </c>
      <c r="P16" s="3" t="s">
        <v>75</v>
      </c>
      <c r="Q16" s="86"/>
      <c r="R16" s="86"/>
      <c r="S16" s="86"/>
      <c r="T16" s="86"/>
      <c r="U16" s="86"/>
      <c r="V16" s="86"/>
    </row>
    <row r="17" spans="1:22" ht="24" customHeight="1">
      <c r="A17" s="4">
        <f>A16+1</f>
        <v>17</v>
      </c>
      <c r="B17" s="168" t="s">
        <v>189</v>
      </c>
      <c r="C17" s="1274"/>
      <c r="D17" s="194"/>
      <c r="E17" s="243">
        <f t="shared" si="6"/>
        <v>0</v>
      </c>
      <c r="F17" s="243">
        <f t="shared" si="6"/>
        <v>0</v>
      </c>
      <c r="G17" s="243">
        <f t="shared" si="6"/>
        <v>0</v>
      </c>
      <c r="H17" s="243">
        <f t="shared" si="6"/>
        <v>0</v>
      </c>
      <c r="I17" s="243">
        <f t="shared" si="6"/>
        <v>0</v>
      </c>
      <c r="J17" s="243">
        <f t="shared" si="6"/>
        <v>0</v>
      </c>
      <c r="K17" s="243">
        <f t="shared" si="6"/>
        <v>0</v>
      </c>
      <c r="L17" s="243">
        <f t="shared" si="6"/>
        <v>0</v>
      </c>
      <c r="M17" s="243">
        <f t="shared" si="6"/>
        <v>0</v>
      </c>
      <c r="N17" s="243">
        <f t="shared" si="6"/>
        <v>0</v>
      </c>
      <c r="O17" s="243">
        <f t="shared" si="6"/>
        <v>0</v>
      </c>
      <c r="P17" s="3" t="s">
        <v>75</v>
      </c>
      <c r="Q17" s="86"/>
      <c r="R17" s="86"/>
      <c r="S17" s="86"/>
      <c r="T17" s="86"/>
      <c r="U17" s="86"/>
      <c r="V17" s="86"/>
    </row>
    <row r="18" spans="1:22" ht="24" customHeight="1">
      <c r="A18" s="4">
        <f t="shared" si="1"/>
        <v>18</v>
      </c>
      <c r="B18" s="166" t="s">
        <v>204</v>
      </c>
      <c r="C18" s="1274"/>
      <c r="D18" s="197"/>
      <c r="E18" s="246">
        <f t="shared" si="6"/>
        <v>0</v>
      </c>
      <c r="F18" s="246">
        <f t="shared" si="6"/>
        <v>0</v>
      </c>
      <c r="G18" s="246">
        <f t="shared" si="6"/>
        <v>0</v>
      </c>
      <c r="H18" s="246">
        <f t="shared" si="6"/>
        <v>0</v>
      </c>
      <c r="I18" s="246">
        <f t="shared" si="6"/>
        <v>0</v>
      </c>
      <c r="J18" s="246">
        <f t="shared" si="6"/>
        <v>0</v>
      </c>
      <c r="K18" s="246">
        <f t="shared" si="6"/>
        <v>0</v>
      </c>
      <c r="L18" s="246">
        <f t="shared" si="6"/>
        <v>0</v>
      </c>
      <c r="M18" s="246">
        <f t="shared" si="6"/>
        <v>0</v>
      </c>
      <c r="N18" s="246">
        <f t="shared" si="6"/>
        <v>0</v>
      </c>
      <c r="O18" s="246">
        <f t="shared" si="6"/>
        <v>0</v>
      </c>
      <c r="P18" s="3" t="s">
        <v>75</v>
      </c>
      <c r="Q18" s="86"/>
      <c r="R18" s="86"/>
      <c r="S18" s="86"/>
      <c r="T18" s="86"/>
      <c r="U18" s="86"/>
      <c r="V18" s="86"/>
    </row>
    <row r="19" spans="1:22" ht="24" customHeight="1">
      <c r="A19" s="4">
        <f t="shared" si="1"/>
        <v>19</v>
      </c>
      <c r="B19" s="169" t="s">
        <v>205</v>
      </c>
      <c r="C19" s="1274"/>
      <c r="D19" s="198" t="s">
        <v>249</v>
      </c>
      <c r="E19" s="247" t="str">
        <f>D19</f>
        <v>NEJ</v>
      </c>
      <c r="F19" s="247" t="str">
        <f t="shared" si="6"/>
        <v>NEJ</v>
      </c>
      <c r="G19" s="247" t="str">
        <f t="shared" si="6"/>
        <v>NEJ</v>
      </c>
      <c r="H19" s="247" t="str">
        <f t="shared" si="6"/>
        <v>NEJ</v>
      </c>
      <c r="I19" s="247" t="str">
        <f t="shared" si="6"/>
        <v>NEJ</v>
      </c>
      <c r="J19" s="247" t="str">
        <f t="shared" si="6"/>
        <v>NEJ</v>
      </c>
      <c r="K19" s="247" t="str">
        <f t="shared" si="6"/>
        <v>NEJ</v>
      </c>
      <c r="L19" s="247" t="str">
        <f t="shared" si="6"/>
        <v>NEJ</v>
      </c>
      <c r="M19" s="247" t="str">
        <f t="shared" si="6"/>
        <v>NEJ</v>
      </c>
      <c r="N19" s="247" t="str">
        <f t="shared" si="6"/>
        <v>NEJ</v>
      </c>
      <c r="O19" s="247" t="str">
        <f t="shared" si="6"/>
        <v>NEJ</v>
      </c>
      <c r="P19" s="6" t="s">
        <v>187</v>
      </c>
      <c r="Q19" s="86"/>
      <c r="R19" s="86"/>
      <c r="S19" s="86"/>
      <c r="T19" s="86"/>
      <c r="U19" s="86"/>
      <c r="V19" s="86"/>
    </row>
    <row r="20" spans="1:22" ht="14" customHeight="1">
      <c r="A20" s="4">
        <f t="shared" si="1"/>
        <v>20</v>
      </c>
      <c r="B20" s="170" t="s">
        <v>251</v>
      </c>
      <c r="C20" s="1274"/>
      <c r="D20" s="199">
        <v>0</v>
      </c>
      <c r="E20" s="248">
        <f>D20</f>
        <v>0</v>
      </c>
      <c r="F20" s="248">
        <f t="shared" si="6"/>
        <v>0</v>
      </c>
      <c r="G20" s="248">
        <f t="shared" si="6"/>
        <v>0</v>
      </c>
      <c r="H20" s="248">
        <f t="shared" si="6"/>
        <v>0</v>
      </c>
      <c r="I20" s="248">
        <f t="shared" si="6"/>
        <v>0</v>
      </c>
      <c r="J20" s="248">
        <f t="shared" si="6"/>
        <v>0</v>
      </c>
      <c r="K20" s="248">
        <f t="shared" si="6"/>
        <v>0</v>
      </c>
      <c r="L20" s="248">
        <f t="shared" si="6"/>
        <v>0</v>
      </c>
      <c r="M20" s="248">
        <f t="shared" si="6"/>
        <v>0</v>
      </c>
      <c r="N20" s="248">
        <f t="shared" si="6"/>
        <v>0</v>
      </c>
      <c r="O20" s="248">
        <f t="shared" si="6"/>
        <v>0</v>
      </c>
      <c r="P20" s="140" t="s">
        <v>153</v>
      </c>
      <c r="Q20" s="86"/>
      <c r="R20" s="86"/>
      <c r="S20" s="86"/>
      <c r="T20" s="86"/>
      <c r="U20" s="86"/>
      <c r="V20" s="86"/>
    </row>
    <row r="21" spans="1:22" ht="14" customHeight="1">
      <c r="A21" s="4">
        <f t="shared" si="1"/>
        <v>21</v>
      </c>
      <c r="B21" s="171" t="s">
        <v>218</v>
      </c>
      <c r="C21" s="1274"/>
      <c r="D21" s="200">
        <v>5</v>
      </c>
      <c r="E21" s="144"/>
      <c r="F21" s="144"/>
      <c r="G21" s="144"/>
      <c r="H21" s="144"/>
      <c r="I21" s="144"/>
      <c r="J21" s="144"/>
      <c r="K21" s="144"/>
      <c r="L21" s="144"/>
      <c r="M21" s="144">
        <v>9.9999999999999995E-8</v>
      </c>
      <c r="N21" s="144"/>
      <c r="O21" s="144">
        <v>20</v>
      </c>
      <c r="P21" s="3" t="s">
        <v>219</v>
      </c>
      <c r="Q21" s="86"/>
      <c r="R21" s="86"/>
      <c r="S21" s="86"/>
      <c r="T21" s="86"/>
      <c r="U21" s="86"/>
      <c r="V21" s="86"/>
    </row>
    <row r="22" spans="1:22" ht="27" customHeight="1">
      <c r="A22" s="4">
        <f t="shared" si="1"/>
        <v>22</v>
      </c>
      <c r="B22" s="127" t="s">
        <v>224</v>
      </c>
      <c r="C22" s="1274"/>
      <c r="D22" s="201">
        <v>5</v>
      </c>
      <c r="E22" s="145"/>
      <c r="F22" s="145"/>
      <c r="G22" s="145"/>
      <c r="H22" s="145"/>
      <c r="I22" s="145"/>
      <c r="J22" s="145"/>
      <c r="K22" s="145"/>
      <c r="L22" s="145"/>
      <c r="M22" s="145"/>
      <c r="N22" s="145"/>
      <c r="O22" s="145">
        <v>0</v>
      </c>
      <c r="P22" s="3" t="s">
        <v>193</v>
      </c>
      <c r="Q22" s="86"/>
      <c r="R22" s="86"/>
      <c r="S22" s="86"/>
      <c r="T22" s="86"/>
      <c r="U22" s="86"/>
      <c r="V22" s="86"/>
    </row>
    <row r="23" spans="1:22" ht="14" customHeight="1">
      <c r="A23" s="4">
        <f t="shared" si="1"/>
        <v>23</v>
      </c>
      <c r="B23" s="172" t="s">
        <v>240</v>
      </c>
      <c r="C23" s="1275"/>
      <c r="D23" s="202">
        <v>0</v>
      </c>
      <c r="E23" s="249">
        <f t="shared" ref="E23:L23" si="7">D23</f>
        <v>0</v>
      </c>
      <c r="F23" s="249">
        <f t="shared" si="7"/>
        <v>0</v>
      </c>
      <c r="G23" s="249">
        <f t="shared" si="7"/>
        <v>0</v>
      </c>
      <c r="H23" s="249">
        <f t="shared" si="7"/>
        <v>0</v>
      </c>
      <c r="I23" s="249">
        <f t="shared" si="7"/>
        <v>0</v>
      </c>
      <c r="J23" s="249">
        <f t="shared" si="7"/>
        <v>0</v>
      </c>
      <c r="K23" s="249">
        <f t="shared" si="7"/>
        <v>0</v>
      </c>
      <c r="L23" s="249">
        <f t="shared" si="7"/>
        <v>0</v>
      </c>
      <c r="M23" s="158"/>
      <c r="N23" s="146"/>
      <c r="O23" s="146"/>
      <c r="P23" s="142" t="s">
        <v>254</v>
      </c>
      <c r="Q23" s="86"/>
      <c r="R23" s="86"/>
      <c r="S23" s="86"/>
      <c r="T23" s="86"/>
      <c r="U23" s="86"/>
      <c r="V23" s="86"/>
    </row>
    <row r="24" spans="1:22" ht="14" customHeight="1">
      <c r="A24" s="4">
        <f t="shared" si="1"/>
        <v>24</v>
      </c>
      <c r="B24" s="173" t="s">
        <v>239</v>
      </c>
      <c r="C24" s="1275"/>
      <c r="D24" s="135" t="s">
        <v>208</v>
      </c>
      <c r="E24" s="147"/>
      <c r="F24" s="147"/>
      <c r="G24" s="147"/>
      <c r="H24" s="147"/>
      <c r="I24" s="147"/>
      <c r="J24" s="147"/>
      <c r="K24" s="147"/>
      <c r="L24" s="159"/>
      <c r="M24" s="366">
        <f>ROUND((0.8*5.53571428571429+0.6614*5)/11.5357142857143,4)</f>
        <v>0.67059999999999997</v>
      </c>
      <c r="N24" s="250">
        <f>M24</f>
        <v>0.67059999999999997</v>
      </c>
      <c r="O24" s="250">
        <f>N24</f>
        <v>0.67059999999999997</v>
      </c>
      <c r="P24" s="139" t="s">
        <v>253</v>
      </c>
      <c r="Q24" s="86"/>
      <c r="R24" s="86"/>
      <c r="S24" s="86"/>
      <c r="T24" s="86"/>
      <c r="U24" s="86"/>
      <c r="V24" s="86"/>
    </row>
    <row r="25" spans="1:22" ht="14" customHeight="1">
      <c r="A25" s="4">
        <f t="shared" si="1"/>
        <v>25</v>
      </c>
      <c r="B25" s="174" t="s">
        <v>198</v>
      </c>
      <c r="C25" s="1275"/>
      <c r="D25" s="203"/>
      <c r="E25" s="121"/>
      <c r="F25" s="121"/>
      <c r="G25" s="121"/>
      <c r="H25" s="121"/>
      <c r="I25" s="121"/>
      <c r="J25" s="121"/>
      <c r="K25" s="121"/>
      <c r="L25" s="121"/>
      <c r="M25" s="121"/>
      <c r="N25" s="121"/>
      <c r="O25" s="121"/>
      <c r="P25" s="140" t="s">
        <v>248</v>
      </c>
      <c r="Q25" s="86"/>
      <c r="R25" s="86"/>
      <c r="S25" s="86"/>
      <c r="T25" s="86"/>
      <c r="U25" s="86"/>
      <c r="V25" s="86"/>
    </row>
    <row r="26" spans="1:22" ht="14" customHeight="1">
      <c r="A26" s="4">
        <f t="shared" si="1"/>
        <v>26</v>
      </c>
      <c r="B26" s="175" t="s">
        <v>199</v>
      </c>
      <c r="C26" s="1275"/>
      <c r="D26" s="204">
        <v>42</v>
      </c>
      <c r="E26" s="251">
        <f>D26</f>
        <v>42</v>
      </c>
      <c r="F26" s="251">
        <f t="shared" ref="F26:O26" si="8">E26</f>
        <v>42</v>
      </c>
      <c r="G26" s="251">
        <f t="shared" si="8"/>
        <v>42</v>
      </c>
      <c r="H26" s="251">
        <f t="shared" si="8"/>
        <v>42</v>
      </c>
      <c r="I26" s="333">
        <v>41</v>
      </c>
      <c r="J26" s="251">
        <f t="shared" si="8"/>
        <v>41</v>
      </c>
      <c r="K26" s="251">
        <f t="shared" si="8"/>
        <v>41</v>
      </c>
      <c r="L26" s="251">
        <f t="shared" si="8"/>
        <v>41</v>
      </c>
      <c r="M26" s="251">
        <f t="shared" si="8"/>
        <v>41</v>
      </c>
      <c r="N26" s="251">
        <f t="shared" si="8"/>
        <v>41</v>
      </c>
      <c r="O26" s="251">
        <f t="shared" si="8"/>
        <v>41</v>
      </c>
      <c r="P26" s="3" t="s">
        <v>17</v>
      </c>
      <c r="Q26" s="86"/>
      <c r="R26" s="86"/>
      <c r="S26" s="86"/>
      <c r="T26" s="86"/>
      <c r="U26" s="86"/>
      <c r="V26" s="86"/>
    </row>
    <row r="27" spans="1:22" ht="14" customHeight="1">
      <c r="A27" s="4">
        <f t="shared" si="1"/>
        <v>27</v>
      </c>
      <c r="B27" s="174" t="s">
        <v>200</v>
      </c>
      <c r="C27" s="1275"/>
      <c r="D27" s="205">
        <v>5000</v>
      </c>
      <c r="E27" s="252">
        <f>D27</f>
        <v>5000</v>
      </c>
      <c r="F27" s="252">
        <f t="shared" ref="F27:O27" si="9">E27</f>
        <v>5000</v>
      </c>
      <c r="G27" s="252">
        <f t="shared" si="9"/>
        <v>5000</v>
      </c>
      <c r="H27" s="252">
        <f t="shared" si="9"/>
        <v>5000</v>
      </c>
      <c r="I27" s="334">
        <v>5120</v>
      </c>
      <c r="J27" s="252">
        <f t="shared" si="9"/>
        <v>5120</v>
      </c>
      <c r="K27" s="252">
        <f t="shared" si="9"/>
        <v>5120</v>
      </c>
      <c r="L27" s="252">
        <f t="shared" si="9"/>
        <v>5120</v>
      </c>
      <c r="M27" s="252">
        <f t="shared" si="9"/>
        <v>5120</v>
      </c>
      <c r="N27" s="252">
        <f t="shared" si="9"/>
        <v>5120</v>
      </c>
      <c r="O27" s="252">
        <f t="shared" si="9"/>
        <v>5120</v>
      </c>
      <c r="P27" s="140"/>
      <c r="Q27" s="86"/>
      <c r="R27" s="86"/>
      <c r="S27" s="86"/>
      <c r="T27" s="86"/>
      <c r="U27" s="86"/>
      <c r="V27" s="86"/>
    </row>
    <row r="28" spans="1:22" ht="14">
      <c r="A28" s="4">
        <f t="shared" si="1"/>
        <v>28</v>
      </c>
      <c r="B28" s="176" t="s">
        <v>142</v>
      </c>
      <c r="C28" s="1275"/>
      <c r="D28" s="226"/>
      <c r="E28" s="227"/>
      <c r="F28" s="227"/>
      <c r="G28" s="227"/>
      <c r="H28" s="227"/>
      <c r="I28" s="227"/>
      <c r="J28" s="227"/>
      <c r="K28" s="227"/>
      <c r="L28" s="227"/>
      <c r="M28" s="227"/>
      <c r="N28" s="227"/>
      <c r="O28" s="227"/>
      <c r="P28" s="6" t="s">
        <v>138</v>
      </c>
      <c r="Q28" s="86"/>
      <c r="R28" s="86"/>
      <c r="S28" s="86"/>
      <c r="T28" s="86"/>
      <c r="U28" s="86"/>
      <c r="V28" s="86"/>
    </row>
    <row r="29" spans="1:22" ht="14">
      <c r="A29" s="4">
        <f t="shared" si="1"/>
        <v>29</v>
      </c>
      <c r="B29" s="177" t="s">
        <v>152</v>
      </c>
      <c r="C29" s="1275"/>
      <c r="D29" s="228"/>
      <c r="E29" s="229"/>
      <c r="F29" s="229"/>
      <c r="G29" s="229"/>
      <c r="H29" s="229"/>
      <c r="I29" s="229"/>
      <c r="J29" s="229"/>
      <c r="K29" s="229"/>
      <c r="L29" s="229"/>
      <c r="M29" s="229"/>
      <c r="N29" s="229"/>
      <c r="O29" s="229"/>
      <c r="P29" s="6" t="s">
        <v>139</v>
      </c>
      <c r="Q29" s="86"/>
      <c r="R29" s="86"/>
      <c r="S29" s="86"/>
      <c r="T29" s="86"/>
      <c r="U29" s="86"/>
      <c r="V29" s="86"/>
    </row>
    <row r="30" spans="1:22" ht="14">
      <c r="A30" s="4">
        <f t="shared" si="1"/>
        <v>30</v>
      </c>
      <c r="B30" s="177" t="s">
        <v>143</v>
      </c>
      <c r="C30" s="1275"/>
      <c r="D30" s="228"/>
      <c r="E30" s="229"/>
      <c r="F30" s="229"/>
      <c r="G30" s="229"/>
      <c r="H30" s="229"/>
      <c r="I30" s="229"/>
      <c r="J30" s="229"/>
      <c r="K30" s="229"/>
      <c r="L30" s="229"/>
      <c r="M30" s="229"/>
      <c r="N30" s="229"/>
      <c r="O30" s="229"/>
      <c r="P30" s="6" t="s">
        <v>140</v>
      </c>
      <c r="Q30" s="86"/>
      <c r="R30" s="86"/>
      <c r="S30" s="86"/>
      <c r="T30" s="86"/>
      <c r="U30" s="86"/>
      <c r="V30" s="86"/>
    </row>
    <row r="31" spans="1:22" ht="14">
      <c r="A31" s="4">
        <f t="shared" si="1"/>
        <v>31</v>
      </c>
      <c r="B31" s="177" t="s">
        <v>128</v>
      </c>
      <c r="C31" s="1275"/>
      <c r="D31" s="228"/>
      <c r="E31" s="229"/>
      <c r="F31" s="229"/>
      <c r="G31" s="229"/>
      <c r="H31" s="229"/>
      <c r="I31" s="229"/>
      <c r="J31" s="229"/>
      <c r="K31" s="229"/>
      <c r="L31" s="229"/>
      <c r="M31" s="229"/>
      <c r="N31" s="229"/>
      <c r="O31" s="229"/>
      <c r="P31" s="6" t="s">
        <v>130</v>
      </c>
      <c r="Q31" s="86"/>
      <c r="R31" s="86"/>
      <c r="S31" s="86"/>
      <c r="T31" s="86"/>
      <c r="U31" s="86"/>
      <c r="V31" s="86"/>
    </row>
    <row r="32" spans="1:22">
      <c r="A32" s="4">
        <f t="shared" si="1"/>
        <v>32</v>
      </c>
      <c r="B32" s="177" t="s">
        <v>201</v>
      </c>
      <c r="C32" s="1275"/>
      <c r="D32" s="228"/>
      <c r="E32" s="229"/>
      <c r="F32" s="229"/>
      <c r="G32" s="229"/>
      <c r="H32" s="229"/>
      <c r="I32" s="229"/>
      <c r="J32" s="229"/>
      <c r="K32" s="229"/>
      <c r="L32" s="229"/>
      <c r="M32" s="229"/>
      <c r="N32" s="229"/>
      <c r="O32" s="229"/>
      <c r="P32" s="3" t="s">
        <v>141</v>
      </c>
      <c r="Q32" s="86"/>
      <c r="R32" s="86"/>
      <c r="S32" s="86"/>
      <c r="T32" s="86"/>
      <c r="U32" s="86"/>
      <c r="V32" s="86"/>
    </row>
    <row r="33" spans="1:22" ht="14">
      <c r="A33" s="4">
        <f t="shared" si="1"/>
        <v>33</v>
      </c>
      <c r="B33" s="177" t="s">
        <v>144</v>
      </c>
      <c r="C33" s="1275"/>
      <c r="D33" s="228"/>
      <c r="E33" s="229"/>
      <c r="F33" s="229"/>
      <c r="G33" s="229"/>
      <c r="H33" s="229"/>
      <c r="I33" s="229"/>
      <c r="J33" s="229"/>
      <c r="K33" s="229"/>
      <c r="L33" s="229"/>
      <c r="M33" s="229"/>
      <c r="N33" s="229"/>
      <c r="O33" s="229"/>
      <c r="P33" s="6" t="s">
        <v>76</v>
      </c>
      <c r="Q33" s="86"/>
      <c r="R33" s="86"/>
      <c r="S33" s="86"/>
      <c r="T33" s="86"/>
      <c r="U33" s="86"/>
      <c r="V33" s="86"/>
    </row>
    <row r="34" spans="1:22" ht="14">
      <c r="A34" s="4">
        <f t="shared" si="1"/>
        <v>34</v>
      </c>
      <c r="B34" s="177" t="s">
        <v>146</v>
      </c>
      <c r="C34" s="1275"/>
      <c r="D34" s="228"/>
      <c r="E34" s="229"/>
      <c r="F34" s="229"/>
      <c r="G34" s="229"/>
      <c r="H34" s="229"/>
      <c r="I34" s="229"/>
      <c r="J34" s="229"/>
      <c r="K34" s="229"/>
      <c r="L34" s="229"/>
      <c r="M34" s="229"/>
      <c r="N34" s="229"/>
      <c r="O34" s="229"/>
      <c r="P34" s="6" t="s">
        <v>69</v>
      </c>
      <c r="Q34" s="86"/>
      <c r="R34" s="86"/>
      <c r="S34" s="86"/>
      <c r="T34" s="86"/>
      <c r="U34" s="86"/>
      <c r="V34" s="86"/>
    </row>
    <row r="35" spans="1:22" ht="14">
      <c r="A35" s="4">
        <f t="shared" si="1"/>
        <v>35</v>
      </c>
      <c r="B35" s="177" t="s">
        <v>145</v>
      </c>
      <c r="C35" s="1275"/>
      <c r="D35" s="228"/>
      <c r="E35" s="229"/>
      <c r="F35" s="229"/>
      <c r="G35" s="229"/>
      <c r="H35" s="229"/>
      <c r="I35" s="229"/>
      <c r="J35" s="229"/>
      <c r="K35" s="229"/>
      <c r="L35" s="229"/>
      <c r="M35" s="229"/>
      <c r="N35" s="229"/>
      <c r="O35" s="229"/>
      <c r="P35" s="6" t="s">
        <v>69</v>
      </c>
      <c r="Q35" s="86"/>
      <c r="R35" s="86"/>
      <c r="S35" s="86"/>
      <c r="T35" s="86"/>
      <c r="U35" s="86"/>
      <c r="V35" s="86"/>
    </row>
    <row r="36" spans="1:22" ht="14">
      <c r="A36" s="4">
        <f t="shared" si="1"/>
        <v>36</v>
      </c>
      <c r="B36" s="177" t="s">
        <v>147</v>
      </c>
      <c r="C36" s="1275"/>
      <c r="D36" s="228"/>
      <c r="E36" s="229"/>
      <c r="F36" s="229"/>
      <c r="G36" s="229"/>
      <c r="H36" s="229"/>
      <c r="I36" s="229"/>
      <c r="J36" s="229"/>
      <c r="K36" s="229"/>
      <c r="L36" s="229"/>
      <c r="M36" s="229"/>
      <c r="N36" s="229"/>
      <c r="O36" s="229"/>
      <c r="P36" s="6" t="s">
        <v>135</v>
      </c>
      <c r="Q36" s="86"/>
      <c r="R36" s="86"/>
      <c r="S36" s="86"/>
      <c r="T36" s="86"/>
      <c r="U36" s="86"/>
      <c r="V36" s="86"/>
    </row>
    <row r="37" spans="1:22" ht="14">
      <c r="A37" s="4">
        <f t="shared" si="1"/>
        <v>37</v>
      </c>
      <c r="B37" s="177" t="s">
        <v>206</v>
      </c>
      <c r="C37" s="1275"/>
      <c r="D37" s="230" t="s">
        <v>237</v>
      </c>
      <c r="E37" s="231"/>
      <c r="F37" s="231"/>
      <c r="G37" s="231"/>
      <c r="H37" s="231"/>
      <c r="I37" s="231"/>
      <c r="J37" s="231"/>
      <c r="K37" s="231"/>
      <c r="L37" s="231"/>
      <c r="M37" s="253">
        <f>IF(M21&gt;0,ROUND(1.5%*P88,2),0)</f>
        <v>2653.37</v>
      </c>
      <c r="N37" s="253">
        <f>IF(AND(N21&gt;0,M37=0),ROUND(1.5%*P88,2),0)</f>
        <v>0</v>
      </c>
      <c r="O37" s="253">
        <f>IF(AND(O21&gt;0,SUM(M37:N37)=0),ROUND(1.5%*P88,2),0)</f>
        <v>0</v>
      </c>
      <c r="P37" s="6" t="s">
        <v>246</v>
      </c>
      <c r="Q37" s="86"/>
      <c r="R37" s="86"/>
      <c r="S37" s="86"/>
      <c r="T37" s="86"/>
      <c r="U37" s="86"/>
      <c r="V37" s="86"/>
    </row>
    <row r="38" spans="1:22">
      <c r="A38" s="4">
        <f t="shared" si="1"/>
        <v>38</v>
      </c>
      <c r="B38" s="178" t="s">
        <v>133</v>
      </c>
      <c r="C38" s="1275"/>
      <c r="D38" s="228"/>
      <c r="E38" s="229"/>
      <c r="F38" s="229"/>
      <c r="G38" s="229"/>
      <c r="H38" s="229"/>
      <c r="I38" s="229"/>
      <c r="J38" s="229"/>
      <c r="K38" s="229"/>
      <c r="L38" s="229"/>
      <c r="M38" s="229"/>
      <c r="N38" s="229"/>
      <c r="O38" s="229"/>
      <c r="P38" s="85"/>
      <c r="Q38" s="86"/>
      <c r="R38" s="86"/>
      <c r="S38" s="86"/>
      <c r="T38" s="86"/>
      <c r="U38" s="86"/>
      <c r="V38" s="86"/>
    </row>
    <row r="39" spans="1:22">
      <c r="A39" s="4">
        <f t="shared" si="1"/>
        <v>39</v>
      </c>
      <c r="B39" s="178" t="s">
        <v>148</v>
      </c>
      <c r="C39" s="1275"/>
      <c r="D39" s="228"/>
      <c r="E39" s="229"/>
      <c r="F39" s="229"/>
      <c r="G39" s="229"/>
      <c r="H39" s="229"/>
      <c r="I39" s="229"/>
      <c r="J39" s="229"/>
      <c r="K39" s="229"/>
      <c r="L39" s="229"/>
      <c r="M39" s="229"/>
      <c r="N39" s="229"/>
      <c r="O39" s="229"/>
      <c r="P39" s="85"/>
      <c r="Q39" s="86"/>
      <c r="R39" s="86"/>
      <c r="S39" s="86"/>
      <c r="T39" s="86"/>
      <c r="U39" s="86"/>
      <c r="V39" s="86"/>
    </row>
    <row r="40" spans="1:22">
      <c r="A40" s="4">
        <f t="shared" si="1"/>
        <v>40</v>
      </c>
      <c r="B40" s="178" t="s">
        <v>131</v>
      </c>
      <c r="C40" s="1275"/>
      <c r="D40" s="228"/>
      <c r="E40" s="229"/>
      <c r="F40" s="229"/>
      <c r="G40" s="229"/>
      <c r="H40" s="229"/>
      <c r="I40" s="229"/>
      <c r="J40" s="229"/>
      <c r="K40" s="229"/>
      <c r="L40" s="229"/>
      <c r="M40" s="229"/>
      <c r="N40" s="229"/>
      <c r="O40" s="229"/>
      <c r="P40" s="85"/>
      <c r="Q40" s="86"/>
      <c r="R40" s="86"/>
      <c r="S40" s="86"/>
      <c r="T40" s="86"/>
      <c r="U40" s="86"/>
      <c r="V40" s="86"/>
    </row>
    <row r="41" spans="1:22">
      <c r="A41" s="4">
        <f t="shared" si="1"/>
        <v>41</v>
      </c>
      <c r="B41" s="178" t="s">
        <v>134</v>
      </c>
      <c r="C41" s="1275"/>
      <c r="D41" s="228"/>
      <c r="E41" s="229"/>
      <c r="F41" s="229"/>
      <c r="G41" s="229"/>
      <c r="H41" s="229"/>
      <c r="I41" s="229"/>
      <c r="J41" s="229"/>
      <c r="K41" s="229"/>
      <c r="L41" s="229"/>
      <c r="M41" s="229"/>
      <c r="N41" s="229"/>
      <c r="O41" s="229"/>
      <c r="P41" s="85"/>
      <c r="Q41" s="86"/>
      <c r="R41" s="86"/>
      <c r="S41" s="86"/>
      <c r="T41" s="86"/>
      <c r="U41" s="86"/>
      <c r="V41" s="86"/>
    </row>
    <row r="42" spans="1:22">
      <c r="A42" s="4">
        <f t="shared" si="1"/>
        <v>42</v>
      </c>
      <c r="B42" s="179" t="s">
        <v>129</v>
      </c>
      <c r="C42" s="1276"/>
      <c r="D42" s="232"/>
      <c r="E42" s="233"/>
      <c r="F42" s="233"/>
      <c r="G42" s="233"/>
      <c r="H42" s="233"/>
      <c r="I42" s="233"/>
      <c r="J42" s="233"/>
      <c r="K42" s="233"/>
      <c r="L42" s="233"/>
      <c r="M42" s="233"/>
      <c r="N42" s="233"/>
      <c r="O42" s="233"/>
      <c r="P42" s="141"/>
      <c r="Q42" s="86"/>
      <c r="R42" s="86"/>
      <c r="S42" s="86"/>
      <c r="T42" s="86"/>
      <c r="U42" s="86"/>
      <c r="V42" s="86"/>
    </row>
    <row r="43" spans="1:22" ht="32" customHeight="1">
      <c r="A43" s="22">
        <f t="shared" si="1"/>
        <v>43</v>
      </c>
      <c r="B43" s="180" t="s">
        <v>214</v>
      </c>
      <c r="C43" s="76" t="str">
        <f>C2</f>
        <v>jan-jul</v>
      </c>
      <c r="D43" s="206" t="str">
        <f>D2</f>
        <v>AUG 10</v>
      </c>
      <c r="E43" s="76" t="str">
        <f t="shared" ref="E43:O43" si="10">E2</f>
        <v>SEP10</v>
      </c>
      <c r="F43" s="76" t="str">
        <f t="shared" si="10"/>
        <v>OKT 10</v>
      </c>
      <c r="G43" s="76" t="str">
        <f t="shared" si="10"/>
        <v>NOV 10</v>
      </c>
      <c r="H43" s="76" t="str">
        <f t="shared" si="10"/>
        <v>DEC 10</v>
      </c>
      <c r="I43" s="76" t="str">
        <f t="shared" si="10"/>
        <v>JAN 11</v>
      </c>
      <c r="J43" s="76" t="str">
        <f t="shared" si="10"/>
        <v>FEB 11</v>
      </c>
      <c r="K43" s="76" t="str">
        <f t="shared" si="10"/>
        <v>MAR 11</v>
      </c>
      <c r="L43" s="76" t="str">
        <f t="shared" si="10"/>
        <v>APR 11</v>
      </c>
      <c r="M43" s="76" t="str">
        <f t="shared" si="10"/>
        <v>MAJ11</v>
      </c>
      <c r="N43" s="76" t="str">
        <f t="shared" si="10"/>
        <v>JUN 11</v>
      </c>
      <c r="O43" s="76" t="str">
        <f t="shared" si="10"/>
        <v>JUL 11</v>
      </c>
      <c r="P43" s="80" t="s">
        <v>111</v>
      </c>
      <c r="Q43" s="86"/>
      <c r="R43" s="86"/>
      <c r="S43" s="86"/>
      <c r="T43" s="86"/>
      <c r="U43" s="86"/>
      <c r="V43" s="86"/>
    </row>
    <row r="44" spans="1:22">
      <c r="A44" s="22">
        <f t="shared" si="1"/>
        <v>44</v>
      </c>
      <c r="B44" s="154" t="s">
        <v>85</v>
      </c>
      <c r="C44" s="220"/>
      <c r="D44" s="207">
        <f t="shared" ref="D44:O44" si="11">ROUND(IF(D9&gt;0,ROUND((ROUND(VLOOKUP(D4,basistabel,2,0)*D7,0))/12,2),0)*D9*D3,2)</f>
        <v>14693.44</v>
      </c>
      <c r="E44" s="103">
        <f t="shared" si="11"/>
        <v>14693.44</v>
      </c>
      <c r="F44" s="103">
        <f t="shared" si="11"/>
        <v>14693.44</v>
      </c>
      <c r="G44" s="103">
        <f t="shared" si="11"/>
        <v>14693.44</v>
      </c>
      <c r="H44" s="103">
        <f t="shared" si="11"/>
        <v>14693.44</v>
      </c>
      <c r="I44" s="103">
        <f t="shared" si="11"/>
        <v>14693.44</v>
      </c>
      <c r="J44" s="103">
        <f t="shared" si="11"/>
        <v>14693.44</v>
      </c>
      <c r="K44" s="103">
        <f t="shared" si="11"/>
        <v>14693.44</v>
      </c>
      <c r="L44" s="103">
        <f t="shared" si="11"/>
        <v>14693.44</v>
      </c>
      <c r="M44" s="103">
        <f t="shared" si="11"/>
        <v>14693.44</v>
      </c>
      <c r="N44" s="103">
        <f t="shared" si="11"/>
        <v>14693.44</v>
      </c>
      <c r="O44" s="103">
        <f t="shared" si="11"/>
        <v>14693.44</v>
      </c>
      <c r="P44" s="117">
        <f t="shared" ref="P44:P81" si="12">SUM(D44:O44)</f>
        <v>176321.28</v>
      </c>
      <c r="Q44" s="86"/>
      <c r="R44" s="86"/>
      <c r="S44" s="86"/>
      <c r="T44" s="86"/>
      <c r="U44" s="86"/>
      <c r="V44" s="86"/>
    </row>
    <row r="45" spans="1:22">
      <c r="A45" s="22">
        <f>A44+1</f>
        <v>45</v>
      </c>
      <c r="B45" s="155" t="s">
        <v>86</v>
      </c>
      <c r="C45" s="220"/>
      <c r="D45" s="208">
        <f t="shared" ref="D45:O45" si="13">ROUND(IF(D9&gt;0,ROUND((VLOOKUP(D4,omraadetabel,D8,0))/12,2),0)*D9*D3,2)</f>
        <v>248.03</v>
      </c>
      <c r="E45" s="105">
        <f t="shared" si="13"/>
        <v>248.03</v>
      </c>
      <c r="F45" s="105">
        <f t="shared" si="13"/>
        <v>248.03</v>
      </c>
      <c r="G45" s="105">
        <f t="shared" si="13"/>
        <v>248.03</v>
      </c>
      <c r="H45" s="105">
        <f t="shared" si="13"/>
        <v>248.03</v>
      </c>
      <c r="I45" s="105">
        <f t="shared" si="13"/>
        <v>248.03</v>
      </c>
      <c r="J45" s="105">
        <f t="shared" si="13"/>
        <v>248.03</v>
      </c>
      <c r="K45" s="105">
        <f t="shared" si="13"/>
        <v>248.03</v>
      </c>
      <c r="L45" s="105">
        <f t="shared" si="13"/>
        <v>248.03</v>
      </c>
      <c r="M45" s="105">
        <f t="shared" si="13"/>
        <v>248.03</v>
      </c>
      <c r="N45" s="105">
        <f t="shared" si="13"/>
        <v>248.03</v>
      </c>
      <c r="O45" s="105">
        <f t="shared" si="13"/>
        <v>248.03</v>
      </c>
      <c r="P45" s="106">
        <f t="shared" si="12"/>
        <v>2976.3600000000006</v>
      </c>
      <c r="Q45" s="86"/>
      <c r="R45" s="86"/>
      <c r="S45" s="86"/>
      <c r="T45" s="86"/>
      <c r="U45" s="86"/>
      <c r="V45" s="86"/>
    </row>
    <row r="46" spans="1:22">
      <c r="A46" s="22">
        <f t="shared" ref="A46:A81" si="14">A45+1</f>
        <v>46</v>
      </c>
      <c r="B46" s="155" t="s">
        <v>170</v>
      </c>
      <c r="C46" s="220"/>
      <c r="D46" s="208">
        <f t="shared" ref="D46:O46" si="15">ROUND(SUM(D102:D105)*D3,2)</f>
        <v>1120.5</v>
      </c>
      <c r="E46" s="105">
        <f t="shared" si="15"/>
        <v>1120.5</v>
      </c>
      <c r="F46" s="105">
        <f t="shared" si="15"/>
        <v>1120.5</v>
      </c>
      <c r="G46" s="105">
        <f t="shared" si="15"/>
        <v>1120.5</v>
      </c>
      <c r="H46" s="105">
        <f t="shared" si="15"/>
        <v>1120.5</v>
      </c>
      <c r="I46" s="105">
        <f t="shared" si="15"/>
        <v>1120.5</v>
      </c>
      <c r="J46" s="105">
        <f t="shared" si="15"/>
        <v>1120.5</v>
      </c>
      <c r="K46" s="105">
        <f t="shared" si="15"/>
        <v>1120.5</v>
      </c>
      <c r="L46" s="105">
        <f t="shared" si="15"/>
        <v>1120.5</v>
      </c>
      <c r="M46" s="105">
        <f t="shared" si="15"/>
        <v>1120.5</v>
      </c>
      <c r="N46" s="105">
        <f t="shared" si="15"/>
        <v>1120.5</v>
      </c>
      <c r="O46" s="105">
        <f t="shared" si="15"/>
        <v>1120.5</v>
      </c>
      <c r="P46" s="106">
        <f t="shared" si="12"/>
        <v>13446</v>
      </c>
      <c r="Q46" s="86"/>
      <c r="R46" s="86"/>
      <c r="S46" s="86"/>
      <c r="T46" s="86"/>
      <c r="U46" s="86"/>
      <c r="V46" s="86"/>
    </row>
    <row r="47" spans="1:22">
      <c r="A47" s="22">
        <f t="shared" si="14"/>
        <v>47</v>
      </c>
      <c r="B47" s="155" t="s">
        <v>171</v>
      </c>
      <c r="C47" s="220"/>
      <c r="D47" s="208">
        <f t="shared" ref="D47:O47" si="16">ROUND(D11*D$7*D3/12,2)</f>
        <v>0</v>
      </c>
      <c r="E47" s="105">
        <f t="shared" si="16"/>
        <v>0</v>
      </c>
      <c r="F47" s="105">
        <f t="shared" si="16"/>
        <v>0</v>
      </c>
      <c r="G47" s="105">
        <f t="shared" si="16"/>
        <v>0</v>
      </c>
      <c r="H47" s="105">
        <f t="shared" si="16"/>
        <v>0</v>
      </c>
      <c r="I47" s="105">
        <f t="shared" si="16"/>
        <v>0</v>
      </c>
      <c r="J47" s="105">
        <f t="shared" si="16"/>
        <v>0</v>
      </c>
      <c r="K47" s="105">
        <f t="shared" si="16"/>
        <v>0</v>
      </c>
      <c r="L47" s="105">
        <f t="shared" si="16"/>
        <v>0</v>
      </c>
      <c r="M47" s="105">
        <f t="shared" si="16"/>
        <v>0</v>
      </c>
      <c r="N47" s="105">
        <f t="shared" si="16"/>
        <v>0</v>
      </c>
      <c r="O47" s="105">
        <f t="shared" si="16"/>
        <v>0</v>
      </c>
      <c r="P47" s="106">
        <f t="shared" si="12"/>
        <v>0</v>
      </c>
      <c r="Q47" s="86"/>
      <c r="R47" s="86"/>
      <c r="S47" s="86"/>
      <c r="T47" s="86"/>
      <c r="U47" s="86"/>
      <c r="V47" s="86"/>
    </row>
    <row r="48" spans="1:22">
      <c r="A48" s="22">
        <f t="shared" si="14"/>
        <v>48</v>
      </c>
      <c r="B48" s="155" t="s">
        <v>172</v>
      </c>
      <c r="C48" s="220"/>
      <c r="D48" s="208">
        <f t="shared" ref="D48:O48" si="17">ROUND(D12*D$7*D3/12,2)</f>
        <v>0</v>
      </c>
      <c r="E48" s="105">
        <f t="shared" si="17"/>
        <v>0</v>
      </c>
      <c r="F48" s="105">
        <f t="shared" si="17"/>
        <v>0</v>
      </c>
      <c r="G48" s="105">
        <f t="shared" si="17"/>
        <v>0</v>
      </c>
      <c r="H48" s="105">
        <f t="shared" si="17"/>
        <v>0</v>
      </c>
      <c r="I48" s="105">
        <f t="shared" si="17"/>
        <v>0</v>
      </c>
      <c r="J48" s="105">
        <f t="shared" si="17"/>
        <v>0</v>
      </c>
      <c r="K48" s="105">
        <f t="shared" si="17"/>
        <v>0</v>
      </c>
      <c r="L48" s="105">
        <f t="shared" si="17"/>
        <v>0</v>
      </c>
      <c r="M48" s="105">
        <f t="shared" si="17"/>
        <v>0</v>
      </c>
      <c r="N48" s="105">
        <f t="shared" si="17"/>
        <v>0</v>
      </c>
      <c r="O48" s="105">
        <f t="shared" si="17"/>
        <v>0</v>
      </c>
      <c r="P48" s="106">
        <f t="shared" si="12"/>
        <v>0</v>
      </c>
      <c r="Q48" s="86"/>
      <c r="R48" s="86"/>
      <c r="S48" s="86"/>
      <c r="T48" s="86"/>
      <c r="U48" s="86"/>
      <c r="V48" s="86"/>
    </row>
    <row r="49" spans="1:22">
      <c r="A49" s="22">
        <f t="shared" si="14"/>
        <v>49</v>
      </c>
      <c r="B49" s="155" t="s">
        <v>173</v>
      </c>
      <c r="C49" s="220"/>
      <c r="D49" s="208">
        <f t="shared" ref="D49:O49" si="18">ROUND(D13*D$7/12*D3,2)</f>
        <v>0</v>
      </c>
      <c r="E49" s="105">
        <f t="shared" si="18"/>
        <v>0</v>
      </c>
      <c r="F49" s="105">
        <f t="shared" si="18"/>
        <v>0</v>
      </c>
      <c r="G49" s="105">
        <f t="shared" si="18"/>
        <v>0</v>
      </c>
      <c r="H49" s="105">
        <f t="shared" si="18"/>
        <v>0</v>
      </c>
      <c r="I49" s="105">
        <f t="shared" si="18"/>
        <v>0</v>
      </c>
      <c r="J49" s="105">
        <f t="shared" si="18"/>
        <v>0</v>
      </c>
      <c r="K49" s="105">
        <f t="shared" si="18"/>
        <v>0</v>
      </c>
      <c r="L49" s="105">
        <f t="shared" si="18"/>
        <v>0</v>
      </c>
      <c r="M49" s="105">
        <f t="shared" si="18"/>
        <v>0</v>
      </c>
      <c r="N49" s="105">
        <f t="shared" si="18"/>
        <v>0</v>
      </c>
      <c r="O49" s="105">
        <f t="shared" si="18"/>
        <v>0</v>
      </c>
      <c r="P49" s="106">
        <f t="shared" si="12"/>
        <v>0</v>
      </c>
      <c r="Q49" s="86"/>
      <c r="R49" s="86"/>
      <c r="S49" s="86"/>
      <c r="T49" s="86"/>
      <c r="U49" s="86"/>
      <c r="V49" s="86"/>
    </row>
    <row r="50" spans="1:22">
      <c r="A50" s="22">
        <f t="shared" si="14"/>
        <v>50</v>
      </c>
      <c r="B50" s="155" t="s">
        <v>174</v>
      </c>
      <c r="C50" s="220"/>
      <c r="D50" s="208">
        <f t="shared" ref="D50:O50" si="19">ROUND(D14*D$7/12*D3,2)</f>
        <v>0</v>
      </c>
      <c r="E50" s="105">
        <f t="shared" si="19"/>
        <v>0</v>
      </c>
      <c r="F50" s="105">
        <f t="shared" si="19"/>
        <v>0</v>
      </c>
      <c r="G50" s="105">
        <f t="shared" si="19"/>
        <v>0</v>
      </c>
      <c r="H50" s="105">
        <f t="shared" si="19"/>
        <v>0</v>
      </c>
      <c r="I50" s="105">
        <f t="shared" si="19"/>
        <v>0</v>
      </c>
      <c r="J50" s="105">
        <f t="shared" si="19"/>
        <v>0</v>
      </c>
      <c r="K50" s="105">
        <f t="shared" si="19"/>
        <v>0</v>
      </c>
      <c r="L50" s="105">
        <f t="shared" si="19"/>
        <v>0</v>
      </c>
      <c r="M50" s="105">
        <f t="shared" si="19"/>
        <v>0</v>
      </c>
      <c r="N50" s="105">
        <f t="shared" si="19"/>
        <v>0</v>
      </c>
      <c r="O50" s="105">
        <f t="shared" si="19"/>
        <v>0</v>
      </c>
      <c r="P50" s="106">
        <f t="shared" si="12"/>
        <v>0</v>
      </c>
      <c r="Q50" s="86"/>
      <c r="R50" s="86"/>
      <c r="S50" s="86"/>
      <c r="T50" s="86"/>
      <c r="U50" s="86"/>
      <c r="V50" s="86"/>
    </row>
    <row r="51" spans="1:22">
      <c r="A51" s="22">
        <f t="shared" si="14"/>
        <v>51</v>
      </c>
      <c r="B51" s="155" t="s">
        <v>175</v>
      </c>
      <c r="C51" s="220"/>
      <c r="D51" s="208">
        <f t="shared" ref="D51:O51" si="20">ROUND(D15*D$7/12*D3,2)</f>
        <v>0</v>
      </c>
      <c r="E51" s="105">
        <f t="shared" si="20"/>
        <v>0</v>
      </c>
      <c r="F51" s="105">
        <f t="shared" si="20"/>
        <v>0</v>
      </c>
      <c r="G51" s="105">
        <f t="shared" si="20"/>
        <v>0</v>
      </c>
      <c r="H51" s="105">
        <f t="shared" si="20"/>
        <v>0</v>
      </c>
      <c r="I51" s="105">
        <f t="shared" si="20"/>
        <v>0</v>
      </c>
      <c r="J51" s="105">
        <f t="shared" si="20"/>
        <v>0</v>
      </c>
      <c r="K51" s="105">
        <f t="shared" si="20"/>
        <v>0</v>
      </c>
      <c r="L51" s="105">
        <f t="shared" si="20"/>
        <v>0</v>
      </c>
      <c r="M51" s="105">
        <f t="shared" si="20"/>
        <v>0</v>
      </c>
      <c r="N51" s="105">
        <f t="shared" si="20"/>
        <v>0</v>
      </c>
      <c r="O51" s="105">
        <f t="shared" si="20"/>
        <v>0</v>
      </c>
      <c r="P51" s="106">
        <f t="shared" si="12"/>
        <v>0</v>
      </c>
      <c r="Q51" s="86"/>
      <c r="R51" s="86"/>
      <c r="S51" s="86"/>
      <c r="T51" s="86"/>
      <c r="U51" s="86"/>
      <c r="V51" s="86"/>
    </row>
    <row r="52" spans="1:22">
      <c r="A52" s="22">
        <f t="shared" si="14"/>
        <v>52</v>
      </c>
      <c r="B52" s="155" t="s">
        <v>176</v>
      </c>
      <c r="C52" s="220"/>
      <c r="D52" s="208">
        <f t="shared" ref="D52:O52" si="21">ROUND(D16*D$7*D$9/12*D3,2)</f>
        <v>866.87</v>
      </c>
      <c r="E52" s="105">
        <f t="shared" si="21"/>
        <v>866.87</v>
      </c>
      <c r="F52" s="105">
        <f t="shared" si="21"/>
        <v>866.87</v>
      </c>
      <c r="G52" s="105">
        <f t="shared" si="21"/>
        <v>866.87</v>
      </c>
      <c r="H52" s="105">
        <f t="shared" si="21"/>
        <v>866.87</v>
      </c>
      <c r="I52" s="105">
        <f t="shared" si="21"/>
        <v>866.87</v>
      </c>
      <c r="J52" s="105">
        <f t="shared" si="21"/>
        <v>866.87</v>
      </c>
      <c r="K52" s="105">
        <f t="shared" si="21"/>
        <v>866.87</v>
      </c>
      <c r="L52" s="105">
        <f t="shared" si="21"/>
        <v>866.87</v>
      </c>
      <c r="M52" s="105">
        <f t="shared" si="21"/>
        <v>866.87</v>
      </c>
      <c r="N52" s="105">
        <f t="shared" si="21"/>
        <v>866.87</v>
      </c>
      <c r="O52" s="105">
        <f t="shared" si="21"/>
        <v>866.87</v>
      </c>
      <c r="P52" s="106">
        <f t="shared" si="12"/>
        <v>10402.440000000002</v>
      </c>
      <c r="Q52" s="86"/>
      <c r="R52" s="86"/>
      <c r="S52" s="86"/>
      <c r="T52" s="86"/>
      <c r="U52" s="86"/>
      <c r="V52" s="86"/>
    </row>
    <row r="53" spans="1:22">
      <c r="A53" s="22">
        <f t="shared" si="14"/>
        <v>53</v>
      </c>
      <c r="B53" s="155" t="s">
        <v>177</v>
      </c>
      <c r="C53" s="220"/>
      <c r="D53" s="208">
        <f t="shared" ref="D53:O53" si="22">ROUND(D17*D$7*D$9/12*D3,2)</f>
        <v>0</v>
      </c>
      <c r="E53" s="105">
        <f t="shared" si="22"/>
        <v>0</v>
      </c>
      <c r="F53" s="105">
        <f t="shared" si="22"/>
        <v>0</v>
      </c>
      <c r="G53" s="105">
        <f t="shared" si="22"/>
        <v>0</v>
      </c>
      <c r="H53" s="105">
        <f t="shared" si="22"/>
        <v>0</v>
      </c>
      <c r="I53" s="105">
        <f t="shared" si="22"/>
        <v>0</v>
      </c>
      <c r="J53" s="105">
        <f t="shared" si="22"/>
        <v>0</v>
      </c>
      <c r="K53" s="105">
        <f t="shared" si="22"/>
        <v>0</v>
      </c>
      <c r="L53" s="105">
        <f t="shared" si="22"/>
        <v>0</v>
      </c>
      <c r="M53" s="105">
        <f t="shared" si="22"/>
        <v>0</v>
      </c>
      <c r="N53" s="105">
        <f t="shared" si="22"/>
        <v>0</v>
      </c>
      <c r="O53" s="105">
        <f t="shared" si="22"/>
        <v>0</v>
      </c>
      <c r="P53" s="106">
        <f t="shared" si="12"/>
        <v>0</v>
      </c>
      <c r="Q53" s="86"/>
      <c r="R53" s="86"/>
      <c r="S53" s="86"/>
      <c r="T53" s="86"/>
      <c r="U53" s="86"/>
      <c r="V53" s="86"/>
    </row>
    <row r="54" spans="1:22">
      <c r="A54" s="22">
        <f t="shared" si="14"/>
        <v>54</v>
      </c>
      <c r="B54" s="155" t="s">
        <v>114</v>
      </c>
      <c r="C54" s="220"/>
      <c r="D54" s="208">
        <f t="shared" ref="D54:O54" si="23">ROUND(D18*D$7*D$9/12*D3,2)</f>
        <v>0</v>
      </c>
      <c r="E54" s="105">
        <f t="shared" si="23"/>
        <v>0</v>
      </c>
      <c r="F54" s="105">
        <f t="shared" si="23"/>
        <v>0</v>
      </c>
      <c r="G54" s="105">
        <f t="shared" si="23"/>
        <v>0</v>
      </c>
      <c r="H54" s="105">
        <f t="shared" si="23"/>
        <v>0</v>
      </c>
      <c r="I54" s="105">
        <f t="shared" si="23"/>
        <v>0</v>
      </c>
      <c r="J54" s="105">
        <f t="shared" si="23"/>
        <v>0</v>
      </c>
      <c r="K54" s="105">
        <f t="shared" si="23"/>
        <v>0</v>
      </c>
      <c r="L54" s="105">
        <f t="shared" si="23"/>
        <v>0</v>
      </c>
      <c r="M54" s="105">
        <f t="shared" si="23"/>
        <v>0</v>
      </c>
      <c r="N54" s="105">
        <f t="shared" si="23"/>
        <v>0</v>
      </c>
      <c r="O54" s="105">
        <f t="shared" si="23"/>
        <v>0</v>
      </c>
      <c r="P54" s="106">
        <f t="shared" si="12"/>
        <v>0</v>
      </c>
      <c r="Q54" s="86"/>
      <c r="R54" s="86"/>
      <c r="S54" s="86"/>
      <c r="T54" s="86"/>
      <c r="U54" s="86"/>
      <c r="V54" s="86"/>
    </row>
    <row r="55" spans="1:22">
      <c r="A55" s="22">
        <f t="shared" si="14"/>
        <v>55</v>
      </c>
      <c r="B55" s="155" t="s">
        <v>106</v>
      </c>
      <c r="C55" s="220"/>
      <c r="D55" s="208">
        <f t="shared" ref="D55:O55" si="24">ROUND(IF(OR(D$5="A",D$5="B"),MAX(235800+32300*(LEFT(D$4)="L")-VLOOKUP(D4,basistabel,2,0)-SUM(D$15:D$18),0),0)/12*D$7*D$9*D3,2)</f>
        <v>0</v>
      </c>
      <c r="E55" s="105">
        <f t="shared" si="24"/>
        <v>0</v>
      </c>
      <c r="F55" s="105">
        <f t="shared" si="24"/>
        <v>0</v>
      </c>
      <c r="G55" s="105">
        <f t="shared" si="24"/>
        <v>0</v>
      </c>
      <c r="H55" s="105">
        <f t="shared" si="24"/>
        <v>0</v>
      </c>
      <c r="I55" s="105">
        <f t="shared" si="24"/>
        <v>0</v>
      </c>
      <c r="J55" s="105">
        <f t="shared" si="24"/>
        <v>0</v>
      </c>
      <c r="K55" s="105">
        <f t="shared" si="24"/>
        <v>0</v>
      </c>
      <c r="L55" s="105">
        <f t="shared" si="24"/>
        <v>0</v>
      </c>
      <c r="M55" s="105">
        <f t="shared" si="24"/>
        <v>0</v>
      </c>
      <c r="N55" s="105">
        <f t="shared" si="24"/>
        <v>0</v>
      </c>
      <c r="O55" s="105">
        <f t="shared" si="24"/>
        <v>0</v>
      </c>
      <c r="P55" s="106">
        <f t="shared" si="12"/>
        <v>0</v>
      </c>
      <c r="Q55" s="86"/>
      <c r="R55" s="86"/>
      <c r="S55" s="86"/>
      <c r="T55" s="86"/>
      <c r="U55" s="86"/>
      <c r="V55" s="86"/>
    </row>
    <row r="56" spans="1:22">
      <c r="A56" s="22">
        <f t="shared" si="14"/>
        <v>56</v>
      </c>
      <c r="B56" s="155" t="s">
        <v>100</v>
      </c>
      <c r="C56" s="220"/>
      <c r="D56" s="208">
        <f t="shared" ref="D56:O56" si="25">MAX(ROUND((IF(RIGHT(D4)="1",4000)+IF(OR(RIGHT(D4)="2",RIGHT(D4)="3"),6000))*D7/12*D9*D3,2)-D55,0)*(D5&lt;&gt;"B")</f>
        <v>288.95999999999998</v>
      </c>
      <c r="E56" s="105">
        <f t="shared" si="25"/>
        <v>288.95999999999998</v>
      </c>
      <c r="F56" s="105">
        <f t="shared" si="25"/>
        <v>288.95999999999998</v>
      </c>
      <c r="G56" s="105">
        <f t="shared" si="25"/>
        <v>288.95999999999998</v>
      </c>
      <c r="H56" s="105">
        <f t="shared" si="25"/>
        <v>288.95999999999998</v>
      </c>
      <c r="I56" s="105">
        <f t="shared" si="25"/>
        <v>288.95999999999998</v>
      </c>
      <c r="J56" s="105">
        <f t="shared" si="25"/>
        <v>288.95999999999998</v>
      </c>
      <c r="K56" s="105">
        <f t="shared" si="25"/>
        <v>288.95999999999998</v>
      </c>
      <c r="L56" s="105">
        <f t="shared" si="25"/>
        <v>288.95999999999998</v>
      </c>
      <c r="M56" s="105">
        <f t="shared" si="25"/>
        <v>288.95999999999998</v>
      </c>
      <c r="N56" s="105">
        <f t="shared" si="25"/>
        <v>288.95999999999998</v>
      </c>
      <c r="O56" s="105">
        <f t="shared" si="25"/>
        <v>288.95999999999998</v>
      </c>
      <c r="P56" s="106">
        <f t="shared" si="12"/>
        <v>3467.52</v>
      </c>
      <c r="Q56" s="86"/>
      <c r="R56" s="86"/>
      <c r="S56" s="86"/>
      <c r="T56" s="86"/>
      <c r="U56" s="86"/>
      <c r="V56" s="86"/>
    </row>
    <row r="57" spans="1:22">
      <c r="A57" s="22">
        <f t="shared" si="14"/>
        <v>57</v>
      </c>
      <c r="B57" s="155" t="s">
        <v>101</v>
      </c>
      <c r="C57" s="220"/>
      <c r="D57" s="208">
        <f>MAX(ROUND((IF(RIGHT(D4)="1",4000)+IF(OR(RIGHT(D4)="2",RIGHT(D4)="3"),6000))*D7/12*D9*D3,2)-D55,0)*(D5="B")</f>
        <v>0</v>
      </c>
      <c r="E57" s="208">
        <f t="shared" ref="E57:O57" si="26">MAX(ROUND((IF(RIGHT(E4)="1",4000)+IF(OR(RIGHT(E4)="2",RIGHT(E4)="3"),6000))*E7/12*E9*E3,2)-E55,0)*(E5="B")</f>
        <v>0</v>
      </c>
      <c r="F57" s="208">
        <f t="shared" si="26"/>
        <v>0</v>
      </c>
      <c r="G57" s="208">
        <f t="shared" si="26"/>
        <v>0</v>
      </c>
      <c r="H57" s="208">
        <f t="shared" si="26"/>
        <v>0</v>
      </c>
      <c r="I57" s="208">
        <f t="shared" si="26"/>
        <v>0</v>
      </c>
      <c r="J57" s="208">
        <f t="shared" si="26"/>
        <v>0</v>
      </c>
      <c r="K57" s="208">
        <f t="shared" si="26"/>
        <v>0</v>
      </c>
      <c r="L57" s="208">
        <f t="shared" si="26"/>
        <v>0</v>
      </c>
      <c r="M57" s="208">
        <f t="shared" si="26"/>
        <v>0</v>
      </c>
      <c r="N57" s="208">
        <f t="shared" si="26"/>
        <v>0</v>
      </c>
      <c r="O57" s="208">
        <f t="shared" si="26"/>
        <v>0</v>
      </c>
      <c r="P57" s="106">
        <f t="shared" si="12"/>
        <v>0</v>
      </c>
      <c r="Q57" s="86"/>
      <c r="R57" s="86"/>
      <c r="S57" s="86"/>
      <c r="T57" s="86"/>
      <c r="U57" s="86"/>
      <c r="V57" s="86"/>
    </row>
    <row r="58" spans="1:22">
      <c r="A58" s="22">
        <f t="shared" si="14"/>
        <v>58</v>
      </c>
      <c r="B58" s="155" t="s">
        <v>178</v>
      </c>
      <c r="C58" s="220"/>
      <c r="D58" s="208">
        <f t="shared" ref="D58:O58" si="27">IF(D44&gt;0,ROUND(IF(D$9&gt;=0.5,540*D$7,270*D$7)/12*D3,2),0)</f>
        <v>58.98</v>
      </c>
      <c r="E58" s="105">
        <f t="shared" si="27"/>
        <v>58.98</v>
      </c>
      <c r="F58" s="105">
        <f t="shared" si="27"/>
        <v>58.98</v>
      </c>
      <c r="G58" s="105">
        <f t="shared" si="27"/>
        <v>58.98</v>
      </c>
      <c r="H58" s="105">
        <f t="shared" si="27"/>
        <v>58.98</v>
      </c>
      <c r="I58" s="105">
        <f t="shared" si="27"/>
        <v>58.98</v>
      </c>
      <c r="J58" s="105">
        <f t="shared" si="27"/>
        <v>58.98</v>
      </c>
      <c r="K58" s="105">
        <f t="shared" si="27"/>
        <v>58.98</v>
      </c>
      <c r="L58" s="105">
        <f t="shared" si="27"/>
        <v>58.98</v>
      </c>
      <c r="M58" s="105">
        <f t="shared" si="27"/>
        <v>58.98</v>
      </c>
      <c r="N58" s="105">
        <f t="shared" si="27"/>
        <v>58.98</v>
      </c>
      <c r="O58" s="105">
        <f t="shared" si="27"/>
        <v>58.98</v>
      </c>
      <c r="P58" s="106">
        <f t="shared" si="12"/>
        <v>707.7600000000001</v>
      </c>
      <c r="Q58" s="86"/>
      <c r="R58" s="86"/>
      <c r="S58" s="86"/>
      <c r="T58" s="86"/>
      <c r="U58" s="86"/>
      <c r="V58" s="86"/>
    </row>
    <row r="59" spans="1:22">
      <c r="A59" s="22">
        <f t="shared" si="14"/>
        <v>59</v>
      </c>
      <c r="B59" s="155" t="s">
        <v>159</v>
      </c>
      <c r="C59" s="220"/>
      <c r="D59" s="208">
        <f t="shared" ref="D59:O59" si="28">D20*D3</f>
        <v>0</v>
      </c>
      <c r="E59" s="105">
        <f t="shared" si="28"/>
        <v>0</v>
      </c>
      <c r="F59" s="105">
        <f t="shared" si="28"/>
        <v>0</v>
      </c>
      <c r="G59" s="105">
        <f t="shared" si="28"/>
        <v>0</v>
      </c>
      <c r="H59" s="105">
        <f t="shared" si="28"/>
        <v>0</v>
      </c>
      <c r="I59" s="105">
        <f t="shared" si="28"/>
        <v>0</v>
      </c>
      <c r="J59" s="105">
        <f t="shared" si="28"/>
        <v>0</v>
      </c>
      <c r="K59" s="105">
        <f t="shared" si="28"/>
        <v>0</v>
      </c>
      <c r="L59" s="105">
        <f t="shared" si="28"/>
        <v>0</v>
      </c>
      <c r="M59" s="105">
        <f t="shared" si="28"/>
        <v>0</v>
      </c>
      <c r="N59" s="105">
        <f t="shared" si="28"/>
        <v>0</v>
      </c>
      <c r="O59" s="105">
        <f t="shared" si="28"/>
        <v>0</v>
      </c>
      <c r="P59" s="106">
        <f t="shared" si="12"/>
        <v>0</v>
      </c>
      <c r="Q59" s="86"/>
      <c r="R59" s="86"/>
      <c r="S59" s="86"/>
      <c r="T59" s="86"/>
      <c r="U59" s="86"/>
      <c r="V59" s="86"/>
    </row>
    <row r="60" spans="1:22">
      <c r="A60" s="22">
        <f t="shared" si="14"/>
        <v>60</v>
      </c>
      <c r="B60" s="155" t="s">
        <v>160</v>
      </c>
      <c r="C60" s="220"/>
      <c r="D60" s="208">
        <f t="shared" ref="D60:O60" si="29">IF(D9&gt;=0.4054,108.35*D3,0)</f>
        <v>108.35</v>
      </c>
      <c r="E60" s="105">
        <f t="shared" si="29"/>
        <v>108.35</v>
      </c>
      <c r="F60" s="105">
        <f t="shared" si="29"/>
        <v>108.35</v>
      </c>
      <c r="G60" s="105">
        <f t="shared" si="29"/>
        <v>108.35</v>
      </c>
      <c r="H60" s="105">
        <f t="shared" si="29"/>
        <v>108.35</v>
      </c>
      <c r="I60" s="105">
        <f t="shared" si="29"/>
        <v>108.35</v>
      </c>
      <c r="J60" s="105">
        <f t="shared" si="29"/>
        <v>108.35</v>
      </c>
      <c r="K60" s="105">
        <f t="shared" si="29"/>
        <v>108.35</v>
      </c>
      <c r="L60" s="105">
        <f t="shared" si="29"/>
        <v>108.35</v>
      </c>
      <c r="M60" s="105">
        <f t="shared" si="29"/>
        <v>108.35</v>
      </c>
      <c r="N60" s="105">
        <f t="shared" si="29"/>
        <v>108.35</v>
      </c>
      <c r="O60" s="105">
        <f t="shared" si="29"/>
        <v>108.35</v>
      </c>
      <c r="P60" s="106">
        <f t="shared" si="12"/>
        <v>1300.1999999999998</v>
      </c>
      <c r="Q60" s="86"/>
      <c r="R60" s="86"/>
      <c r="S60" s="86"/>
      <c r="T60" s="86"/>
      <c r="U60" s="86"/>
      <c r="V60" s="86"/>
    </row>
    <row r="61" spans="1:22">
      <c r="A61" s="22">
        <f t="shared" si="14"/>
        <v>61</v>
      </c>
      <c r="B61" s="155" t="s">
        <v>250</v>
      </c>
      <c r="C61" s="220"/>
      <c r="D61" s="208">
        <f t="shared" ref="D61:O61" si="30">-(MAX(0,MIN(D21,D22))+D25)*4.62%*SUM(D44:D60)</f>
        <v>-4015.9650299999989</v>
      </c>
      <c r="E61" s="208">
        <f t="shared" si="30"/>
        <v>0</v>
      </c>
      <c r="F61" s="208">
        <f t="shared" si="30"/>
        <v>0</v>
      </c>
      <c r="G61" s="208">
        <f t="shared" si="30"/>
        <v>0</v>
      </c>
      <c r="H61" s="208">
        <f t="shared" si="30"/>
        <v>0</v>
      </c>
      <c r="I61" s="208">
        <f t="shared" si="30"/>
        <v>0</v>
      </c>
      <c r="J61" s="208">
        <f t="shared" si="30"/>
        <v>0</v>
      </c>
      <c r="K61" s="208">
        <f t="shared" si="30"/>
        <v>0</v>
      </c>
      <c r="L61" s="208">
        <f t="shared" si="30"/>
        <v>0</v>
      </c>
      <c r="M61" s="208">
        <f t="shared" si="30"/>
        <v>-8.0319300599999971E-5</v>
      </c>
      <c r="N61" s="208">
        <f t="shared" si="30"/>
        <v>0</v>
      </c>
      <c r="O61" s="208">
        <f t="shared" si="30"/>
        <v>0</v>
      </c>
      <c r="P61" s="106">
        <f t="shared" si="12"/>
        <v>-4015.9651103192996</v>
      </c>
      <c r="Q61" s="86"/>
      <c r="R61" s="86"/>
      <c r="S61" s="86"/>
      <c r="T61" s="86"/>
      <c r="U61" s="86"/>
      <c r="V61" s="86"/>
    </row>
    <row r="62" spans="1:22">
      <c r="A62" s="22">
        <f t="shared" si="14"/>
        <v>62</v>
      </c>
      <c r="B62" s="155" t="s">
        <v>192</v>
      </c>
      <c r="C62" s="220"/>
      <c r="D62" s="208">
        <f>(D21-D22)*4.62%*(D23-D9)*(D3=1)*IF(D9&gt;0,(D44+D45+D52+D53+D54+D55+D56+D57)/D9,0)*(D23&gt;0)</f>
        <v>0</v>
      </c>
      <c r="E62" s="105">
        <f>(E21-E22)*4.62%*(E23-E9)*(E3=1)*IF(E9&gt;0,(E44+E45+E52+E53+E54+E55+E56+E57)/E9,0)*(E23&gt;0)</f>
        <v>0</v>
      </c>
      <c r="F62" s="105">
        <f>(F21-F22)*4.62%*(F23-F9)*(F3=1)*IF(F9&gt;0,(F44+F45+F52+F53+F54+F55+F56+F57)/F9,0)*(F23&gt;0)</f>
        <v>0</v>
      </c>
      <c r="G62" s="105">
        <f>(G21-G22)*4.62%*(G23-G9)*(G3=1)*IF(G9&gt;0,(G44+G45+G52+G53+G54+G55+G56+G57)/G9,0)*(G23&gt;0)</f>
        <v>0</v>
      </c>
      <c r="H62" s="105">
        <f>(H21-H22)*4.62%*(H23-H9)*(H3=1)*IF(H9&gt;0,(H44+H45+H52+H53+H54+H55+H56+H57)/H9,0)*(H23&gt;0)</f>
        <v>0</v>
      </c>
      <c r="I62" s="105">
        <f t="shared" ref="I62:O62" si="31">(I21-I22)*4.62%*(I24-I9)*(I3=1)*IF(I9&gt;0,(I44+I45+I52+I53+I54+I55+I56+I57)/I9,0)*(I24&gt;0)</f>
        <v>0</v>
      </c>
      <c r="J62" s="105">
        <f t="shared" si="31"/>
        <v>0</v>
      </c>
      <c r="K62" s="105">
        <f t="shared" si="31"/>
        <v>0</v>
      </c>
      <c r="L62" s="105">
        <f t="shared" si="31"/>
        <v>0</v>
      </c>
      <c r="M62" s="105">
        <f t="shared" si="31"/>
        <v>1.0344717859086769E-6</v>
      </c>
      <c r="N62" s="105">
        <f t="shared" si="31"/>
        <v>0</v>
      </c>
      <c r="O62" s="105">
        <f t="shared" si="31"/>
        <v>206.89435718173542</v>
      </c>
      <c r="P62" s="106">
        <f t="shared" si="12"/>
        <v>206.89435821620719</v>
      </c>
      <c r="Q62" s="86"/>
      <c r="R62" s="86"/>
      <c r="S62" s="86"/>
      <c r="T62" s="86"/>
      <c r="U62" s="86"/>
      <c r="V62" s="86"/>
    </row>
    <row r="63" spans="1:22">
      <c r="A63" s="22">
        <f t="shared" si="14"/>
        <v>63</v>
      </c>
      <c r="B63" s="155" t="s">
        <v>179</v>
      </c>
      <c r="C63" s="220"/>
      <c r="D63" s="208">
        <f t="shared" ref="D63:O63" si="32">SUM(D32:D42)+MAX(D31-8000,0)</f>
        <v>0</v>
      </c>
      <c r="E63" s="105">
        <f t="shared" si="32"/>
        <v>0</v>
      </c>
      <c r="F63" s="105">
        <f t="shared" si="32"/>
        <v>0</v>
      </c>
      <c r="G63" s="105">
        <f t="shared" si="32"/>
        <v>0</v>
      </c>
      <c r="H63" s="105">
        <f t="shared" si="32"/>
        <v>0</v>
      </c>
      <c r="I63" s="105">
        <f t="shared" si="32"/>
        <v>0</v>
      </c>
      <c r="J63" s="105">
        <f t="shared" si="32"/>
        <v>0</v>
      </c>
      <c r="K63" s="105">
        <f t="shared" si="32"/>
        <v>0</v>
      </c>
      <c r="L63" s="105">
        <f t="shared" si="32"/>
        <v>0</v>
      </c>
      <c r="M63" s="105">
        <f t="shared" si="32"/>
        <v>2653.37</v>
      </c>
      <c r="N63" s="105">
        <f t="shared" si="32"/>
        <v>0</v>
      </c>
      <c r="O63" s="105">
        <f t="shared" si="32"/>
        <v>0</v>
      </c>
      <c r="P63" s="106">
        <f t="shared" si="12"/>
        <v>2653.37</v>
      </c>
      <c r="Q63" s="86"/>
      <c r="R63" s="86"/>
      <c r="S63" s="86"/>
      <c r="T63" s="86"/>
      <c r="U63" s="86"/>
      <c r="V63" s="86"/>
    </row>
    <row r="64" spans="1:22">
      <c r="A64" s="22">
        <f t="shared" si="14"/>
        <v>64</v>
      </c>
      <c r="B64" s="181" t="s">
        <v>16</v>
      </c>
      <c r="C64" s="220"/>
      <c r="D64" s="209">
        <f>SUM(D28:D30)+IF(D31&gt;0,MIN(D31,8000),0)</f>
        <v>0</v>
      </c>
      <c r="E64" s="209">
        <f t="shared" ref="E64:O64" si="33">SUM(E28:E30)+IF(E31&gt;0,MIN(E31,8000),0)</f>
        <v>0</v>
      </c>
      <c r="F64" s="209">
        <f t="shared" si="33"/>
        <v>0</v>
      </c>
      <c r="G64" s="209">
        <f t="shared" si="33"/>
        <v>0</v>
      </c>
      <c r="H64" s="209">
        <f t="shared" si="33"/>
        <v>0</v>
      </c>
      <c r="I64" s="209">
        <f t="shared" si="33"/>
        <v>0</v>
      </c>
      <c r="J64" s="209">
        <f t="shared" si="33"/>
        <v>0</v>
      </c>
      <c r="K64" s="209">
        <f t="shared" si="33"/>
        <v>0</v>
      </c>
      <c r="L64" s="209">
        <f t="shared" si="33"/>
        <v>0</v>
      </c>
      <c r="M64" s="209">
        <f t="shared" si="33"/>
        <v>0</v>
      </c>
      <c r="N64" s="209">
        <f t="shared" si="33"/>
        <v>0</v>
      </c>
      <c r="O64" s="209">
        <f t="shared" si="33"/>
        <v>0</v>
      </c>
      <c r="P64" s="107">
        <f t="shared" si="12"/>
        <v>0</v>
      </c>
      <c r="Q64" s="86"/>
      <c r="R64" s="86"/>
      <c r="S64" s="86"/>
      <c r="T64" s="86"/>
      <c r="U64" s="86"/>
      <c r="V64" s="86"/>
    </row>
    <row r="65" spans="1:22">
      <c r="A65" s="22">
        <f t="shared" si="14"/>
        <v>65</v>
      </c>
      <c r="B65" s="75" t="s">
        <v>104</v>
      </c>
      <c r="C65" s="221"/>
      <c r="D65" s="210">
        <f>SUM(D44:D64)</f>
        <v>13369.164969999998</v>
      </c>
      <c r="E65" s="210">
        <f t="shared" ref="E65:O65" si="34">SUM(E44:E64)</f>
        <v>17385.129999999997</v>
      </c>
      <c r="F65" s="210">
        <f t="shared" si="34"/>
        <v>17385.129999999997</v>
      </c>
      <c r="G65" s="210">
        <f t="shared" si="34"/>
        <v>17385.129999999997</v>
      </c>
      <c r="H65" s="210">
        <f t="shared" si="34"/>
        <v>17385.129999999997</v>
      </c>
      <c r="I65" s="210">
        <f t="shared" si="34"/>
        <v>17385.129999999997</v>
      </c>
      <c r="J65" s="210">
        <f t="shared" si="34"/>
        <v>17385.129999999997</v>
      </c>
      <c r="K65" s="210">
        <f t="shared" si="34"/>
        <v>17385.129999999997</v>
      </c>
      <c r="L65" s="210">
        <f t="shared" si="34"/>
        <v>17385.129999999997</v>
      </c>
      <c r="M65" s="210">
        <f t="shared" si="34"/>
        <v>20038.499920715167</v>
      </c>
      <c r="N65" s="210">
        <f t="shared" si="34"/>
        <v>17385.129999999997</v>
      </c>
      <c r="O65" s="210">
        <f t="shared" si="34"/>
        <v>17592.024357181734</v>
      </c>
      <c r="P65" s="81">
        <f t="shared" si="12"/>
        <v>207465.85924789691</v>
      </c>
      <c r="Q65" s="86"/>
      <c r="R65" s="86"/>
      <c r="S65" s="86"/>
      <c r="T65" s="86"/>
      <c r="U65" s="86"/>
      <c r="V65" s="86"/>
    </row>
    <row r="66" spans="1:22">
      <c r="A66" s="22">
        <f t="shared" si="14"/>
        <v>66</v>
      </c>
      <c r="B66" s="154" t="s">
        <v>102</v>
      </c>
      <c r="C66" s="220"/>
      <c r="D66" s="207">
        <f>ROUND(D44*17.3%/3,2)*(D6="L")</f>
        <v>847.32</v>
      </c>
      <c r="E66" s="103">
        <f t="shared" ref="E66:O66" si="35">ROUND(E44*17.3%/3,2)*(E6="L")</f>
        <v>847.32</v>
      </c>
      <c r="F66" s="103">
        <f t="shared" si="35"/>
        <v>847.32</v>
      </c>
      <c r="G66" s="103">
        <f t="shared" si="35"/>
        <v>847.32</v>
      </c>
      <c r="H66" s="103">
        <f t="shared" si="35"/>
        <v>847.32</v>
      </c>
      <c r="I66" s="103">
        <f t="shared" si="35"/>
        <v>847.32</v>
      </c>
      <c r="J66" s="103">
        <f t="shared" si="35"/>
        <v>847.32</v>
      </c>
      <c r="K66" s="103">
        <f t="shared" si="35"/>
        <v>847.32</v>
      </c>
      <c r="L66" s="103">
        <f t="shared" si="35"/>
        <v>847.32</v>
      </c>
      <c r="M66" s="103">
        <f t="shared" si="35"/>
        <v>847.32</v>
      </c>
      <c r="N66" s="103">
        <f t="shared" si="35"/>
        <v>847.32</v>
      </c>
      <c r="O66" s="103">
        <f t="shared" si="35"/>
        <v>847.32</v>
      </c>
      <c r="P66" s="104">
        <f t="shared" si="12"/>
        <v>10167.839999999998</v>
      </c>
      <c r="Q66" s="86"/>
      <c r="R66" s="86"/>
      <c r="S66" s="86"/>
      <c r="T66" s="86"/>
      <c r="U66" s="86"/>
      <c r="V66" s="86"/>
    </row>
    <row r="67" spans="1:22">
      <c r="A67" s="22">
        <f t="shared" si="14"/>
        <v>67</v>
      </c>
      <c r="B67" s="155" t="s">
        <v>183</v>
      </c>
      <c r="C67" s="220"/>
      <c r="D67" s="208">
        <f>ROUND(D46*17.3%/3,2)*(D6="L")</f>
        <v>64.62</v>
      </c>
      <c r="E67" s="105">
        <f t="shared" ref="E67:O67" si="36">ROUND(E46*17.3%/3,2)*(E6="L")</f>
        <v>64.62</v>
      </c>
      <c r="F67" s="105">
        <f t="shared" si="36"/>
        <v>64.62</v>
      </c>
      <c r="G67" s="105">
        <f t="shared" si="36"/>
        <v>64.62</v>
      </c>
      <c r="H67" s="105">
        <f t="shared" si="36"/>
        <v>64.62</v>
      </c>
      <c r="I67" s="105">
        <f t="shared" si="36"/>
        <v>64.62</v>
      </c>
      <c r="J67" s="105">
        <f t="shared" si="36"/>
        <v>64.62</v>
      </c>
      <c r="K67" s="105">
        <f t="shared" si="36"/>
        <v>64.62</v>
      </c>
      <c r="L67" s="105">
        <f t="shared" si="36"/>
        <v>64.62</v>
      </c>
      <c r="M67" s="105">
        <f t="shared" si="36"/>
        <v>64.62</v>
      </c>
      <c r="N67" s="105">
        <f t="shared" si="36"/>
        <v>64.62</v>
      </c>
      <c r="O67" s="105">
        <f t="shared" si="36"/>
        <v>64.62</v>
      </c>
      <c r="P67" s="106">
        <f t="shared" si="12"/>
        <v>775.44</v>
      </c>
      <c r="Q67" s="86"/>
      <c r="R67" s="86"/>
      <c r="S67" s="86"/>
      <c r="T67" s="86"/>
      <c r="U67" s="86"/>
      <c r="V67" s="86"/>
    </row>
    <row r="68" spans="1:22">
      <c r="A68" s="22">
        <f t="shared" si="14"/>
        <v>68</v>
      </c>
      <c r="B68" s="155" t="s">
        <v>103</v>
      </c>
      <c r="C68" s="220"/>
      <c r="D68" s="208">
        <f>ROUND(D47*17.3%/3,2)</f>
        <v>0</v>
      </c>
      <c r="E68" s="105">
        <f t="shared" ref="E68:O68" si="37">ROUND(E47*17.3%/3,2)</f>
        <v>0</v>
      </c>
      <c r="F68" s="105">
        <f t="shared" si="37"/>
        <v>0</v>
      </c>
      <c r="G68" s="105">
        <f t="shared" si="37"/>
        <v>0</v>
      </c>
      <c r="H68" s="105">
        <f t="shared" si="37"/>
        <v>0</v>
      </c>
      <c r="I68" s="105">
        <f t="shared" si="37"/>
        <v>0</v>
      </c>
      <c r="J68" s="105">
        <f t="shared" si="37"/>
        <v>0</v>
      </c>
      <c r="K68" s="105">
        <f t="shared" si="37"/>
        <v>0</v>
      </c>
      <c r="L68" s="105">
        <f t="shared" si="37"/>
        <v>0</v>
      </c>
      <c r="M68" s="105">
        <f t="shared" si="37"/>
        <v>0</v>
      </c>
      <c r="N68" s="105">
        <f t="shared" si="37"/>
        <v>0</v>
      </c>
      <c r="O68" s="105">
        <f t="shared" si="37"/>
        <v>0</v>
      </c>
      <c r="P68" s="106">
        <f t="shared" si="12"/>
        <v>0</v>
      </c>
      <c r="Q68" s="86"/>
      <c r="R68" s="86"/>
      <c r="S68" s="86"/>
      <c r="T68" s="86"/>
      <c r="U68" s="86"/>
      <c r="V68" s="86"/>
    </row>
    <row r="69" spans="1:22">
      <c r="A69" s="22">
        <f t="shared" si="14"/>
        <v>69</v>
      </c>
      <c r="B69" s="155" t="s">
        <v>190</v>
      </c>
      <c r="C69" s="220"/>
      <c r="D69" s="208">
        <f>ROUND(D48*17.3%/3,2)*OR((D6="L"),(LEFT(D19)="J"))</f>
        <v>0</v>
      </c>
      <c r="E69" s="105">
        <f t="shared" ref="E69:O69" si="38">ROUND(E48*17.3%/3,2)*OR((E6="L"),(LEFT(E19)="J"))</f>
        <v>0</v>
      </c>
      <c r="F69" s="105">
        <f t="shared" si="38"/>
        <v>0</v>
      </c>
      <c r="G69" s="105">
        <f t="shared" si="38"/>
        <v>0</v>
      </c>
      <c r="H69" s="105">
        <f t="shared" si="38"/>
        <v>0</v>
      </c>
      <c r="I69" s="105">
        <f t="shared" si="38"/>
        <v>0</v>
      </c>
      <c r="J69" s="105">
        <f t="shared" si="38"/>
        <v>0</v>
      </c>
      <c r="K69" s="105">
        <f t="shared" si="38"/>
        <v>0</v>
      </c>
      <c r="L69" s="105">
        <f t="shared" si="38"/>
        <v>0</v>
      </c>
      <c r="M69" s="105">
        <f t="shared" si="38"/>
        <v>0</v>
      </c>
      <c r="N69" s="105">
        <f t="shared" si="38"/>
        <v>0</v>
      </c>
      <c r="O69" s="105">
        <f t="shared" si="38"/>
        <v>0</v>
      </c>
      <c r="P69" s="106">
        <f t="shared" si="12"/>
        <v>0</v>
      </c>
      <c r="Q69" s="86"/>
      <c r="R69" s="86"/>
      <c r="S69" s="86"/>
      <c r="T69" s="86"/>
      <c r="U69" s="86"/>
      <c r="V69" s="86"/>
    </row>
    <row r="70" spans="1:22">
      <c r="A70" s="22">
        <f t="shared" si="14"/>
        <v>70</v>
      </c>
      <c r="B70" s="155" t="s">
        <v>191</v>
      </c>
      <c r="C70" s="220"/>
      <c r="D70" s="208">
        <f>ROUND(D49*17.3%/3,2)*OR((D6="L"),(LEFT(D19)="J"))</f>
        <v>0</v>
      </c>
      <c r="E70" s="105">
        <f t="shared" ref="E70:O70" si="39">ROUND(E49*17.3%/3,2)*OR((E6="L"),(LEFT(E19)="J"))</f>
        <v>0</v>
      </c>
      <c r="F70" s="105">
        <f t="shared" si="39"/>
        <v>0</v>
      </c>
      <c r="G70" s="105">
        <f t="shared" si="39"/>
        <v>0</v>
      </c>
      <c r="H70" s="105">
        <f t="shared" si="39"/>
        <v>0</v>
      </c>
      <c r="I70" s="105">
        <f t="shared" si="39"/>
        <v>0</v>
      </c>
      <c r="J70" s="105">
        <f t="shared" si="39"/>
        <v>0</v>
      </c>
      <c r="K70" s="105">
        <f t="shared" si="39"/>
        <v>0</v>
      </c>
      <c r="L70" s="105">
        <f t="shared" si="39"/>
        <v>0</v>
      </c>
      <c r="M70" s="105">
        <f t="shared" si="39"/>
        <v>0</v>
      </c>
      <c r="N70" s="105">
        <f t="shared" si="39"/>
        <v>0</v>
      </c>
      <c r="O70" s="105">
        <f t="shared" si="39"/>
        <v>0</v>
      </c>
      <c r="P70" s="106">
        <f t="shared" si="12"/>
        <v>0</v>
      </c>
      <c r="Q70" s="86"/>
      <c r="R70" s="86"/>
      <c r="S70" s="86"/>
      <c r="T70" s="86"/>
      <c r="U70" s="86"/>
      <c r="V70" s="86"/>
    </row>
    <row r="71" spans="1:22">
      <c r="A71" s="22">
        <f t="shared" si="14"/>
        <v>71</v>
      </c>
      <c r="B71" s="155" t="s">
        <v>56</v>
      </c>
      <c r="C71" s="220"/>
      <c r="D71" s="208">
        <f>ROUND(D50*17.3%/3,2)*OR((D6="L"),(LEFT(D19)="J"))</f>
        <v>0</v>
      </c>
      <c r="E71" s="105">
        <f t="shared" ref="E71:O71" si="40">ROUND(E50*17.3%/3,2)*OR((E6="L"),(LEFT(E19)="J"))</f>
        <v>0</v>
      </c>
      <c r="F71" s="105">
        <f t="shared" si="40"/>
        <v>0</v>
      </c>
      <c r="G71" s="105">
        <f t="shared" si="40"/>
        <v>0</v>
      </c>
      <c r="H71" s="105">
        <f t="shared" si="40"/>
        <v>0</v>
      </c>
      <c r="I71" s="105">
        <f t="shared" si="40"/>
        <v>0</v>
      </c>
      <c r="J71" s="105">
        <f t="shared" si="40"/>
        <v>0</v>
      </c>
      <c r="K71" s="105">
        <f t="shared" si="40"/>
        <v>0</v>
      </c>
      <c r="L71" s="105">
        <f t="shared" si="40"/>
        <v>0</v>
      </c>
      <c r="M71" s="105">
        <f t="shared" si="40"/>
        <v>0</v>
      </c>
      <c r="N71" s="105">
        <f t="shared" si="40"/>
        <v>0</v>
      </c>
      <c r="O71" s="105">
        <f t="shared" si="40"/>
        <v>0</v>
      </c>
      <c r="P71" s="106">
        <f t="shared" si="12"/>
        <v>0</v>
      </c>
      <c r="Q71" s="86"/>
      <c r="R71" s="86"/>
      <c r="S71" s="86"/>
      <c r="T71" s="86"/>
      <c r="U71" s="86"/>
      <c r="V71" s="86"/>
    </row>
    <row r="72" spans="1:22">
      <c r="A72" s="22">
        <f t="shared" si="14"/>
        <v>72</v>
      </c>
      <c r="B72" s="155" t="s">
        <v>57</v>
      </c>
      <c r="C72" s="220"/>
      <c r="D72" s="208">
        <f>ROUND(D51*17.3%/3,2)*OR((D6="L"),(LEFT(D19)="J"))</f>
        <v>0</v>
      </c>
      <c r="E72" s="105">
        <f t="shared" ref="E72:O72" si="41">ROUND(E51*17.3%/3,2)*OR((E6="L"),(LEFT(E19)="J"))</f>
        <v>0</v>
      </c>
      <c r="F72" s="105">
        <f t="shared" si="41"/>
        <v>0</v>
      </c>
      <c r="G72" s="105">
        <f t="shared" si="41"/>
        <v>0</v>
      </c>
      <c r="H72" s="105">
        <f t="shared" si="41"/>
        <v>0</v>
      </c>
      <c r="I72" s="105">
        <f t="shared" si="41"/>
        <v>0</v>
      </c>
      <c r="J72" s="105">
        <f t="shared" si="41"/>
        <v>0</v>
      </c>
      <c r="K72" s="105">
        <f t="shared" si="41"/>
        <v>0</v>
      </c>
      <c r="L72" s="105">
        <f t="shared" si="41"/>
        <v>0</v>
      </c>
      <c r="M72" s="105">
        <f t="shared" si="41"/>
        <v>0</v>
      </c>
      <c r="N72" s="105">
        <f t="shared" si="41"/>
        <v>0</v>
      </c>
      <c r="O72" s="105">
        <f t="shared" si="41"/>
        <v>0</v>
      </c>
      <c r="P72" s="106">
        <f t="shared" si="12"/>
        <v>0</v>
      </c>
      <c r="Q72" s="86"/>
      <c r="R72" s="86"/>
      <c r="S72" s="86"/>
      <c r="T72" s="86"/>
      <c r="U72" s="86"/>
      <c r="V72" s="86"/>
    </row>
    <row r="73" spans="1:22">
      <c r="A73" s="22">
        <f t="shared" si="14"/>
        <v>73</v>
      </c>
      <c r="B73" s="155" t="s">
        <v>58</v>
      </c>
      <c r="C73" s="220"/>
      <c r="D73" s="208">
        <f>ROUND(D52*17.3%/3,2)*OR((D6="L"),(LEFT(D19)="J"))</f>
        <v>49.99</v>
      </c>
      <c r="E73" s="105">
        <f t="shared" ref="E73:O73" si="42">ROUND(E52*17.3%/3,2)*OR((E6="L"),(LEFT(E19)="J"))</f>
        <v>49.99</v>
      </c>
      <c r="F73" s="105">
        <f t="shared" si="42"/>
        <v>49.99</v>
      </c>
      <c r="G73" s="105">
        <f t="shared" si="42"/>
        <v>49.99</v>
      </c>
      <c r="H73" s="105">
        <f t="shared" si="42"/>
        <v>49.99</v>
      </c>
      <c r="I73" s="105">
        <f t="shared" si="42"/>
        <v>49.99</v>
      </c>
      <c r="J73" s="105">
        <f t="shared" si="42"/>
        <v>49.99</v>
      </c>
      <c r="K73" s="105">
        <f t="shared" si="42"/>
        <v>49.99</v>
      </c>
      <c r="L73" s="105">
        <f t="shared" si="42"/>
        <v>49.99</v>
      </c>
      <c r="M73" s="105">
        <f t="shared" si="42"/>
        <v>49.99</v>
      </c>
      <c r="N73" s="105">
        <f t="shared" si="42"/>
        <v>49.99</v>
      </c>
      <c r="O73" s="105">
        <f t="shared" si="42"/>
        <v>49.99</v>
      </c>
      <c r="P73" s="106">
        <f t="shared" si="12"/>
        <v>599.88</v>
      </c>
      <c r="Q73" s="86"/>
      <c r="R73" s="86"/>
      <c r="S73" s="86"/>
      <c r="T73" s="86"/>
      <c r="U73" s="86"/>
      <c r="V73" s="86"/>
    </row>
    <row r="74" spans="1:22">
      <c r="A74" s="22">
        <f t="shared" si="14"/>
        <v>74</v>
      </c>
      <c r="B74" s="155" t="s">
        <v>59</v>
      </c>
      <c r="C74" s="220"/>
      <c r="D74" s="208">
        <f t="shared" ref="D74:O74" si="43">ROUND(D53*17.3%/3,2)*OR((D6="L"),(LEFT(D19)="J"))</f>
        <v>0</v>
      </c>
      <c r="E74" s="105">
        <f t="shared" si="43"/>
        <v>0</v>
      </c>
      <c r="F74" s="105">
        <f t="shared" si="43"/>
        <v>0</v>
      </c>
      <c r="G74" s="105">
        <f t="shared" si="43"/>
        <v>0</v>
      </c>
      <c r="H74" s="105">
        <f t="shared" si="43"/>
        <v>0</v>
      </c>
      <c r="I74" s="105">
        <f t="shared" si="43"/>
        <v>0</v>
      </c>
      <c r="J74" s="105">
        <f t="shared" si="43"/>
        <v>0</v>
      </c>
      <c r="K74" s="105">
        <f t="shared" si="43"/>
        <v>0</v>
      </c>
      <c r="L74" s="105">
        <f t="shared" si="43"/>
        <v>0</v>
      </c>
      <c r="M74" s="105">
        <f t="shared" si="43"/>
        <v>0</v>
      </c>
      <c r="N74" s="105">
        <f t="shared" si="43"/>
        <v>0</v>
      </c>
      <c r="O74" s="105">
        <f t="shared" si="43"/>
        <v>0</v>
      </c>
      <c r="P74" s="106">
        <f t="shared" si="12"/>
        <v>0</v>
      </c>
      <c r="Q74" s="86"/>
      <c r="R74" s="86"/>
      <c r="S74" s="86"/>
      <c r="T74" s="86"/>
      <c r="U74" s="86"/>
      <c r="V74" s="86"/>
    </row>
    <row r="75" spans="1:22">
      <c r="A75" s="22">
        <f t="shared" si="14"/>
        <v>75</v>
      </c>
      <c r="B75" s="155" t="s">
        <v>14</v>
      </c>
      <c r="C75" s="220"/>
      <c r="D75" s="208">
        <f t="shared" ref="D75:O75" si="44">ROUND(D54*17.3%/3,2)*OR((D7="L"),(LEFT(D20)="J"))</f>
        <v>0</v>
      </c>
      <c r="E75" s="105">
        <f t="shared" si="44"/>
        <v>0</v>
      </c>
      <c r="F75" s="105">
        <f t="shared" si="44"/>
        <v>0</v>
      </c>
      <c r="G75" s="105">
        <f t="shared" si="44"/>
        <v>0</v>
      </c>
      <c r="H75" s="105">
        <f t="shared" si="44"/>
        <v>0</v>
      </c>
      <c r="I75" s="105">
        <f t="shared" si="44"/>
        <v>0</v>
      </c>
      <c r="J75" s="105">
        <f t="shared" si="44"/>
        <v>0</v>
      </c>
      <c r="K75" s="105">
        <f t="shared" si="44"/>
        <v>0</v>
      </c>
      <c r="L75" s="105">
        <f t="shared" si="44"/>
        <v>0</v>
      </c>
      <c r="M75" s="105">
        <f t="shared" si="44"/>
        <v>0</v>
      </c>
      <c r="N75" s="105">
        <f t="shared" si="44"/>
        <v>0</v>
      </c>
      <c r="O75" s="105">
        <f t="shared" si="44"/>
        <v>0</v>
      </c>
      <c r="P75" s="106">
        <f>SUM(D75:O75)</f>
        <v>0</v>
      </c>
      <c r="Q75" s="86"/>
      <c r="R75" s="86"/>
      <c r="S75" s="86"/>
      <c r="T75" s="86"/>
      <c r="U75" s="86"/>
      <c r="V75" s="86"/>
    </row>
    <row r="76" spans="1:22">
      <c r="A76" s="22">
        <f t="shared" si="14"/>
        <v>76</v>
      </c>
      <c r="B76" s="155" t="s">
        <v>60</v>
      </c>
      <c r="C76" s="220"/>
      <c r="D76" s="208">
        <f>ROUND(D55*17.3%/3,2)*(D6="L")</f>
        <v>0</v>
      </c>
      <c r="E76" s="105">
        <f t="shared" ref="E76:O76" si="45">ROUND(E55*17.3%/3,2)*(E6="L")</f>
        <v>0</v>
      </c>
      <c r="F76" s="105">
        <f t="shared" si="45"/>
        <v>0</v>
      </c>
      <c r="G76" s="105">
        <f t="shared" si="45"/>
        <v>0</v>
      </c>
      <c r="H76" s="105">
        <f t="shared" si="45"/>
        <v>0</v>
      </c>
      <c r="I76" s="105">
        <f t="shared" si="45"/>
        <v>0</v>
      </c>
      <c r="J76" s="105">
        <f t="shared" si="45"/>
        <v>0</v>
      </c>
      <c r="K76" s="105">
        <f t="shared" si="45"/>
        <v>0</v>
      </c>
      <c r="L76" s="105">
        <f t="shared" si="45"/>
        <v>0</v>
      </c>
      <c r="M76" s="105">
        <f t="shared" si="45"/>
        <v>0</v>
      </c>
      <c r="N76" s="105">
        <f t="shared" si="45"/>
        <v>0</v>
      </c>
      <c r="O76" s="105">
        <f t="shared" si="45"/>
        <v>0</v>
      </c>
      <c r="P76" s="106">
        <f t="shared" si="12"/>
        <v>0</v>
      </c>
      <c r="Q76" s="86"/>
      <c r="R76" s="86"/>
      <c r="S76" s="86"/>
      <c r="T76" s="86"/>
      <c r="U76" s="86"/>
      <c r="V76" s="86"/>
    </row>
    <row r="77" spans="1:22">
      <c r="A77" s="22">
        <f t="shared" si="14"/>
        <v>77</v>
      </c>
      <c r="B77" s="155" t="s">
        <v>61</v>
      </c>
      <c r="C77" s="220"/>
      <c r="D77" s="208">
        <f>ROUND(D57*17.3%/3,2)*(D6="L")</f>
        <v>0</v>
      </c>
      <c r="E77" s="105">
        <f t="shared" ref="E77:O77" si="46">ROUND(E57*17.3%/3,2)*(E6="L")</f>
        <v>0</v>
      </c>
      <c r="F77" s="105">
        <f t="shared" si="46"/>
        <v>0</v>
      </c>
      <c r="G77" s="105">
        <f t="shared" si="46"/>
        <v>0</v>
      </c>
      <c r="H77" s="105">
        <f t="shared" si="46"/>
        <v>0</v>
      </c>
      <c r="I77" s="105">
        <f t="shared" si="46"/>
        <v>0</v>
      </c>
      <c r="J77" s="105">
        <f t="shared" si="46"/>
        <v>0</v>
      </c>
      <c r="K77" s="105">
        <f t="shared" si="46"/>
        <v>0</v>
      </c>
      <c r="L77" s="105">
        <f t="shared" si="46"/>
        <v>0</v>
      </c>
      <c r="M77" s="105">
        <f t="shared" si="46"/>
        <v>0</v>
      </c>
      <c r="N77" s="105">
        <f t="shared" si="46"/>
        <v>0</v>
      </c>
      <c r="O77" s="105">
        <f t="shared" si="46"/>
        <v>0</v>
      </c>
      <c r="P77" s="106">
        <f t="shared" si="12"/>
        <v>0</v>
      </c>
      <c r="Q77" s="86"/>
      <c r="R77" s="86"/>
      <c r="S77" s="86"/>
      <c r="T77" s="86"/>
      <c r="U77" s="86"/>
      <c r="V77" s="86"/>
    </row>
    <row r="78" spans="1:22">
      <c r="A78" s="22">
        <f t="shared" si="14"/>
        <v>78</v>
      </c>
      <c r="B78" s="155" t="s">
        <v>108</v>
      </c>
      <c r="C78" s="220"/>
      <c r="D78" s="208">
        <f>((SUM(D44:D60)-230328.08*D7*D9/12)*0.7%/3*((D65-D61)&gt;230328.08/12*D7*D9)*(LEFT(D4)="B")+(SUM(D44:D60)-275936.7*D7*D9/12)*0.7%/3*(SUM(D44:D60)&gt;275936.7/12*D7*D9)*(LEFT(D4)="L"))*(LEFT(D6)&lt;&gt;"L")*(LEFT(D19)="J")</f>
        <v>0</v>
      </c>
      <c r="E78" s="105">
        <f t="shared" ref="E78:O78" si="47">((SUM(E44:E60)-230328.08*E7*E9/12)*0.7%/3*((E65-E61)&gt;230328.08/12*E7*E9)*(LEFT(E4)="B")+(SUM(E44:E60)-275936.7*E7*E9/12)*0.7%/3*(SUM(E44:E60)&gt;275936.7/12*E7*E9)*(LEFT(E4)="L"))*(LEFT(E6)&lt;&gt;"L")*(LEFT(E19)="J")</f>
        <v>0</v>
      </c>
      <c r="F78" s="105">
        <f t="shared" si="47"/>
        <v>0</v>
      </c>
      <c r="G78" s="105">
        <f t="shared" si="47"/>
        <v>0</v>
      </c>
      <c r="H78" s="105">
        <f t="shared" si="47"/>
        <v>0</v>
      </c>
      <c r="I78" s="105">
        <f t="shared" si="47"/>
        <v>0</v>
      </c>
      <c r="J78" s="105">
        <f t="shared" si="47"/>
        <v>0</v>
      </c>
      <c r="K78" s="105">
        <f t="shared" si="47"/>
        <v>0</v>
      </c>
      <c r="L78" s="105">
        <f t="shared" si="47"/>
        <v>0</v>
      </c>
      <c r="M78" s="105">
        <f t="shared" si="47"/>
        <v>0</v>
      </c>
      <c r="N78" s="105">
        <f t="shared" si="47"/>
        <v>0</v>
      </c>
      <c r="O78" s="105">
        <f t="shared" si="47"/>
        <v>0</v>
      </c>
      <c r="P78" s="106">
        <f t="shared" si="12"/>
        <v>0</v>
      </c>
      <c r="Q78" s="86"/>
      <c r="R78" s="86"/>
      <c r="S78" s="86"/>
      <c r="T78" s="86"/>
      <c r="U78" s="86"/>
      <c r="V78" s="86"/>
    </row>
    <row r="79" spans="1:22">
      <c r="A79" s="22">
        <f t="shared" si="14"/>
        <v>79</v>
      </c>
      <c r="B79" s="155" t="s">
        <v>247</v>
      </c>
      <c r="C79" s="220"/>
      <c r="D79" s="208">
        <f>ROUND(-(D22+D25)*4.62%*SUM(D66:D78)/3,2)</f>
        <v>-74.069999999999993</v>
      </c>
      <c r="E79" s="208">
        <f t="shared" ref="E79:O79" si="48">ROUND(-(E22+E25)*4.62%*SUM(E66:E78)/3,2)</f>
        <v>0</v>
      </c>
      <c r="F79" s="208">
        <f t="shared" si="48"/>
        <v>0</v>
      </c>
      <c r="G79" s="208">
        <f t="shared" si="48"/>
        <v>0</v>
      </c>
      <c r="H79" s="208">
        <f t="shared" si="48"/>
        <v>0</v>
      </c>
      <c r="I79" s="208">
        <f t="shared" si="48"/>
        <v>0</v>
      </c>
      <c r="J79" s="208">
        <f t="shared" si="48"/>
        <v>0</v>
      </c>
      <c r="K79" s="208">
        <f t="shared" si="48"/>
        <v>0</v>
      </c>
      <c r="L79" s="208">
        <f t="shared" si="48"/>
        <v>0</v>
      </c>
      <c r="M79" s="208">
        <f t="shared" si="48"/>
        <v>0</v>
      </c>
      <c r="N79" s="208">
        <f t="shared" si="48"/>
        <v>0</v>
      </c>
      <c r="O79" s="208">
        <f t="shared" si="48"/>
        <v>0</v>
      </c>
      <c r="P79" s="106">
        <f t="shared" si="12"/>
        <v>-74.069999999999993</v>
      </c>
      <c r="Q79" s="86"/>
      <c r="R79" s="86"/>
      <c r="S79" s="86"/>
      <c r="T79" s="86"/>
      <c r="U79" s="86"/>
      <c r="V79" s="86"/>
    </row>
    <row r="80" spans="1:22">
      <c r="A80" s="22">
        <f t="shared" si="14"/>
        <v>80</v>
      </c>
      <c r="B80" s="156" t="s">
        <v>35</v>
      </c>
      <c r="C80" s="220"/>
      <c r="D80" s="211">
        <f>IF(OR(D62=0,D9=0),0,(D66+D73+D74+D76+D77)/D9*4.62%*(D23-D9)*(D21-D22))</f>
        <v>0</v>
      </c>
      <c r="E80" s="211">
        <f t="shared" ref="E80:L80" si="49">IF(OR(E62=0,E9=0),0,(E66+E73+E74+E76+E77)/E9*4.62%*(E23-E9)*(E21-E22))</f>
        <v>0</v>
      </c>
      <c r="F80" s="211">
        <f t="shared" si="49"/>
        <v>0</v>
      </c>
      <c r="G80" s="211">
        <f t="shared" si="49"/>
        <v>0</v>
      </c>
      <c r="H80" s="211">
        <f t="shared" si="49"/>
        <v>0</v>
      </c>
      <c r="I80" s="211">
        <f t="shared" si="49"/>
        <v>0</v>
      </c>
      <c r="J80" s="211">
        <f t="shared" si="49"/>
        <v>0</v>
      </c>
      <c r="K80" s="211">
        <f t="shared" si="49"/>
        <v>0</v>
      </c>
      <c r="L80" s="211">
        <f t="shared" si="49"/>
        <v>0</v>
      </c>
      <c r="M80" s="211">
        <f>IF(OR(M62=0,M9=0),0,(M66+M73+M74+M76+M77)/M9*4.62%*(M24-M9)*(M21-M22))</f>
        <v>5.7664445479286273E-8</v>
      </c>
      <c r="N80" s="211">
        <f>IF(OR(N62=0,N9=0),0,(N66+N73+N74+N76+N77)/N9*4.62%*(N24-N9)*(N21-N22))</f>
        <v>0</v>
      </c>
      <c r="O80" s="211">
        <f>IF(OR(O62=0,O9=0),0,(O66+O73+O74+O76+O77)/O9*4.62%*(O24-O9)*(O21-O22))</f>
        <v>11.532889095857255</v>
      </c>
      <c r="P80" s="123">
        <f t="shared" si="12"/>
        <v>11.532889153521701</v>
      </c>
      <c r="Q80" s="86"/>
      <c r="R80" s="86"/>
      <c r="S80" s="86"/>
      <c r="T80" s="86"/>
      <c r="U80" s="86"/>
      <c r="V80" s="86"/>
    </row>
    <row r="81" spans="1:22" ht="14" thickBot="1">
      <c r="A81" s="150">
        <f t="shared" si="14"/>
        <v>81</v>
      </c>
      <c r="B81" s="151" t="s">
        <v>181</v>
      </c>
      <c r="C81" s="221"/>
      <c r="D81" s="212">
        <f>SUM(D66:D80)</f>
        <v>887.86000000000013</v>
      </c>
      <c r="E81" s="152">
        <f t="shared" ref="E81:O81" si="50">SUM(E66:E80)</f>
        <v>961.93000000000006</v>
      </c>
      <c r="F81" s="152">
        <f t="shared" si="50"/>
        <v>961.93000000000006</v>
      </c>
      <c r="G81" s="152">
        <f t="shared" si="50"/>
        <v>961.93000000000006</v>
      </c>
      <c r="H81" s="152">
        <f t="shared" si="50"/>
        <v>961.93000000000006</v>
      </c>
      <c r="I81" s="152">
        <f t="shared" si="50"/>
        <v>961.93000000000006</v>
      </c>
      <c r="J81" s="152">
        <f t="shared" si="50"/>
        <v>961.93000000000006</v>
      </c>
      <c r="K81" s="152">
        <f t="shared" si="50"/>
        <v>961.93000000000006</v>
      </c>
      <c r="L81" s="152">
        <f t="shared" si="50"/>
        <v>961.93000000000006</v>
      </c>
      <c r="M81" s="152">
        <f t="shared" si="50"/>
        <v>961.93000005766453</v>
      </c>
      <c r="N81" s="152">
        <f t="shared" si="50"/>
        <v>961.93000000000006</v>
      </c>
      <c r="O81" s="152">
        <f t="shared" si="50"/>
        <v>973.46288909585735</v>
      </c>
      <c r="P81" s="153">
        <f t="shared" si="12"/>
        <v>11480.622889153523</v>
      </c>
      <c r="Q81" s="86"/>
      <c r="R81" s="86"/>
      <c r="S81" s="86"/>
      <c r="T81" s="86"/>
      <c r="U81" s="86"/>
      <c r="V81" s="86"/>
    </row>
    <row r="82" spans="1:22">
      <c r="A82" s="22">
        <f>A81+1</f>
        <v>82</v>
      </c>
      <c r="B82" s="182" t="s">
        <v>96</v>
      </c>
      <c r="C82" s="222"/>
      <c r="D82" s="213">
        <f>D94/3</f>
        <v>38.4</v>
      </c>
      <c r="E82" s="108">
        <f t="shared" ref="E82:O82" si="51">E94/3</f>
        <v>38.4</v>
      </c>
      <c r="F82" s="108">
        <f t="shared" si="51"/>
        <v>38.4</v>
      </c>
      <c r="G82" s="108">
        <f t="shared" si="51"/>
        <v>38.4</v>
      </c>
      <c r="H82" s="108">
        <f t="shared" si="51"/>
        <v>38.4</v>
      </c>
      <c r="I82" s="108">
        <f t="shared" si="51"/>
        <v>60</v>
      </c>
      <c r="J82" s="108">
        <f t="shared" si="51"/>
        <v>60</v>
      </c>
      <c r="K82" s="108">
        <f t="shared" si="51"/>
        <v>60</v>
      </c>
      <c r="L82" s="108">
        <f t="shared" si="51"/>
        <v>60</v>
      </c>
      <c r="M82" s="108">
        <f t="shared" si="51"/>
        <v>60</v>
      </c>
      <c r="N82" s="108">
        <f t="shared" si="51"/>
        <v>60</v>
      </c>
      <c r="O82" s="108">
        <f t="shared" si="51"/>
        <v>60</v>
      </c>
      <c r="P82" s="104">
        <f>SUM(D82:O82)</f>
        <v>612</v>
      </c>
      <c r="Q82" s="86"/>
      <c r="R82" s="86"/>
      <c r="S82" s="86"/>
      <c r="T82" s="86"/>
      <c r="U82" s="86"/>
      <c r="V82" s="86"/>
    </row>
    <row r="83" spans="1:22">
      <c r="A83" s="22">
        <f>A82+1</f>
        <v>83</v>
      </c>
      <c r="B83" s="182" t="s">
        <v>91</v>
      </c>
      <c r="C83" s="222"/>
      <c r="D83" s="213">
        <f t="shared" ref="D83:O83" si="52">SUM(D44:D63)-D82</f>
        <v>13330.764969999998</v>
      </c>
      <c r="E83" s="108">
        <f t="shared" si="52"/>
        <v>17346.729999999996</v>
      </c>
      <c r="F83" s="108">
        <f t="shared" si="52"/>
        <v>17346.729999999996</v>
      </c>
      <c r="G83" s="108">
        <f t="shared" si="52"/>
        <v>17346.729999999996</v>
      </c>
      <c r="H83" s="108">
        <f t="shared" si="52"/>
        <v>17346.729999999996</v>
      </c>
      <c r="I83" s="108">
        <f t="shared" si="52"/>
        <v>17325.129999999997</v>
      </c>
      <c r="J83" s="108">
        <f t="shared" si="52"/>
        <v>17325.129999999997</v>
      </c>
      <c r="K83" s="108">
        <f t="shared" si="52"/>
        <v>17325.129999999997</v>
      </c>
      <c r="L83" s="108">
        <f t="shared" si="52"/>
        <v>17325.129999999997</v>
      </c>
      <c r="M83" s="108">
        <f t="shared" si="52"/>
        <v>19978.499920715167</v>
      </c>
      <c r="N83" s="108">
        <f t="shared" si="52"/>
        <v>17325.129999999997</v>
      </c>
      <c r="O83" s="108">
        <f t="shared" si="52"/>
        <v>17532.024357181734</v>
      </c>
      <c r="P83" s="104">
        <f t="shared" ref="P83:P89" si="53">SUM(D83:O83)</f>
        <v>206853.85924789691</v>
      </c>
      <c r="Q83" s="86"/>
      <c r="R83" s="86"/>
      <c r="S83" s="86"/>
      <c r="T83" s="86"/>
      <c r="U83" s="86"/>
      <c r="V83" s="86"/>
    </row>
    <row r="84" spans="1:22">
      <c r="A84" s="22">
        <f t="shared" ref="A84:A100" si="54">A83+1</f>
        <v>84</v>
      </c>
      <c r="B84" s="183" t="s">
        <v>92</v>
      </c>
      <c r="C84" s="222"/>
      <c r="D84" s="214">
        <f>ROUND(D83*8%,0)</f>
        <v>1066</v>
      </c>
      <c r="E84" s="109">
        <f t="shared" ref="E84:O84" si="55">ROUND(E83*8%,0)</f>
        <v>1388</v>
      </c>
      <c r="F84" s="109">
        <f t="shared" si="55"/>
        <v>1388</v>
      </c>
      <c r="G84" s="109">
        <f t="shared" si="55"/>
        <v>1388</v>
      </c>
      <c r="H84" s="109">
        <f t="shared" si="55"/>
        <v>1388</v>
      </c>
      <c r="I84" s="109">
        <f t="shared" si="55"/>
        <v>1386</v>
      </c>
      <c r="J84" s="109">
        <f t="shared" si="55"/>
        <v>1386</v>
      </c>
      <c r="K84" s="109">
        <f t="shared" si="55"/>
        <v>1386</v>
      </c>
      <c r="L84" s="109">
        <f t="shared" si="55"/>
        <v>1386</v>
      </c>
      <c r="M84" s="109">
        <f t="shared" si="55"/>
        <v>1598</v>
      </c>
      <c r="N84" s="109">
        <f t="shared" si="55"/>
        <v>1386</v>
      </c>
      <c r="O84" s="109">
        <f t="shared" si="55"/>
        <v>1403</v>
      </c>
      <c r="P84" s="106">
        <f t="shared" si="53"/>
        <v>16549</v>
      </c>
      <c r="Q84" s="86"/>
      <c r="R84" s="86"/>
      <c r="S84" s="86"/>
      <c r="T84" s="86"/>
      <c r="U84" s="86"/>
      <c r="V84" s="86"/>
    </row>
    <row r="85" spans="1:22">
      <c r="A85" s="22">
        <f t="shared" si="54"/>
        <v>85</v>
      </c>
      <c r="B85" s="183" t="s">
        <v>93</v>
      </c>
      <c r="C85" s="222"/>
      <c r="D85" s="214">
        <f>D83-D84</f>
        <v>12264.764969999998</v>
      </c>
      <c r="E85" s="109">
        <f t="shared" ref="E85:O85" si="56">E83-E84</f>
        <v>15958.729999999996</v>
      </c>
      <c r="F85" s="109">
        <f t="shared" si="56"/>
        <v>15958.729999999996</v>
      </c>
      <c r="G85" s="109">
        <f t="shared" si="56"/>
        <v>15958.729999999996</v>
      </c>
      <c r="H85" s="109">
        <f t="shared" si="56"/>
        <v>15958.729999999996</v>
      </c>
      <c r="I85" s="109">
        <f t="shared" si="56"/>
        <v>15939.129999999997</v>
      </c>
      <c r="J85" s="109">
        <f t="shared" si="56"/>
        <v>15939.129999999997</v>
      </c>
      <c r="K85" s="109">
        <f t="shared" si="56"/>
        <v>15939.129999999997</v>
      </c>
      <c r="L85" s="109">
        <f t="shared" si="56"/>
        <v>15939.129999999997</v>
      </c>
      <c r="M85" s="109">
        <f t="shared" si="56"/>
        <v>18380.499920715167</v>
      </c>
      <c r="N85" s="109">
        <f t="shared" si="56"/>
        <v>15939.129999999997</v>
      </c>
      <c r="O85" s="109">
        <f t="shared" si="56"/>
        <v>16129.024357181734</v>
      </c>
      <c r="P85" s="106">
        <f t="shared" si="53"/>
        <v>190304.85924789691</v>
      </c>
      <c r="Q85" s="86"/>
      <c r="R85" s="86"/>
      <c r="S85" s="86"/>
      <c r="T85" s="86"/>
      <c r="U85" s="86"/>
      <c r="V85" s="86"/>
    </row>
    <row r="86" spans="1:22">
      <c r="A86" s="22">
        <f t="shared" si="54"/>
        <v>86</v>
      </c>
      <c r="B86" s="183" t="s">
        <v>105</v>
      </c>
      <c r="C86" s="222"/>
      <c r="D86" s="214">
        <f t="shared" ref="D86:O86" si="57">ROUND(D85-D27,-1)</f>
        <v>7260</v>
      </c>
      <c r="E86" s="109">
        <f t="shared" si="57"/>
        <v>10960</v>
      </c>
      <c r="F86" s="109">
        <f t="shared" si="57"/>
        <v>10960</v>
      </c>
      <c r="G86" s="109">
        <f t="shared" si="57"/>
        <v>10960</v>
      </c>
      <c r="H86" s="109">
        <f t="shared" si="57"/>
        <v>10960</v>
      </c>
      <c r="I86" s="109">
        <f t="shared" si="57"/>
        <v>10820</v>
      </c>
      <c r="J86" s="109">
        <f t="shared" si="57"/>
        <v>10820</v>
      </c>
      <c r="K86" s="109">
        <f t="shared" si="57"/>
        <v>10820</v>
      </c>
      <c r="L86" s="109">
        <f t="shared" si="57"/>
        <v>10820</v>
      </c>
      <c r="M86" s="109">
        <f t="shared" si="57"/>
        <v>13260</v>
      </c>
      <c r="N86" s="109">
        <f t="shared" si="57"/>
        <v>10820</v>
      </c>
      <c r="O86" s="109">
        <f t="shared" si="57"/>
        <v>11010</v>
      </c>
      <c r="P86" s="106"/>
      <c r="Q86" s="86"/>
      <c r="R86" s="86"/>
      <c r="S86" s="86"/>
      <c r="T86" s="86"/>
      <c r="U86" s="86"/>
      <c r="V86" s="86"/>
    </row>
    <row r="87" spans="1:22">
      <c r="A87" s="22">
        <f t="shared" si="54"/>
        <v>87</v>
      </c>
      <c r="B87" s="183" t="s">
        <v>94</v>
      </c>
      <c r="C87" s="222"/>
      <c r="D87" s="214">
        <f t="shared" ref="D87:O87" si="58">ROUND(D86*D26/100,0)</f>
        <v>3049</v>
      </c>
      <c r="E87" s="109">
        <f t="shared" si="58"/>
        <v>4603</v>
      </c>
      <c r="F87" s="109">
        <f t="shared" si="58"/>
        <v>4603</v>
      </c>
      <c r="G87" s="109">
        <f t="shared" si="58"/>
        <v>4603</v>
      </c>
      <c r="H87" s="109">
        <f t="shared" si="58"/>
        <v>4603</v>
      </c>
      <c r="I87" s="109">
        <f t="shared" si="58"/>
        <v>4436</v>
      </c>
      <c r="J87" s="109">
        <f t="shared" si="58"/>
        <v>4436</v>
      </c>
      <c r="K87" s="109">
        <f t="shared" si="58"/>
        <v>4436</v>
      </c>
      <c r="L87" s="109">
        <f t="shared" si="58"/>
        <v>4436</v>
      </c>
      <c r="M87" s="109">
        <f t="shared" si="58"/>
        <v>5437</v>
      </c>
      <c r="N87" s="109">
        <f t="shared" si="58"/>
        <v>4436</v>
      </c>
      <c r="O87" s="109">
        <f t="shared" si="58"/>
        <v>4514</v>
      </c>
      <c r="P87" s="106">
        <f t="shared" si="53"/>
        <v>53592</v>
      </c>
      <c r="Q87" s="86"/>
      <c r="R87" s="86"/>
      <c r="S87" s="86"/>
      <c r="T87" s="86"/>
      <c r="U87" s="86"/>
      <c r="V87" s="86"/>
    </row>
    <row r="88" spans="1:22">
      <c r="A88" s="22">
        <f t="shared" si="54"/>
        <v>88</v>
      </c>
      <c r="B88" s="183" t="s">
        <v>242</v>
      </c>
      <c r="C88" s="235">
        <f>Ex09_10!P89</f>
        <v>93981.859098857109</v>
      </c>
      <c r="D88" s="214">
        <f>SUM(D44:D63)</f>
        <v>13369.164969999998</v>
      </c>
      <c r="E88" s="109">
        <f>SUM(E44:E63)</f>
        <v>17385.129999999997</v>
      </c>
      <c r="F88" s="109">
        <f>SUM(F44:F63)</f>
        <v>17385.129999999997</v>
      </c>
      <c r="G88" s="109">
        <f>SUM(G44:G63)</f>
        <v>17385.129999999997</v>
      </c>
      <c r="H88" s="109">
        <f>SUM(H44:H63)</f>
        <v>17385.129999999997</v>
      </c>
      <c r="I88" s="135" t="s">
        <v>207</v>
      </c>
      <c r="J88" s="157"/>
      <c r="K88" s="157"/>
      <c r="L88" s="157"/>
      <c r="M88" s="157"/>
      <c r="N88" s="157"/>
      <c r="O88" s="157"/>
      <c r="P88" s="106">
        <f>SUM(C88:H88)</f>
        <v>176891.54406885713</v>
      </c>
      <c r="Q88" s="86"/>
      <c r="R88" s="86"/>
      <c r="S88" s="86"/>
      <c r="T88" s="86"/>
      <c r="U88" s="86"/>
      <c r="V88" s="86"/>
    </row>
    <row r="89" spans="1:22">
      <c r="A89" s="22">
        <f t="shared" si="54"/>
        <v>89</v>
      </c>
      <c r="B89" s="183" t="s">
        <v>243</v>
      </c>
      <c r="C89" s="225"/>
      <c r="D89" s="136" t="s">
        <v>207</v>
      </c>
      <c r="E89" s="157"/>
      <c r="F89" s="157"/>
      <c r="G89" s="157"/>
      <c r="H89" s="157"/>
      <c r="I89" s="109">
        <f>SUM(I44:I63)</f>
        <v>17385.129999999997</v>
      </c>
      <c r="J89" s="109">
        <f>SUM(J44:J63)</f>
        <v>17385.129999999997</v>
      </c>
      <c r="K89" s="109">
        <f>SUM(K44:K63)</f>
        <v>17385.129999999997</v>
      </c>
      <c r="L89" s="109">
        <f>SUM(L44:L63)</f>
        <v>17385.129999999997</v>
      </c>
      <c r="M89" s="109">
        <f>SUM(M44:M63)-M37</f>
        <v>17385.129920715168</v>
      </c>
      <c r="N89" s="109">
        <f>SUM(N44:N63)-N37</f>
        <v>17385.129999999997</v>
      </c>
      <c r="O89" s="109">
        <f>SUM(O44:O63)-O37</f>
        <v>17592.024357181734</v>
      </c>
      <c r="P89" s="106">
        <f t="shared" si="53"/>
        <v>121902.80427789691</v>
      </c>
      <c r="Q89" s="86"/>
      <c r="R89" s="86"/>
      <c r="S89" s="86"/>
      <c r="T89" s="86"/>
      <c r="U89" s="86"/>
      <c r="V89" s="86"/>
    </row>
    <row r="90" spans="1:22">
      <c r="A90" s="22">
        <f t="shared" si="54"/>
        <v>90</v>
      </c>
      <c r="B90" s="183" t="s">
        <v>180</v>
      </c>
      <c r="C90" s="222"/>
      <c r="D90" s="214">
        <f>D81</f>
        <v>887.86000000000013</v>
      </c>
      <c r="E90" s="109">
        <f t="shared" ref="E90:O90" si="59">E81</f>
        <v>961.93000000000006</v>
      </c>
      <c r="F90" s="109">
        <f t="shared" si="59"/>
        <v>961.93000000000006</v>
      </c>
      <c r="G90" s="109">
        <f t="shared" si="59"/>
        <v>961.93000000000006</v>
      </c>
      <c r="H90" s="109">
        <f t="shared" si="59"/>
        <v>961.93000000000006</v>
      </c>
      <c r="I90" s="109">
        <f t="shared" si="59"/>
        <v>961.93000000000006</v>
      </c>
      <c r="J90" s="109">
        <f t="shared" si="59"/>
        <v>961.93000000000006</v>
      </c>
      <c r="K90" s="109">
        <f t="shared" si="59"/>
        <v>961.93000000000006</v>
      </c>
      <c r="L90" s="109">
        <f t="shared" si="59"/>
        <v>961.93000000000006</v>
      </c>
      <c r="M90" s="109">
        <f t="shared" si="59"/>
        <v>961.93000005766453</v>
      </c>
      <c r="N90" s="109">
        <f t="shared" si="59"/>
        <v>961.93000000000006</v>
      </c>
      <c r="O90" s="109">
        <f t="shared" si="59"/>
        <v>973.46288909585735</v>
      </c>
      <c r="P90" s="106">
        <f t="shared" ref="P90:P99" si="60">SUM(D90:O90)</f>
        <v>11480.622889153523</v>
      </c>
      <c r="Q90" s="86"/>
      <c r="R90" s="86"/>
      <c r="S90" s="86"/>
      <c r="T90" s="86"/>
      <c r="U90" s="86"/>
      <c r="V90" s="86"/>
    </row>
    <row r="91" spans="1:22">
      <c r="A91" s="22">
        <f t="shared" si="54"/>
        <v>91</v>
      </c>
      <c r="B91" s="183" t="s">
        <v>184</v>
      </c>
      <c r="C91" s="222"/>
      <c r="D91" s="214">
        <f>D90*2</f>
        <v>1775.7200000000003</v>
      </c>
      <c r="E91" s="109">
        <f t="shared" ref="E91:O91" si="61">E90*2</f>
        <v>1923.8600000000001</v>
      </c>
      <c r="F91" s="109">
        <f t="shared" si="61"/>
        <v>1923.8600000000001</v>
      </c>
      <c r="G91" s="109">
        <f t="shared" si="61"/>
        <v>1923.8600000000001</v>
      </c>
      <c r="H91" s="109">
        <f t="shared" si="61"/>
        <v>1923.8600000000001</v>
      </c>
      <c r="I91" s="109">
        <f t="shared" si="61"/>
        <v>1923.8600000000001</v>
      </c>
      <c r="J91" s="109">
        <f t="shared" si="61"/>
        <v>1923.8600000000001</v>
      </c>
      <c r="K91" s="109">
        <f t="shared" si="61"/>
        <v>1923.8600000000001</v>
      </c>
      <c r="L91" s="109">
        <f t="shared" si="61"/>
        <v>1923.8600000000001</v>
      </c>
      <c r="M91" s="109">
        <f t="shared" si="61"/>
        <v>1923.8600001153291</v>
      </c>
      <c r="N91" s="109">
        <f t="shared" si="61"/>
        <v>1923.8600000000001</v>
      </c>
      <c r="O91" s="109">
        <f t="shared" si="61"/>
        <v>1946.9257781917147</v>
      </c>
      <c r="P91" s="106">
        <f t="shared" si="60"/>
        <v>22961.245778307046</v>
      </c>
      <c r="Q91" s="86"/>
      <c r="R91" s="86"/>
      <c r="S91" s="86"/>
      <c r="T91" s="86"/>
      <c r="U91" s="86"/>
      <c r="V91" s="86"/>
    </row>
    <row r="92" spans="1:22">
      <c r="A92" s="22">
        <f t="shared" si="54"/>
        <v>92</v>
      </c>
      <c r="B92" s="183" t="s">
        <v>38</v>
      </c>
      <c r="C92" s="222"/>
      <c r="D92" s="214">
        <f>D94*2/3</f>
        <v>76.8</v>
      </c>
      <c r="E92" s="109">
        <f t="shared" ref="E92:O92" si="62">E94*2/3</f>
        <v>76.8</v>
      </c>
      <c r="F92" s="109">
        <f t="shared" si="62"/>
        <v>76.8</v>
      </c>
      <c r="G92" s="109">
        <f t="shared" si="62"/>
        <v>76.8</v>
      </c>
      <c r="H92" s="109">
        <f t="shared" si="62"/>
        <v>76.8</v>
      </c>
      <c r="I92" s="109">
        <f t="shared" si="62"/>
        <v>120</v>
      </c>
      <c r="J92" s="109">
        <f t="shared" si="62"/>
        <v>120</v>
      </c>
      <c r="K92" s="109">
        <f t="shared" si="62"/>
        <v>120</v>
      </c>
      <c r="L92" s="109">
        <f t="shared" si="62"/>
        <v>120</v>
      </c>
      <c r="M92" s="109">
        <f t="shared" si="62"/>
        <v>120</v>
      </c>
      <c r="N92" s="109">
        <f t="shared" si="62"/>
        <v>120</v>
      </c>
      <c r="O92" s="109">
        <f t="shared" si="62"/>
        <v>120</v>
      </c>
      <c r="P92" s="106">
        <f t="shared" si="60"/>
        <v>1224</v>
      </c>
      <c r="Q92" s="86"/>
      <c r="R92" s="86"/>
      <c r="S92" s="86"/>
      <c r="T92" s="86"/>
      <c r="U92" s="86"/>
      <c r="V92" s="86"/>
    </row>
    <row r="93" spans="1:22">
      <c r="A93" s="22">
        <f t="shared" si="54"/>
        <v>93</v>
      </c>
      <c r="B93" s="183" t="s">
        <v>109</v>
      </c>
      <c r="C93" s="222"/>
      <c r="D93" s="214">
        <f>D90+D91</f>
        <v>2663.5800000000004</v>
      </c>
      <c r="E93" s="109">
        <f t="shared" ref="E93:O93" si="63">E90+E91</f>
        <v>2885.79</v>
      </c>
      <c r="F93" s="109">
        <f t="shared" si="63"/>
        <v>2885.79</v>
      </c>
      <c r="G93" s="109">
        <f t="shared" si="63"/>
        <v>2885.79</v>
      </c>
      <c r="H93" s="109">
        <f t="shared" si="63"/>
        <v>2885.79</v>
      </c>
      <c r="I93" s="109">
        <f t="shared" si="63"/>
        <v>2885.79</v>
      </c>
      <c r="J93" s="109">
        <f t="shared" si="63"/>
        <v>2885.79</v>
      </c>
      <c r="K93" s="109">
        <f t="shared" si="63"/>
        <v>2885.79</v>
      </c>
      <c r="L93" s="109">
        <f t="shared" si="63"/>
        <v>2885.79</v>
      </c>
      <c r="M93" s="109">
        <f t="shared" si="63"/>
        <v>2885.7900001729936</v>
      </c>
      <c r="N93" s="109">
        <f t="shared" si="63"/>
        <v>2885.79</v>
      </c>
      <c r="O93" s="109">
        <f t="shared" si="63"/>
        <v>2920.3886672875719</v>
      </c>
      <c r="P93" s="106">
        <f t="shared" si="60"/>
        <v>34441.868667460571</v>
      </c>
      <c r="Q93" s="86"/>
      <c r="R93" s="86"/>
      <c r="S93" s="86"/>
      <c r="T93" s="86"/>
      <c r="U93" s="86"/>
      <c r="V93" s="86"/>
    </row>
    <row r="94" spans="1:22">
      <c r="A94" s="22">
        <f t="shared" si="54"/>
        <v>94</v>
      </c>
      <c r="B94" s="183" t="s">
        <v>110</v>
      </c>
      <c r="C94" s="222"/>
      <c r="D94" s="214">
        <f>57.6*(((D9*D3)&gt;=9/37)+((D9*D3)&gt;=18/37)+((D9*D3)&gt;=27/37))</f>
        <v>115.2</v>
      </c>
      <c r="E94" s="109">
        <f>57.6*(((E9*E3)&gt;=9/37)+((E9*E3)&gt;=18/37)+((E9*E3)&gt;=27/37))</f>
        <v>115.2</v>
      </c>
      <c r="F94" s="109">
        <f>57.6*(((F9*F3)&gt;=9/37)+((F9*F3)&gt;=18/37)+((F9*F3)&gt;=27/37))</f>
        <v>115.2</v>
      </c>
      <c r="G94" s="109">
        <f>57.6*(((G9*G3)&gt;=9/37)+((G9*G3)&gt;=18/37)+((G9*G3)&gt;=27/37))</f>
        <v>115.2</v>
      </c>
      <c r="H94" s="109">
        <f>57.6*(((H9*H3)&gt;=9/37)+((H9*H3)&gt;=18/37)+((H9*H3)&gt;=27/37))</f>
        <v>115.2</v>
      </c>
      <c r="I94" s="109">
        <f>90*(((I9*I3)&gt;=9/37)+((I9*I3)&gt;=18/37)+((I9*I3)&gt;=27/37))</f>
        <v>180</v>
      </c>
      <c r="J94" s="109">
        <f t="shared" ref="J94:O94" si="64">90*(((J9*J3)&gt;=9/37)+((J9*J3)&gt;=18/37)+((J9*J3)&gt;=27/37))</f>
        <v>180</v>
      </c>
      <c r="K94" s="109">
        <f t="shared" si="64"/>
        <v>180</v>
      </c>
      <c r="L94" s="109">
        <f t="shared" si="64"/>
        <v>180</v>
      </c>
      <c r="M94" s="109">
        <f t="shared" si="64"/>
        <v>180</v>
      </c>
      <c r="N94" s="109">
        <f t="shared" si="64"/>
        <v>180</v>
      </c>
      <c r="O94" s="109">
        <f t="shared" si="64"/>
        <v>180</v>
      </c>
      <c r="P94" s="106">
        <f t="shared" si="60"/>
        <v>1836</v>
      </c>
      <c r="Q94" s="86"/>
      <c r="R94" s="86"/>
      <c r="S94" s="86"/>
      <c r="T94" s="86"/>
      <c r="U94" s="86"/>
      <c r="V94" s="86"/>
    </row>
    <row r="95" spans="1:22">
      <c r="A95" s="22">
        <f t="shared" si="54"/>
        <v>95</v>
      </c>
      <c r="B95" s="183" t="s">
        <v>132</v>
      </c>
      <c r="C95" s="222"/>
      <c r="D95" s="214">
        <f t="shared" ref="D95:O95" si="65">IF(OR(LEFT(D6)="P",LEFT(D6)="E"),VLOOKUP(VALUE(MID(D6,2,2)),Skalalontabel,7,0)*D9/12*15%*MIN(1,D9)*D3,0)</f>
        <v>0</v>
      </c>
      <c r="E95" s="214">
        <f t="shared" si="65"/>
        <v>0</v>
      </c>
      <c r="F95" s="214">
        <f t="shared" si="65"/>
        <v>0</v>
      </c>
      <c r="G95" s="214">
        <f t="shared" si="65"/>
        <v>0</v>
      </c>
      <c r="H95" s="214">
        <f t="shared" si="65"/>
        <v>0</v>
      </c>
      <c r="I95" s="214">
        <f t="shared" si="65"/>
        <v>0</v>
      </c>
      <c r="J95" s="214">
        <f t="shared" si="65"/>
        <v>0</v>
      </c>
      <c r="K95" s="214">
        <f t="shared" si="65"/>
        <v>0</v>
      </c>
      <c r="L95" s="214">
        <f t="shared" si="65"/>
        <v>0</v>
      </c>
      <c r="M95" s="214">
        <f t="shared" si="65"/>
        <v>0</v>
      </c>
      <c r="N95" s="214">
        <f t="shared" si="65"/>
        <v>0</v>
      </c>
      <c r="O95" s="214">
        <f t="shared" si="65"/>
        <v>0</v>
      </c>
      <c r="P95" s="106">
        <f t="shared" si="60"/>
        <v>0</v>
      </c>
      <c r="Q95" s="86"/>
      <c r="R95" s="86"/>
      <c r="S95" s="86"/>
      <c r="T95" s="86"/>
      <c r="U95" s="86"/>
      <c r="V95" s="86"/>
    </row>
    <row r="96" spans="1:22">
      <c r="A96" s="22">
        <f t="shared" si="54"/>
        <v>96</v>
      </c>
      <c r="B96" s="183" t="s">
        <v>95</v>
      </c>
      <c r="C96" s="222"/>
      <c r="D96" s="214">
        <f>108.35*(D9&gt;=0.4054)</f>
        <v>108.35</v>
      </c>
      <c r="E96" s="109">
        <f t="shared" ref="E96:O96" si="66">108.35*(E9&gt;=0.4054)</f>
        <v>108.35</v>
      </c>
      <c r="F96" s="109">
        <f t="shared" si="66"/>
        <v>108.35</v>
      </c>
      <c r="G96" s="109">
        <f t="shared" si="66"/>
        <v>108.35</v>
      </c>
      <c r="H96" s="109">
        <f t="shared" si="66"/>
        <v>108.35</v>
      </c>
      <c r="I96" s="109">
        <f t="shared" si="66"/>
        <v>108.35</v>
      </c>
      <c r="J96" s="109">
        <f t="shared" si="66"/>
        <v>108.35</v>
      </c>
      <c r="K96" s="109">
        <f t="shared" si="66"/>
        <v>108.35</v>
      </c>
      <c r="L96" s="109">
        <f t="shared" si="66"/>
        <v>108.35</v>
      </c>
      <c r="M96" s="109">
        <f t="shared" si="66"/>
        <v>108.35</v>
      </c>
      <c r="N96" s="109">
        <f t="shared" si="66"/>
        <v>108.35</v>
      </c>
      <c r="O96" s="109">
        <f t="shared" si="66"/>
        <v>108.35</v>
      </c>
      <c r="P96" s="106">
        <f t="shared" si="60"/>
        <v>1300.1999999999998</v>
      </c>
      <c r="Q96" s="86"/>
      <c r="R96" s="86"/>
      <c r="S96" s="86"/>
      <c r="T96" s="86"/>
      <c r="U96" s="86"/>
      <c r="V96" s="86"/>
    </row>
    <row r="97" spans="1:22">
      <c r="A97" s="22">
        <f t="shared" si="54"/>
        <v>97</v>
      </c>
      <c r="B97" s="184" t="s">
        <v>215</v>
      </c>
      <c r="C97" s="222"/>
      <c r="D97" s="215">
        <f>D65-(D87+D82+D84+D96)</f>
        <v>9107.414969999998</v>
      </c>
      <c r="E97" s="215">
        <f t="shared" ref="E97:O97" si="67">E65-(E87+E82+E84+E96)</f>
        <v>11247.379999999997</v>
      </c>
      <c r="F97" s="215">
        <f t="shared" si="67"/>
        <v>11247.379999999997</v>
      </c>
      <c r="G97" s="215">
        <f t="shared" si="67"/>
        <v>11247.379999999997</v>
      </c>
      <c r="H97" s="215">
        <f t="shared" si="67"/>
        <v>11247.379999999997</v>
      </c>
      <c r="I97" s="215">
        <f t="shared" si="67"/>
        <v>11394.779999999997</v>
      </c>
      <c r="J97" s="215">
        <f t="shared" si="67"/>
        <v>11394.779999999997</v>
      </c>
      <c r="K97" s="215">
        <f t="shared" si="67"/>
        <v>11394.779999999997</v>
      </c>
      <c r="L97" s="215">
        <f t="shared" si="67"/>
        <v>11394.779999999997</v>
      </c>
      <c r="M97" s="215">
        <f t="shared" si="67"/>
        <v>12835.149920715166</v>
      </c>
      <c r="N97" s="215">
        <f t="shared" si="67"/>
        <v>11394.779999999997</v>
      </c>
      <c r="O97" s="215">
        <f t="shared" si="67"/>
        <v>11506.674357181733</v>
      </c>
      <c r="P97" s="114">
        <f>SUM(C97:O97)</f>
        <v>135412.65924789687</v>
      </c>
      <c r="Q97" s="87"/>
      <c r="R97" s="87"/>
      <c r="S97" s="86"/>
      <c r="T97" s="86"/>
      <c r="U97" s="86"/>
      <c r="V97" s="86"/>
    </row>
    <row r="98" spans="1:22" ht="14">
      <c r="A98" s="22">
        <f t="shared" si="54"/>
        <v>98</v>
      </c>
      <c r="B98" s="116" t="s">
        <v>244</v>
      </c>
      <c r="C98" s="236">
        <f>Ex09_10!P99</f>
        <v>97643.736828087902</v>
      </c>
      <c r="D98" s="134">
        <f>(SUM(D44:D63)+D81)*(1-12/260*D21)</f>
        <v>10966.942284615383</v>
      </c>
      <c r="E98" s="132">
        <f>(SUM(E44:E63)+E81)*(1-12/260*E21)</f>
        <v>18347.059999999998</v>
      </c>
      <c r="F98" s="132">
        <f>(SUM(F44:F63)+F81)*(1-12/260*F21)</f>
        <v>18347.059999999998</v>
      </c>
      <c r="G98" s="132">
        <f>(SUM(G44:G63)+G81)*(1-12/260*G21)</f>
        <v>18347.059999999998</v>
      </c>
      <c r="H98" s="138">
        <f>(SUM(H44:H63)+H81)*(1-12/260*H21)</f>
        <v>18347.059999999998</v>
      </c>
      <c r="I98" s="135" t="s">
        <v>220</v>
      </c>
      <c r="J98" s="118"/>
      <c r="K98" s="118"/>
      <c r="L98" s="118"/>
      <c r="M98" s="118"/>
      <c r="N98" s="118"/>
      <c r="O98" s="118"/>
      <c r="P98" s="106">
        <f>SUM(C98:H98)</f>
        <v>181998.91911270327</v>
      </c>
      <c r="Q98" s="122"/>
      <c r="R98" s="122"/>
      <c r="S98" s="86"/>
      <c r="T98" s="86"/>
      <c r="U98" s="86"/>
      <c r="V98" s="86"/>
    </row>
    <row r="99" spans="1:22" ht="14">
      <c r="A99" s="22">
        <f t="shared" si="54"/>
        <v>99</v>
      </c>
      <c r="B99" s="185" t="s">
        <v>245</v>
      </c>
      <c r="C99" s="225"/>
      <c r="D99" s="136" t="s">
        <v>220</v>
      </c>
      <c r="E99" s="131"/>
      <c r="F99" s="131"/>
      <c r="G99" s="131"/>
      <c r="H99" s="133"/>
      <c r="I99" s="134">
        <f>(SUM(I$44:I$63)+I$81)*(1-12/260*I$21)</f>
        <v>18347.059999999998</v>
      </c>
      <c r="J99" s="132">
        <f>(SUM(J$44:J$63)+J$81)*(1-12/260*J$21)</f>
        <v>18347.059999999998</v>
      </c>
      <c r="K99" s="132">
        <f>(SUM(K$44:K$63)+K$81)*(1-12/260*K$21)</f>
        <v>18347.059999999998</v>
      </c>
      <c r="L99" s="132">
        <f>(SUM(L$44:L$63)+L$81)*(1-12/260*L$21)</f>
        <v>18347.059999999998</v>
      </c>
      <c r="M99" s="132">
        <f>(SUM(M$44:M$63)-M37+M$81)*(1-12/260*M$21)</f>
        <v>18347.059836094097</v>
      </c>
      <c r="N99" s="132">
        <f>(SUM(N$44:N$63)-N37+N$81)*(1-12/260*N$21)</f>
        <v>18347.059999999998</v>
      </c>
      <c r="O99" s="132">
        <f>(SUM(O$44:O$63)-O37+O$81)*(1-12/260*O$21)</f>
        <v>1428.1144035598136</v>
      </c>
      <c r="P99" s="137">
        <f t="shared" si="60"/>
        <v>111510.47423965389</v>
      </c>
      <c r="Q99" s="122"/>
      <c r="R99" s="122"/>
      <c r="S99" s="86"/>
      <c r="T99" s="86"/>
      <c r="U99" s="86"/>
      <c r="V99" s="86"/>
    </row>
    <row r="100" spans="1:22" s="119" customFormat="1">
      <c r="A100" s="22">
        <f t="shared" si="54"/>
        <v>100</v>
      </c>
      <c r="B100" s="128" t="s">
        <v>221</v>
      </c>
      <c r="C100" s="223"/>
      <c r="D100" s="216">
        <f>IF(D9&gt;0,(D44+D45+D52+D53+D54+D55+D56+D57)/D9,0)</f>
        <v>24338.221953432116</v>
      </c>
      <c r="E100" s="129">
        <f t="shared" ref="E100:O100" si="68">IF(E9&gt;0,(E44+E45+E52+E53+E54+E55+E56+E57)/E9,0)</f>
        <v>24338.221953432116</v>
      </c>
      <c r="F100" s="129">
        <f t="shared" si="68"/>
        <v>24338.221953432116</v>
      </c>
      <c r="G100" s="129">
        <f t="shared" si="68"/>
        <v>24338.221953432116</v>
      </c>
      <c r="H100" s="129">
        <f t="shared" si="68"/>
        <v>24338.221953432116</v>
      </c>
      <c r="I100" s="129">
        <f t="shared" si="68"/>
        <v>24338.221953432116</v>
      </c>
      <c r="J100" s="129">
        <f t="shared" si="68"/>
        <v>24338.221953432116</v>
      </c>
      <c r="K100" s="129">
        <f t="shared" si="68"/>
        <v>24338.221953432116</v>
      </c>
      <c r="L100" s="129">
        <f t="shared" si="68"/>
        <v>24338.221953432116</v>
      </c>
      <c r="M100" s="129">
        <f t="shared" si="68"/>
        <v>24338.221953432116</v>
      </c>
      <c r="N100" s="129">
        <f t="shared" si="68"/>
        <v>24338.221953432116</v>
      </c>
      <c r="O100" s="129">
        <f t="shared" si="68"/>
        <v>24338.221953432116</v>
      </c>
      <c r="P100" s="130"/>
      <c r="Q100" s="86"/>
      <c r="R100" s="86"/>
      <c r="S100" s="86"/>
      <c r="T100" s="86"/>
      <c r="U100" s="86"/>
      <c r="V100" s="86"/>
    </row>
    <row r="101" spans="1:22" s="119" customFormat="1" ht="14" thickBot="1">
      <c r="A101" s="22">
        <f>A100+1</f>
        <v>101</v>
      </c>
      <c r="B101" s="119" t="s">
        <v>252</v>
      </c>
      <c r="C101" s="223"/>
      <c r="D101" s="120">
        <f>IF(D9&gt;0,(D66+D73+D74+D76+D77)/D9,0)</f>
        <v>1356.6827940731782</v>
      </c>
      <c r="E101" s="120">
        <f t="shared" ref="E101:O101" si="69">IF(E9&gt;0,(E66+E73+E74+E76+E77)/E9,0)</f>
        <v>1356.6827940731782</v>
      </c>
      <c r="F101" s="120">
        <f t="shared" si="69"/>
        <v>1356.6827940731782</v>
      </c>
      <c r="G101" s="120">
        <f t="shared" si="69"/>
        <v>1356.6827940731782</v>
      </c>
      <c r="H101" s="120">
        <f t="shared" si="69"/>
        <v>1356.6827940731782</v>
      </c>
      <c r="I101" s="120">
        <f t="shared" si="69"/>
        <v>1356.6827940731782</v>
      </c>
      <c r="J101" s="120">
        <f t="shared" si="69"/>
        <v>1356.6827940731782</v>
      </c>
      <c r="K101" s="120">
        <f t="shared" si="69"/>
        <v>1356.6827940731782</v>
      </c>
      <c r="L101" s="120">
        <f t="shared" si="69"/>
        <v>1356.6827940731782</v>
      </c>
      <c r="M101" s="120">
        <f t="shared" si="69"/>
        <v>1356.6827940731782</v>
      </c>
      <c r="N101" s="120">
        <f t="shared" si="69"/>
        <v>1356.6827940731782</v>
      </c>
      <c r="O101" s="120">
        <f t="shared" si="69"/>
        <v>1356.6827940731782</v>
      </c>
      <c r="Q101" s="86"/>
      <c r="R101" s="86"/>
      <c r="S101" s="86"/>
      <c r="T101" s="86"/>
      <c r="U101" s="86"/>
      <c r="V101" s="86"/>
    </row>
    <row r="102" spans="1:22" ht="14" thickTop="1">
      <c r="A102" s="124">
        <f>A101+1</f>
        <v>102</v>
      </c>
      <c r="B102" s="125" t="s">
        <v>88</v>
      </c>
      <c r="C102" s="224"/>
      <c r="D102" s="217">
        <f t="shared" ref="D102:K102" si="70">IF(LEFT(D$4)&lt;&gt;"b",IF(D$10&gt;=650,650*ROUND(12.5*D$7,2)/12,D$10*ROUND(12.5*D$7,2)/12),IF(D$10&gt;=750,750*ROUND(17.1*D$7,2)/12,D$10*ROUND(17.1*D$7,2)/12))</f>
        <v>1120.5</v>
      </c>
      <c r="E102" s="149">
        <f t="shared" si="70"/>
        <v>1120.5</v>
      </c>
      <c r="F102" s="149">
        <f t="shared" si="70"/>
        <v>1120.5</v>
      </c>
      <c r="G102" s="149">
        <f t="shared" si="70"/>
        <v>1120.5</v>
      </c>
      <c r="H102" s="149">
        <f t="shared" si="70"/>
        <v>1120.5</v>
      </c>
      <c r="I102" s="149">
        <f t="shared" si="70"/>
        <v>1120.5</v>
      </c>
      <c r="J102" s="149">
        <f t="shared" si="70"/>
        <v>1120.5</v>
      </c>
      <c r="K102" s="149">
        <f t="shared" si="70"/>
        <v>1120.5</v>
      </c>
      <c r="L102" s="149">
        <f>IF(LEFT(L$4)&lt;&gt;"b",IF(L$10&gt;=650,650*ROUND(12.5*L$7,2)/12,L$10*ROUND(12.5*L$7,2)/12),IF(L$10&gt;=750,750*ROUND(17.1*L$7,2)/12,L$10*ROUND(17.1*L$7,2)/12))</f>
        <v>1120.5</v>
      </c>
      <c r="M102" s="149">
        <f>IF(LEFT(M$4)&lt;&gt;"b",IF(M$10&gt;=650,650*ROUND(12.5*M$7,2)/12,M$10*ROUND(12.5*M$7,2)/12),IF(M$10&gt;=750,750*ROUND(17.1*M$7,2)/12,M$10*ROUND(17.1*M$7,2)/12))</f>
        <v>1120.5</v>
      </c>
      <c r="N102" s="149">
        <f>IF(LEFT(N$4)&lt;&gt;"b",IF(N$10&gt;=650,650*ROUND(12.5*N$7,2)/12,N$10*ROUND(12.5*N$7,2)/12),IF(N$10&gt;=750,750*ROUND(17.1*N$7,2)/12,N$10*ROUND(17.1*N$7,2)/12))</f>
        <v>1120.5</v>
      </c>
      <c r="O102" s="149">
        <f>IF(LEFT(O$4)&lt;&gt;"b",IF(O$10&gt;=650,650*ROUND(12.5*O$7,2)/12,O$10*ROUND(12.5*O$7,2)/12),IF(O$10&gt;=750,750*ROUND(17.1*O$7,2)/12,O$10*ROUND(17.1*O$7,2)/12))</f>
        <v>1120.5</v>
      </c>
      <c r="P102" s="126" t="s">
        <v>186</v>
      </c>
      <c r="Q102" s="86"/>
      <c r="R102" s="86"/>
      <c r="S102" s="86"/>
      <c r="T102" s="86"/>
      <c r="U102" s="86"/>
      <c r="V102" s="86"/>
    </row>
    <row r="103" spans="1:22">
      <c r="A103" s="22">
        <f>A102+1</f>
        <v>103</v>
      </c>
      <c r="B103" s="186" t="s">
        <v>89</v>
      </c>
      <c r="C103" s="224"/>
      <c r="D103" s="218">
        <f t="shared" ref="D103:K103" si="71">IF(LEFT(D$4)&lt;&gt;"b",IF(D$10&gt;650,IF(D$10&gt;=700,50*ROUND(75*D$7,2)/12,(D$10-650)*ROUND(75*D$7,2)/12),0),IF(D$10&gt;750,IF(D$10&gt;=800,50*ROUND(50*D$7,2)/12,(D$10-750)*ROUND(50*D$7,2)/12),0))</f>
        <v>0</v>
      </c>
      <c r="E103" s="110">
        <f t="shared" si="71"/>
        <v>0</v>
      </c>
      <c r="F103" s="110">
        <f t="shared" si="71"/>
        <v>0</v>
      </c>
      <c r="G103" s="110">
        <f t="shared" si="71"/>
        <v>0</v>
      </c>
      <c r="H103" s="110">
        <f t="shared" si="71"/>
        <v>0</v>
      </c>
      <c r="I103" s="110">
        <f t="shared" si="71"/>
        <v>0</v>
      </c>
      <c r="J103" s="110">
        <f t="shared" si="71"/>
        <v>0</v>
      </c>
      <c r="K103" s="110">
        <f t="shared" si="71"/>
        <v>0</v>
      </c>
      <c r="L103" s="110">
        <f>IF(LEFT(L$4)&lt;&gt;"b",IF(L$10&gt;650,IF(L$10&gt;=700,50*ROUND(75*L$7,2)/12,(L$10-650)*ROUND(75*L$7,2)/12),0),IF(L$10&gt;750,IF(L$10&gt;=800,50*ROUND(50*L$7,2)/12,(L$10-750)*ROUND(50*L$7,2)/12),0))</f>
        <v>0</v>
      </c>
      <c r="M103" s="110">
        <f>IF(LEFT(M$4)&lt;&gt;"b",IF(M$10&gt;650,IF(M$10&gt;=700,50*ROUND(75*M$7,2)/12,(M$10-650)*ROUND(75*M$7,2)/12),0),IF(M$10&gt;750,IF(M$10&gt;=800,50*ROUND(50*M$7,2)/12,(M$10-750)*ROUND(50*M$7,2)/12),0))</f>
        <v>0</v>
      </c>
      <c r="N103" s="110">
        <f>IF(LEFT(N$4)&lt;&gt;"b",IF(N$10&gt;650,IF(N$10&gt;=700,50*ROUND(75*N$7,2)/12,(N$10-650)*ROUND(75*N$7,2)/12),0),IF(N$10&gt;750,IF(N$10&gt;=800,50*ROUND(50*N$7,2)/12,(N$10-750)*ROUND(50*N$7,2)/12),0))</f>
        <v>0</v>
      </c>
      <c r="O103" s="110">
        <f>IF(LEFT(O$4)&lt;&gt;"b",IF(O$10&gt;650,IF(O$10&gt;=700,50*ROUND(75*O$7,2)/12,(O$10-650)*ROUND(75*O$7,2)/12),0),IF(O$10&gt;750,IF(O$10&gt;=800,50*ROUND(50*O$7,2)/12,(O$10-750)*ROUND(50*O$7,2)/12),0))</f>
        <v>0</v>
      </c>
      <c r="P103" s="111" t="s">
        <v>186</v>
      </c>
      <c r="Q103" s="86"/>
      <c r="R103" s="86"/>
      <c r="S103" s="86"/>
      <c r="T103" s="86"/>
      <c r="U103" s="86"/>
      <c r="V103" s="86"/>
    </row>
    <row r="104" spans="1:22">
      <c r="A104" s="22">
        <f>A103+1</f>
        <v>104</v>
      </c>
      <c r="B104" s="186" t="s">
        <v>166</v>
      </c>
      <c r="C104" s="224"/>
      <c r="D104" s="218">
        <f t="shared" ref="D104:K104" si="72">IF(LEFT(D$4)&lt;&gt;"b",IF(D$10&gt;700,IF(D$10&gt;=750,50*ROUND(100*D$7,2)/12,(D$10-700)*ROUND(100*D$7,2)/12),0),IF(D$10&gt;800,IF(D$10&gt;=835,35*ROUND(100*D$7,2)/12,(D$10-800)*ROUND(100*D$7,2)/12),0))</f>
        <v>0</v>
      </c>
      <c r="E104" s="110">
        <f t="shared" si="72"/>
        <v>0</v>
      </c>
      <c r="F104" s="110">
        <f t="shared" si="72"/>
        <v>0</v>
      </c>
      <c r="G104" s="110">
        <f t="shared" si="72"/>
        <v>0</v>
      </c>
      <c r="H104" s="110">
        <f t="shared" si="72"/>
        <v>0</v>
      </c>
      <c r="I104" s="110">
        <f t="shared" si="72"/>
        <v>0</v>
      </c>
      <c r="J104" s="110">
        <f t="shared" si="72"/>
        <v>0</v>
      </c>
      <c r="K104" s="110">
        <f t="shared" si="72"/>
        <v>0</v>
      </c>
      <c r="L104" s="110">
        <f>IF(LEFT(L$4)&lt;&gt;"b",IF(L$10&gt;700,IF(L$10&gt;=750,50*ROUND(100*L$7,2)/12,(L$10-700)*ROUND(100*L$7,2)/12),0),IF(L$10&gt;800,IF(L$10&gt;=835,35*ROUND(100*L$7,2)/12,(L$10-800)*ROUND(100*L$7,2)/12),0))</f>
        <v>0</v>
      </c>
      <c r="M104" s="110">
        <f>IF(LEFT(M$4)&lt;&gt;"b",IF(M$10&gt;700,IF(M$10&gt;=750,50*ROUND(100*M$7,2)/12,(M$10-700)*ROUND(100*M$7,2)/12),0),IF(M$10&gt;800,IF(M$10&gt;=835,35*ROUND(100*M$7,2)/12,(M$10-800)*ROUND(100*M$7,2)/12),0))</f>
        <v>0</v>
      </c>
      <c r="N104" s="110">
        <f>IF(LEFT(N$4)&lt;&gt;"b",IF(N$10&gt;700,IF(N$10&gt;=750,50*ROUND(100*N$7,2)/12,(N$10-700)*ROUND(100*N$7,2)/12),0),IF(N$10&gt;800,IF(N$10&gt;=835,35*ROUND(100*N$7,2)/12,(N$10-800)*ROUND(100*N$7,2)/12),0))</f>
        <v>0</v>
      </c>
      <c r="O104" s="110">
        <f>IF(LEFT(O$4)&lt;&gt;"b",IF(O$10&gt;700,IF(O$10&gt;=750,50*ROUND(100*O$7,2)/12,(O$10-700)*ROUND(100*O$7,2)/12),0),IF(O$10&gt;800,IF(O$10&gt;=835,35*ROUND(100*O$7,2)/12,(O$10-800)*ROUND(100*O$7,2)/12),0))</f>
        <v>0</v>
      </c>
      <c r="P104" s="111" t="s">
        <v>186</v>
      </c>
      <c r="Q104" s="86"/>
      <c r="R104" s="86"/>
      <c r="S104" s="86"/>
      <c r="T104" s="86"/>
      <c r="U104" s="86"/>
      <c r="V104" s="86"/>
    </row>
    <row r="105" spans="1:22">
      <c r="A105" s="22">
        <f>A104+1</f>
        <v>105</v>
      </c>
      <c r="B105" s="187" t="s">
        <v>167</v>
      </c>
      <c r="C105" s="224"/>
      <c r="D105" s="219">
        <f t="shared" ref="D105:K105" si="73">IF(LEFT(D$4)&lt;&gt;"b",IF(D$10&gt;750,(D$10-750)*ROUND(125*D$7,2)/12,0),IF(D$10&gt;835,(D$10-835)*ROUND(125*D$7,2)/12,0))</f>
        <v>0</v>
      </c>
      <c r="E105" s="112">
        <f t="shared" si="73"/>
        <v>0</v>
      </c>
      <c r="F105" s="112">
        <f t="shared" si="73"/>
        <v>0</v>
      </c>
      <c r="G105" s="112">
        <f t="shared" si="73"/>
        <v>0</v>
      </c>
      <c r="H105" s="112">
        <f t="shared" si="73"/>
        <v>0</v>
      </c>
      <c r="I105" s="112">
        <f t="shared" si="73"/>
        <v>0</v>
      </c>
      <c r="J105" s="112">
        <f t="shared" si="73"/>
        <v>0</v>
      </c>
      <c r="K105" s="112">
        <f t="shared" si="73"/>
        <v>0</v>
      </c>
      <c r="L105" s="112">
        <f>IF(LEFT(L$4)&lt;&gt;"b",IF(L$10&gt;750,(L$10-750)*ROUND(125*L$7,2)/12,0),IF(L$10&gt;835,(L$10-835)*ROUND(125*L$7,2)/12,0))</f>
        <v>0</v>
      </c>
      <c r="M105" s="112">
        <f>IF(LEFT(M$4)&lt;&gt;"b",IF(M$10&gt;750,(M$10-750)*ROUND(125*M$7,2)/12,0),IF(M$10&gt;835,(M$10-835)*ROUND(125*M$7,2)/12,0))</f>
        <v>0</v>
      </c>
      <c r="N105" s="112">
        <f>IF(LEFT(N$4)&lt;&gt;"b",IF(N$10&gt;750,(N$10-750)*ROUND(125*N$7,2)/12,0),IF(N$10&gt;835,(N$10-835)*ROUND(125*N$7,2)/12,0))</f>
        <v>0</v>
      </c>
      <c r="O105" s="112">
        <f>IF(LEFT(O$4)&lt;&gt;"b",IF(O$10&gt;750,(O$10-750)*ROUND(125*O$7,2)/12,0),IF(O$10&gt;835,(O$10-835)*ROUND(125*O$7,2)/12,0))</f>
        <v>0</v>
      </c>
      <c r="P105" s="113" t="s">
        <v>186</v>
      </c>
      <c r="Q105" s="86"/>
      <c r="R105" s="86"/>
      <c r="S105" s="86"/>
      <c r="T105" s="86"/>
      <c r="U105" s="86"/>
      <c r="V105" s="86"/>
    </row>
    <row r="106" spans="1:22">
      <c r="Q106" s="86"/>
      <c r="R106" s="86"/>
      <c r="S106" s="86"/>
      <c r="T106" s="86"/>
      <c r="U106" s="86"/>
      <c r="V106" s="86"/>
    </row>
    <row r="107" spans="1:22" s="3" customFormat="1">
      <c r="A107" s="87"/>
      <c r="B107" s="86"/>
      <c r="C107" s="86"/>
      <c r="D107" s="115"/>
      <c r="E107" s="115"/>
      <c r="F107" s="115"/>
      <c r="G107" s="115"/>
      <c r="H107" s="115"/>
      <c r="I107" s="115"/>
      <c r="J107" s="115"/>
      <c r="K107" s="115"/>
      <c r="L107" s="115"/>
      <c r="M107" s="115"/>
      <c r="N107" s="115"/>
      <c r="O107" s="115"/>
      <c r="P107" s="86"/>
      <c r="Q107" s="86"/>
      <c r="R107" s="86"/>
      <c r="S107" s="86"/>
      <c r="T107" s="86"/>
      <c r="U107" s="86"/>
      <c r="V107" s="86"/>
    </row>
    <row r="108" spans="1:22" s="3" customFormat="1">
      <c r="A108" s="87"/>
      <c r="B108" s="86"/>
      <c r="C108" s="86"/>
      <c r="D108" s="115"/>
      <c r="E108" s="88"/>
      <c r="F108" s="88"/>
      <c r="G108" s="88"/>
      <c r="H108" s="88"/>
      <c r="I108" s="88"/>
      <c r="J108" s="88"/>
      <c r="K108" s="88"/>
      <c r="L108" s="88"/>
      <c r="M108" s="88"/>
      <c r="N108" s="88"/>
      <c r="O108" s="88"/>
      <c r="P108" s="86"/>
      <c r="Q108" s="86"/>
      <c r="R108" s="86"/>
      <c r="S108" s="86"/>
      <c r="T108" s="86"/>
      <c r="U108" s="86"/>
      <c r="V108" s="86"/>
    </row>
    <row r="109" spans="1:22" s="3" customFormat="1">
      <c r="A109" s="87"/>
      <c r="B109" s="86"/>
      <c r="C109" s="86"/>
      <c r="D109" s="88"/>
      <c r="E109" s="88"/>
      <c r="F109" s="88"/>
      <c r="G109" s="88"/>
      <c r="H109" s="88"/>
      <c r="I109" s="88"/>
      <c r="J109" s="88"/>
      <c r="K109" s="88"/>
      <c r="L109" s="88"/>
      <c r="M109" s="88"/>
      <c r="N109" s="88"/>
      <c r="O109" s="88"/>
      <c r="P109" s="86"/>
      <c r="Q109" s="86"/>
      <c r="R109" s="86"/>
      <c r="S109" s="86"/>
      <c r="T109" s="86"/>
      <c r="U109" s="86"/>
      <c r="V109" s="86"/>
    </row>
    <row r="110" spans="1:22" s="3" customFormat="1">
      <c r="A110" s="87"/>
      <c r="B110" s="86"/>
      <c r="C110" s="86"/>
      <c r="D110" s="88"/>
      <c r="E110" s="88"/>
      <c r="F110" s="88"/>
      <c r="G110" s="88"/>
      <c r="H110" s="88"/>
      <c r="I110" s="88"/>
      <c r="J110" s="88"/>
      <c r="K110" s="88"/>
      <c r="L110" s="88"/>
      <c r="M110" s="88"/>
      <c r="N110" s="88"/>
      <c r="O110" s="88"/>
      <c r="P110" s="86"/>
      <c r="Q110" s="86"/>
      <c r="R110" s="86"/>
      <c r="S110" s="86"/>
      <c r="T110" s="86"/>
      <c r="U110" s="86"/>
      <c r="V110" s="86"/>
    </row>
    <row r="111" spans="1:22" s="3" customFormat="1">
      <c r="A111" s="87"/>
      <c r="B111" s="86"/>
      <c r="C111" s="86"/>
      <c r="D111" s="88"/>
      <c r="E111" s="88"/>
      <c r="F111" s="88"/>
      <c r="G111" s="88"/>
      <c r="H111" s="88"/>
      <c r="I111" s="88"/>
      <c r="J111" s="88"/>
      <c r="K111" s="88"/>
      <c r="L111" s="88"/>
      <c r="M111" s="88"/>
      <c r="N111" s="88"/>
      <c r="O111" s="88"/>
      <c r="P111" s="86"/>
      <c r="Q111" s="86"/>
      <c r="R111" s="86"/>
      <c r="S111" s="86"/>
      <c r="T111" s="86"/>
      <c r="U111" s="86"/>
      <c r="V111" s="86"/>
    </row>
    <row r="112" spans="1:22">
      <c r="A112" s="82"/>
      <c r="B112" s="83"/>
      <c r="C112" s="83"/>
      <c r="D112" s="84"/>
      <c r="E112" s="84"/>
      <c r="F112" s="84"/>
      <c r="G112" s="84"/>
      <c r="H112" s="84"/>
      <c r="I112" s="84"/>
      <c r="J112" s="84"/>
      <c r="K112" s="84"/>
      <c r="L112" s="84"/>
      <c r="M112" s="84"/>
      <c r="N112" s="84"/>
      <c r="O112" s="84"/>
      <c r="P112" s="83"/>
    </row>
    <row r="113" spans="1:16">
      <c r="A113" s="82"/>
      <c r="B113" s="83"/>
      <c r="C113" s="83"/>
      <c r="D113" s="84"/>
      <c r="E113" s="84"/>
      <c r="F113" s="84"/>
      <c r="G113" s="84"/>
      <c r="H113" s="84"/>
      <c r="I113" s="84"/>
      <c r="J113" s="84"/>
      <c r="K113" s="84"/>
      <c r="L113" s="84"/>
      <c r="M113" s="84"/>
      <c r="N113" s="84"/>
      <c r="O113" s="84"/>
      <c r="P113" s="83"/>
    </row>
    <row r="114" spans="1:16">
      <c r="A114" s="82"/>
      <c r="B114" s="83"/>
      <c r="C114" s="83"/>
      <c r="D114" s="84"/>
      <c r="E114" s="84"/>
      <c r="F114" s="84"/>
      <c r="G114" s="84"/>
      <c r="H114" s="84"/>
      <c r="I114" s="84"/>
      <c r="J114" s="84"/>
      <c r="K114" s="84"/>
      <c r="L114" s="84"/>
      <c r="M114" s="84"/>
      <c r="N114" s="84"/>
      <c r="O114" s="84"/>
      <c r="P114" s="83"/>
    </row>
    <row r="115" spans="1:16">
      <c r="A115" s="82"/>
      <c r="B115" s="83"/>
      <c r="C115" s="83"/>
      <c r="D115" s="84"/>
      <c r="E115" s="84"/>
      <c r="F115" s="84"/>
      <c r="G115" s="84"/>
      <c r="H115" s="84"/>
      <c r="I115" s="84"/>
      <c r="J115" s="84"/>
      <c r="K115" s="84"/>
      <c r="L115" s="84"/>
      <c r="M115" s="84"/>
      <c r="N115" s="84"/>
      <c r="O115" s="84"/>
      <c r="P115" s="83"/>
    </row>
    <row r="116" spans="1:16">
      <c r="A116" s="82"/>
      <c r="B116" s="83"/>
      <c r="C116" s="83"/>
      <c r="D116" s="84"/>
      <c r="E116" s="84"/>
      <c r="F116" s="84"/>
      <c r="G116" s="84"/>
      <c r="H116" s="84"/>
      <c r="I116" s="84"/>
      <c r="J116" s="84"/>
      <c r="K116" s="84"/>
      <c r="L116" s="84"/>
      <c r="M116" s="84"/>
      <c r="N116" s="84"/>
      <c r="O116" s="84"/>
      <c r="P116" s="83"/>
    </row>
    <row r="117" spans="1:16">
      <c r="A117" s="82"/>
      <c r="B117" s="83"/>
      <c r="C117" s="83"/>
      <c r="D117" s="84"/>
      <c r="E117" s="84"/>
      <c r="F117" s="84"/>
      <c r="G117" s="84"/>
      <c r="H117" s="84"/>
      <c r="I117" s="84"/>
      <c r="J117" s="84"/>
      <c r="K117" s="84"/>
      <c r="L117" s="84"/>
      <c r="M117" s="84"/>
      <c r="N117" s="84"/>
      <c r="O117" s="84"/>
      <c r="P117" s="83"/>
    </row>
    <row r="118" spans="1:16">
      <c r="A118" s="82"/>
      <c r="B118" s="83"/>
      <c r="C118" s="83"/>
      <c r="D118" s="84"/>
      <c r="E118" s="84"/>
      <c r="F118" s="84"/>
      <c r="G118" s="84"/>
      <c r="H118" s="84"/>
      <c r="I118" s="84"/>
      <c r="J118" s="84"/>
      <c r="K118" s="84"/>
      <c r="L118" s="84"/>
      <c r="M118" s="84"/>
      <c r="N118" s="84"/>
      <c r="O118" s="84"/>
      <c r="P118" s="83"/>
    </row>
    <row r="119" spans="1:16">
      <c r="A119" s="82"/>
      <c r="B119" s="83"/>
      <c r="C119" s="83"/>
      <c r="D119" s="84"/>
      <c r="E119" s="84"/>
      <c r="F119" s="84"/>
      <c r="G119" s="84"/>
      <c r="H119" s="84"/>
      <c r="I119" s="84"/>
      <c r="J119" s="84"/>
      <c r="K119" s="84"/>
      <c r="L119" s="84"/>
      <c r="M119" s="84"/>
      <c r="N119" s="84"/>
      <c r="O119" s="84"/>
      <c r="P119" s="83"/>
    </row>
    <row r="120" spans="1:16">
      <c r="A120" s="82"/>
      <c r="B120" s="83"/>
      <c r="C120" s="83"/>
      <c r="D120" s="84"/>
      <c r="E120" s="84"/>
      <c r="F120" s="84"/>
      <c r="G120" s="84"/>
      <c r="H120" s="84"/>
      <c r="I120" s="84"/>
      <c r="J120" s="84"/>
      <c r="K120" s="84"/>
      <c r="L120" s="84"/>
      <c r="M120" s="84"/>
      <c r="N120" s="84"/>
      <c r="O120" s="84"/>
      <c r="P120" s="83"/>
    </row>
    <row r="121" spans="1:16">
      <c r="A121" s="82"/>
      <c r="B121" s="83"/>
      <c r="C121" s="83"/>
      <c r="D121" s="84"/>
      <c r="E121" s="84"/>
      <c r="F121" s="84"/>
      <c r="G121" s="84"/>
      <c r="H121" s="84"/>
      <c r="I121" s="84"/>
      <c r="J121" s="84"/>
      <c r="K121" s="84"/>
      <c r="L121" s="84"/>
      <c r="M121" s="84"/>
      <c r="N121" s="84"/>
      <c r="O121" s="84"/>
      <c r="P121" s="83"/>
    </row>
    <row r="122" spans="1:16">
      <c r="A122" s="82"/>
      <c r="B122" s="83"/>
      <c r="C122" s="83"/>
      <c r="D122" s="84"/>
      <c r="E122" s="84"/>
      <c r="F122" s="84"/>
      <c r="G122" s="84"/>
      <c r="H122" s="84"/>
      <c r="I122" s="84"/>
      <c r="J122" s="84"/>
      <c r="K122" s="84"/>
      <c r="L122" s="84"/>
      <c r="M122" s="84"/>
      <c r="N122" s="84"/>
      <c r="O122" s="84"/>
      <c r="P122" s="83"/>
    </row>
    <row r="123" spans="1:16">
      <c r="A123" s="82"/>
      <c r="B123" s="83"/>
      <c r="C123" s="83"/>
      <c r="D123" s="84"/>
      <c r="E123" s="84"/>
      <c r="F123" s="84"/>
      <c r="G123" s="84"/>
      <c r="H123" s="84"/>
      <c r="I123" s="84"/>
      <c r="J123" s="84"/>
      <c r="K123" s="84"/>
      <c r="L123" s="84"/>
      <c r="M123" s="84"/>
      <c r="N123" s="84"/>
      <c r="O123" s="84"/>
      <c r="P123" s="83"/>
    </row>
    <row r="124" spans="1:16">
      <c r="A124" s="82"/>
      <c r="B124" s="83"/>
      <c r="C124" s="83"/>
      <c r="D124" s="84"/>
      <c r="E124" s="84"/>
      <c r="F124" s="84"/>
      <c r="G124" s="84"/>
      <c r="H124" s="84"/>
      <c r="I124" s="84"/>
      <c r="J124" s="84"/>
      <c r="K124" s="84"/>
      <c r="L124" s="84"/>
      <c r="M124" s="84"/>
      <c r="N124" s="84"/>
      <c r="O124" s="84"/>
      <c r="P124" s="83"/>
    </row>
    <row r="125" spans="1:16">
      <c r="A125" s="82"/>
      <c r="B125" s="83"/>
      <c r="C125" s="83"/>
      <c r="D125" s="84"/>
      <c r="E125" s="84"/>
      <c r="F125" s="84"/>
      <c r="G125" s="84"/>
      <c r="H125" s="84"/>
      <c r="I125" s="84"/>
      <c r="J125" s="84"/>
      <c r="K125" s="84"/>
      <c r="L125" s="84"/>
      <c r="M125" s="84"/>
      <c r="N125" s="84"/>
      <c r="O125" s="84"/>
      <c r="P125" s="83"/>
    </row>
    <row r="126" spans="1:16">
      <c r="A126" s="82"/>
      <c r="B126" s="83"/>
      <c r="C126" s="83"/>
      <c r="D126" s="84"/>
      <c r="E126" s="84"/>
      <c r="F126" s="84"/>
      <c r="G126" s="84"/>
      <c r="H126" s="84"/>
      <c r="I126" s="84"/>
      <c r="J126" s="84"/>
      <c r="K126" s="84"/>
      <c r="L126" s="84"/>
      <c r="M126" s="84"/>
      <c r="N126" s="84"/>
      <c r="O126" s="84"/>
      <c r="P126" s="83"/>
    </row>
    <row r="127" spans="1:16">
      <c r="A127" s="82"/>
      <c r="B127" s="83"/>
      <c r="C127" s="83"/>
      <c r="D127" s="84"/>
      <c r="E127" s="84"/>
      <c r="F127" s="84"/>
      <c r="G127" s="84"/>
      <c r="H127" s="84"/>
      <c r="I127" s="84"/>
      <c r="J127" s="84"/>
      <c r="K127" s="84"/>
      <c r="L127" s="84"/>
      <c r="M127" s="84"/>
      <c r="N127" s="84"/>
      <c r="O127" s="84"/>
      <c r="P127" s="83"/>
    </row>
    <row r="128" spans="1:16">
      <c r="A128" s="82"/>
      <c r="B128" s="83"/>
      <c r="C128" s="83"/>
      <c r="D128" s="84"/>
      <c r="E128" s="84"/>
      <c r="F128" s="84"/>
      <c r="G128" s="84"/>
      <c r="H128" s="84"/>
      <c r="I128" s="84"/>
      <c r="J128" s="84"/>
      <c r="K128" s="84"/>
      <c r="L128" s="84"/>
      <c r="M128" s="84"/>
      <c r="N128" s="84"/>
      <c r="O128" s="84"/>
      <c r="P128" s="83"/>
    </row>
    <row r="129" spans="1:16">
      <c r="A129" s="82"/>
      <c r="B129" s="83"/>
      <c r="C129" s="83"/>
      <c r="D129" s="84"/>
      <c r="E129" s="84"/>
      <c r="F129" s="84"/>
      <c r="G129" s="84"/>
      <c r="H129" s="84"/>
      <c r="I129" s="84"/>
      <c r="J129" s="84"/>
      <c r="K129" s="84"/>
      <c r="L129" s="84"/>
      <c r="M129" s="84"/>
      <c r="N129" s="84"/>
      <c r="O129" s="84"/>
      <c r="P129" s="83"/>
    </row>
    <row r="130" spans="1:16">
      <c r="A130" s="82"/>
      <c r="B130" s="83"/>
      <c r="C130" s="83"/>
      <c r="D130" s="84"/>
      <c r="E130" s="84"/>
      <c r="F130" s="84"/>
      <c r="G130" s="84"/>
      <c r="H130" s="84"/>
      <c r="I130" s="84"/>
      <c r="J130" s="84"/>
      <c r="K130" s="84"/>
      <c r="L130" s="84"/>
      <c r="M130" s="84"/>
      <c r="N130" s="84"/>
      <c r="O130" s="84"/>
      <c r="P130" s="83"/>
    </row>
    <row r="131" spans="1:16">
      <c r="A131" s="82"/>
      <c r="B131" s="83"/>
      <c r="C131" s="83"/>
      <c r="D131" s="84"/>
      <c r="E131" s="84"/>
      <c r="F131" s="84"/>
      <c r="G131" s="84"/>
      <c r="H131" s="84"/>
      <c r="I131" s="84"/>
      <c r="J131" s="84"/>
      <c r="K131" s="84"/>
      <c r="L131" s="84"/>
      <c r="M131" s="84"/>
      <c r="N131" s="84"/>
      <c r="O131" s="84"/>
      <c r="P131" s="83"/>
    </row>
    <row r="132" spans="1:16">
      <c r="A132" s="82"/>
      <c r="B132" s="83"/>
      <c r="C132" s="83"/>
      <c r="D132" s="84"/>
      <c r="E132" s="84"/>
      <c r="F132" s="84"/>
      <c r="G132" s="84"/>
      <c r="H132" s="84"/>
      <c r="I132" s="84"/>
      <c r="J132" s="84"/>
      <c r="K132" s="84"/>
      <c r="L132" s="84"/>
      <c r="M132" s="84"/>
      <c r="N132" s="84"/>
      <c r="O132" s="84"/>
      <c r="P132" s="83"/>
    </row>
    <row r="133" spans="1:16">
      <c r="A133" s="82"/>
      <c r="B133" s="83"/>
      <c r="C133" s="83"/>
      <c r="D133" s="84"/>
      <c r="E133" s="84"/>
      <c r="F133" s="84"/>
      <c r="G133" s="84"/>
      <c r="H133" s="84"/>
      <c r="I133" s="84"/>
      <c r="J133" s="84"/>
      <c r="K133" s="84"/>
      <c r="L133" s="84"/>
      <c r="M133" s="84"/>
      <c r="N133" s="84"/>
      <c r="O133" s="84"/>
      <c r="P133" s="83"/>
    </row>
    <row r="134" spans="1:16">
      <c r="A134" s="82"/>
      <c r="B134" s="83"/>
      <c r="C134" s="83"/>
      <c r="D134" s="84"/>
      <c r="E134" s="84"/>
      <c r="F134" s="84"/>
      <c r="G134" s="84"/>
      <c r="H134" s="84"/>
      <c r="I134" s="84"/>
      <c r="J134" s="84"/>
      <c r="K134" s="84"/>
      <c r="L134" s="84"/>
      <c r="M134" s="84"/>
      <c r="N134" s="84"/>
      <c r="O134" s="84"/>
      <c r="P134" s="83"/>
    </row>
    <row r="135" spans="1:16">
      <c r="A135" s="82"/>
      <c r="B135" s="83"/>
      <c r="C135" s="83"/>
      <c r="D135" s="84"/>
      <c r="E135" s="84"/>
      <c r="F135" s="84"/>
      <c r="G135" s="84"/>
      <c r="H135" s="84"/>
      <c r="I135" s="84"/>
      <c r="J135" s="84"/>
      <c r="K135" s="84"/>
      <c r="L135" s="84"/>
      <c r="M135" s="84"/>
      <c r="N135" s="84"/>
      <c r="O135" s="84"/>
      <c r="P135" s="83"/>
    </row>
    <row r="136" spans="1:16">
      <c r="A136" s="82"/>
      <c r="B136" s="83"/>
      <c r="C136" s="83"/>
      <c r="D136" s="84"/>
      <c r="E136" s="84"/>
      <c r="F136" s="84"/>
      <c r="G136" s="84"/>
      <c r="H136" s="84"/>
      <c r="I136" s="84"/>
      <c r="J136" s="84"/>
      <c r="K136" s="84"/>
      <c r="L136" s="84"/>
      <c r="M136" s="84"/>
      <c r="N136" s="84"/>
      <c r="O136" s="84"/>
      <c r="P136" s="83"/>
    </row>
    <row r="137" spans="1:16">
      <c r="A137" s="82"/>
      <c r="B137" s="83"/>
      <c r="C137" s="83"/>
      <c r="D137" s="84"/>
      <c r="E137" s="84"/>
      <c r="F137" s="84"/>
      <c r="G137" s="84"/>
      <c r="H137" s="84"/>
      <c r="I137" s="84"/>
      <c r="J137" s="84"/>
      <c r="K137" s="84"/>
      <c r="L137" s="84"/>
      <c r="M137" s="84"/>
      <c r="N137" s="84"/>
      <c r="O137" s="84"/>
      <c r="P137" s="83"/>
    </row>
    <row r="138" spans="1:16">
      <c r="A138" s="82"/>
      <c r="B138" s="83"/>
      <c r="C138" s="83"/>
      <c r="D138" s="84"/>
      <c r="E138" s="84"/>
      <c r="F138" s="84"/>
      <c r="G138" s="84"/>
      <c r="H138" s="84"/>
      <c r="I138" s="84"/>
      <c r="J138" s="84"/>
      <c r="K138" s="84"/>
      <c r="L138" s="84"/>
      <c r="M138" s="84"/>
      <c r="N138" s="84"/>
      <c r="O138" s="84"/>
      <c r="P138" s="83"/>
    </row>
    <row r="139" spans="1:16">
      <c r="A139" s="82"/>
      <c r="B139" s="83"/>
      <c r="C139" s="83"/>
      <c r="D139" s="84"/>
      <c r="E139" s="84"/>
      <c r="F139" s="84"/>
      <c r="G139" s="84"/>
      <c r="H139" s="84"/>
      <c r="I139" s="84"/>
      <c r="J139" s="84"/>
      <c r="K139" s="84"/>
      <c r="L139" s="84"/>
      <c r="M139" s="84"/>
      <c r="N139" s="84"/>
      <c r="O139" s="84"/>
      <c r="P139" s="83"/>
    </row>
    <row r="140" spans="1:16">
      <c r="A140" s="82"/>
      <c r="B140" s="83"/>
      <c r="C140" s="83"/>
      <c r="D140" s="84"/>
      <c r="E140" s="84"/>
      <c r="F140" s="84"/>
      <c r="G140" s="84"/>
      <c r="H140" s="84"/>
      <c r="I140" s="84"/>
      <c r="J140" s="84"/>
      <c r="K140" s="84"/>
      <c r="L140" s="84"/>
      <c r="M140" s="84"/>
      <c r="N140" s="84"/>
      <c r="O140" s="84"/>
      <c r="P140" s="83"/>
    </row>
    <row r="141" spans="1:16">
      <c r="A141" s="82"/>
      <c r="B141" s="83"/>
      <c r="C141" s="83"/>
      <c r="D141" s="84"/>
      <c r="E141" s="84"/>
      <c r="F141" s="84"/>
      <c r="G141" s="84"/>
      <c r="H141" s="84"/>
      <c r="I141" s="84"/>
      <c r="J141" s="84"/>
      <c r="K141" s="84"/>
      <c r="L141" s="84"/>
      <c r="M141" s="84"/>
      <c r="N141" s="84"/>
      <c r="O141" s="84"/>
      <c r="P141" s="83"/>
    </row>
    <row r="142" spans="1:16">
      <c r="A142" s="82"/>
      <c r="B142" s="83"/>
      <c r="C142" s="83"/>
      <c r="D142" s="84"/>
      <c r="E142" s="84"/>
      <c r="F142" s="84"/>
      <c r="G142" s="84"/>
      <c r="H142" s="84"/>
      <c r="I142" s="84"/>
      <c r="J142" s="84"/>
      <c r="K142" s="84"/>
      <c r="L142" s="84"/>
      <c r="M142" s="84"/>
      <c r="N142" s="84"/>
      <c r="O142" s="84"/>
      <c r="P142" s="83"/>
    </row>
    <row r="143" spans="1:16">
      <c r="A143" s="82"/>
      <c r="B143" s="83"/>
      <c r="C143" s="83"/>
      <c r="D143" s="84"/>
      <c r="E143" s="84"/>
      <c r="F143" s="84"/>
      <c r="G143" s="84"/>
      <c r="H143" s="84"/>
      <c r="I143" s="84"/>
      <c r="J143" s="84"/>
      <c r="K143" s="84"/>
      <c r="L143" s="84"/>
      <c r="M143" s="84"/>
      <c r="N143" s="84"/>
      <c r="O143" s="84"/>
      <c r="P143" s="83"/>
    </row>
    <row r="144" spans="1:16">
      <c r="A144" s="82"/>
      <c r="B144" s="83"/>
      <c r="C144" s="83"/>
      <c r="D144" s="84"/>
      <c r="E144" s="84"/>
      <c r="F144" s="84"/>
      <c r="G144" s="84"/>
      <c r="H144" s="84"/>
      <c r="I144" s="84"/>
      <c r="J144" s="84"/>
      <c r="K144" s="84"/>
      <c r="L144" s="84"/>
      <c r="M144" s="84"/>
      <c r="N144" s="84"/>
      <c r="O144" s="84"/>
      <c r="P144" s="83"/>
    </row>
    <row r="145" spans="1:16">
      <c r="A145" s="82"/>
      <c r="B145" s="83"/>
      <c r="C145" s="83"/>
      <c r="D145" s="84"/>
      <c r="E145" s="84"/>
      <c r="F145" s="84"/>
      <c r="G145" s="84"/>
      <c r="H145" s="84"/>
      <c r="I145" s="84"/>
      <c r="J145" s="84"/>
      <c r="K145" s="84"/>
      <c r="L145" s="84"/>
      <c r="M145" s="84"/>
      <c r="N145" s="84"/>
      <c r="O145" s="84"/>
      <c r="P145" s="83"/>
    </row>
    <row r="146" spans="1:16">
      <c r="A146" s="82"/>
      <c r="B146" s="83"/>
      <c r="C146" s="83"/>
      <c r="D146" s="84"/>
      <c r="E146" s="84"/>
      <c r="F146" s="84"/>
      <c r="G146" s="84"/>
      <c r="H146" s="84"/>
      <c r="I146" s="84"/>
      <c r="J146" s="84"/>
      <c r="K146" s="84"/>
      <c r="L146" s="84"/>
      <c r="M146" s="84"/>
      <c r="N146" s="84"/>
      <c r="O146" s="84"/>
      <c r="P146" s="83"/>
    </row>
    <row r="147" spans="1:16">
      <c r="A147" s="82"/>
      <c r="B147" s="83"/>
      <c r="C147" s="83"/>
      <c r="D147" s="84"/>
      <c r="E147" s="84"/>
      <c r="F147" s="84"/>
      <c r="G147" s="84"/>
      <c r="H147" s="84"/>
      <c r="I147" s="84"/>
      <c r="J147" s="84"/>
      <c r="K147" s="84"/>
      <c r="L147" s="84"/>
      <c r="M147" s="84"/>
      <c r="N147" s="84"/>
      <c r="O147" s="84"/>
      <c r="P147" s="83"/>
    </row>
    <row r="148" spans="1:16">
      <c r="A148" s="82"/>
      <c r="B148" s="83"/>
      <c r="C148" s="83"/>
      <c r="D148" s="84"/>
      <c r="E148" s="84"/>
      <c r="F148" s="84"/>
      <c r="G148" s="84"/>
      <c r="H148" s="84"/>
      <c r="I148" s="84"/>
      <c r="J148" s="84"/>
      <c r="K148" s="84"/>
      <c r="L148" s="84"/>
      <c r="M148" s="84"/>
      <c r="N148" s="84"/>
      <c r="O148" s="84"/>
      <c r="P148" s="83"/>
    </row>
    <row r="149" spans="1:16">
      <c r="A149" s="82"/>
      <c r="B149" s="83"/>
      <c r="C149" s="83"/>
      <c r="D149" s="84"/>
      <c r="E149" s="84"/>
      <c r="F149" s="84"/>
      <c r="G149" s="84"/>
      <c r="H149" s="84"/>
      <c r="I149" s="84"/>
      <c r="J149" s="84"/>
      <c r="K149" s="84"/>
      <c r="L149" s="84"/>
      <c r="M149" s="84"/>
      <c r="N149" s="84"/>
      <c r="O149" s="84"/>
      <c r="P149" s="83"/>
    </row>
    <row r="150" spans="1:16">
      <c r="A150" s="82"/>
      <c r="B150" s="83"/>
      <c r="C150" s="83"/>
      <c r="D150" s="84"/>
      <c r="E150" s="84"/>
      <c r="F150" s="84"/>
      <c r="G150" s="84"/>
      <c r="H150" s="84"/>
      <c r="I150" s="84"/>
      <c r="J150" s="84"/>
      <c r="K150" s="84"/>
      <c r="L150" s="84"/>
      <c r="M150" s="84"/>
      <c r="N150" s="84"/>
      <c r="O150" s="84"/>
      <c r="P150" s="83"/>
    </row>
    <row r="151" spans="1:16">
      <c r="A151" s="82"/>
      <c r="B151" s="83"/>
      <c r="C151" s="83"/>
      <c r="D151" s="84"/>
      <c r="E151" s="84"/>
      <c r="F151" s="84"/>
      <c r="G151" s="84"/>
      <c r="H151" s="84"/>
      <c r="I151" s="84"/>
      <c r="J151" s="84"/>
      <c r="K151" s="84"/>
      <c r="L151" s="84"/>
      <c r="M151" s="84"/>
      <c r="N151" s="84"/>
      <c r="O151" s="84"/>
      <c r="P151" s="83"/>
    </row>
    <row r="152" spans="1:16">
      <c r="A152" s="82"/>
      <c r="B152" s="83"/>
      <c r="C152" s="83"/>
      <c r="D152" s="84"/>
      <c r="E152" s="84"/>
      <c r="F152" s="84"/>
      <c r="G152" s="84"/>
      <c r="H152" s="84"/>
      <c r="I152" s="84"/>
      <c r="J152" s="84"/>
      <c r="K152" s="84"/>
      <c r="L152" s="84"/>
      <c r="M152" s="84"/>
      <c r="N152" s="84"/>
      <c r="O152" s="84"/>
      <c r="P152" s="83"/>
    </row>
    <row r="153" spans="1:16">
      <c r="A153" s="82"/>
      <c r="B153" s="83"/>
      <c r="C153" s="83"/>
      <c r="D153" s="84"/>
      <c r="E153" s="84"/>
      <c r="F153" s="84"/>
      <c r="G153" s="84"/>
      <c r="H153" s="84"/>
      <c r="I153" s="84"/>
      <c r="J153" s="84"/>
      <c r="K153" s="84"/>
      <c r="L153" s="84"/>
      <c r="M153" s="84"/>
      <c r="N153" s="84"/>
      <c r="O153" s="84"/>
      <c r="P153" s="83"/>
    </row>
    <row r="154" spans="1:16">
      <c r="A154" s="82"/>
      <c r="B154" s="83"/>
      <c r="C154" s="83"/>
      <c r="D154" s="84"/>
      <c r="E154" s="84"/>
      <c r="F154" s="84"/>
      <c r="G154" s="84"/>
      <c r="H154" s="84"/>
      <c r="I154" s="84"/>
      <c r="J154" s="84"/>
      <c r="K154" s="84"/>
      <c r="L154" s="84"/>
      <c r="M154" s="84"/>
      <c r="N154" s="84"/>
      <c r="O154" s="84"/>
      <c r="P154" s="83"/>
    </row>
    <row r="155" spans="1:16">
      <c r="A155" s="82"/>
      <c r="B155" s="83"/>
      <c r="C155" s="83"/>
      <c r="D155" s="84"/>
      <c r="E155" s="84"/>
      <c r="F155" s="84"/>
      <c r="G155" s="84"/>
      <c r="H155" s="84"/>
      <c r="I155" s="84"/>
      <c r="J155" s="84"/>
      <c r="K155" s="84"/>
      <c r="L155" s="84"/>
      <c r="M155" s="84"/>
      <c r="N155" s="84"/>
      <c r="O155" s="84"/>
      <c r="P155" s="83"/>
    </row>
    <row r="156" spans="1:16">
      <c r="A156" s="82"/>
      <c r="B156" s="83"/>
      <c r="C156" s="83"/>
      <c r="D156" s="84"/>
      <c r="E156" s="84"/>
      <c r="F156" s="84"/>
      <c r="G156" s="84"/>
      <c r="H156" s="84"/>
      <c r="I156" s="84"/>
      <c r="J156" s="84"/>
      <c r="K156" s="84"/>
      <c r="L156" s="84"/>
      <c r="M156" s="84"/>
      <c r="N156" s="84"/>
      <c r="O156" s="84"/>
      <c r="P156" s="83"/>
    </row>
    <row r="157" spans="1:16">
      <c r="A157" s="82"/>
      <c r="B157" s="83"/>
      <c r="C157" s="83"/>
      <c r="D157" s="84"/>
      <c r="E157" s="84"/>
      <c r="F157" s="84"/>
      <c r="G157" s="84"/>
      <c r="H157" s="84"/>
      <c r="I157" s="84"/>
      <c r="J157" s="84"/>
      <c r="K157" s="84"/>
      <c r="L157" s="84"/>
      <c r="M157" s="84"/>
      <c r="N157" s="84"/>
      <c r="O157" s="84"/>
      <c r="P157" s="83"/>
    </row>
    <row r="158" spans="1:16">
      <c r="A158" s="82"/>
      <c r="B158" s="83"/>
      <c r="C158" s="83"/>
      <c r="D158" s="84"/>
      <c r="E158" s="84"/>
      <c r="F158" s="84"/>
      <c r="G158" s="84"/>
      <c r="H158" s="84"/>
      <c r="I158" s="84"/>
      <c r="J158" s="84"/>
      <c r="K158" s="84"/>
      <c r="L158" s="84"/>
      <c r="M158" s="84"/>
      <c r="N158" s="84"/>
      <c r="O158" s="84"/>
      <c r="P158" s="83"/>
    </row>
    <row r="159" spans="1:16">
      <c r="A159" s="82"/>
      <c r="B159" s="83"/>
      <c r="C159" s="83"/>
      <c r="D159" s="84"/>
      <c r="E159" s="84"/>
      <c r="F159" s="84"/>
      <c r="G159" s="84"/>
      <c r="H159" s="84"/>
      <c r="I159" s="84"/>
      <c r="J159" s="84"/>
      <c r="K159" s="84"/>
      <c r="L159" s="84"/>
      <c r="M159" s="84"/>
      <c r="N159" s="84"/>
      <c r="O159" s="84"/>
      <c r="P159" s="83"/>
    </row>
    <row r="160" spans="1:16">
      <c r="A160" s="82"/>
      <c r="B160" s="83"/>
      <c r="C160" s="83"/>
      <c r="D160" s="84"/>
      <c r="E160" s="84"/>
      <c r="F160" s="84"/>
      <c r="G160" s="84"/>
      <c r="H160" s="84"/>
      <c r="I160" s="84"/>
      <c r="J160" s="84"/>
      <c r="K160" s="84"/>
      <c r="L160" s="84"/>
      <c r="M160" s="84"/>
      <c r="N160" s="84"/>
      <c r="O160" s="84"/>
      <c r="P160" s="83"/>
    </row>
    <row r="161" spans="1:16">
      <c r="A161" s="82"/>
      <c r="B161" s="83"/>
      <c r="C161" s="83"/>
      <c r="D161" s="84"/>
      <c r="E161" s="84"/>
      <c r="F161" s="84"/>
      <c r="G161" s="84"/>
      <c r="H161" s="84"/>
      <c r="I161" s="84"/>
      <c r="J161" s="84"/>
      <c r="K161" s="84"/>
      <c r="L161" s="84"/>
      <c r="M161" s="84"/>
      <c r="N161" s="84"/>
      <c r="O161" s="84"/>
      <c r="P161" s="83"/>
    </row>
    <row r="162" spans="1:16">
      <c r="A162" s="82"/>
      <c r="B162" s="83"/>
      <c r="C162" s="83"/>
      <c r="D162" s="84"/>
      <c r="E162" s="84"/>
      <c r="F162" s="84"/>
      <c r="G162" s="84"/>
      <c r="H162" s="84"/>
      <c r="I162" s="84"/>
      <c r="J162" s="84"/>
      <c r="K162" s="84"/>
      <c r="L162" s="84"/>
      <c r="M162" s="84"/>
      <c r="N162" s="84"/>
      <c r="O162" s="84"/>
      <c r="P162" s="83"/>
    </row>
    <row r="163" spans="1:16">
      <c r="A163" s="82"/>
      <c r="B163" s="83"/>
      <c r="C163" s="83"/>
      <c r="D163" s="84"/>
      <c r="E163" s="84"/>
      <c r="F163" s="84"/>
      <c r="G163" s="84"/>
      <c r="H163" s="84"/>
      <c r="I163" s="84"/>
      <c r="J163" s="84"/>
      <c r="K163" s="84"/>
      <c r="L163" s="84"/>
      <c r="M163" s="84"/>
      <c r="N163" s="84"/>
      <c r="O163" s="84"/>
      <c r="P163" s="83"/>
    </row>
    <row r="164" spans="1:16">
      <c r="A164" s="82"/>
      <c r="B164" s="83"/>
      <c r="C164" s="83"/>
      <c r="D164" s="84"/>
      <c r="E164" s="84"/>
      <c r="F164" s="84"/>
      <c r="G164" s="84"/>
      <c r="H164" s="84"/>
      <c r="I164" s="84"/>
      <c r="J164" s="84"/>
      <c r="K164" s="84"/>
      <c r="L164" s="84"/>
      <c r="M164" s="84"/>
      <c r="N164" s="84"/>
      <c r="O164" s="84"/>
      <c r="P164" s="83"/>
    </row>
    <row r="165" spans="1:16">
      <c r="A165" s="82"/>
      <c r="B165" s="83"/>
      <c r="C165" s="83"/>
      <c r="D165" s="84"/>
      <c r="E165" s="84"/>
      <c r="F165" s="84"/>
      <c r="G165" s="84"/>
      <c r="H165" s="84"/>
      <c r="I165" s="84"/>
      <c r="J165" s="84"/>
      <c r="K165" s="84"/>
      <c r="L165" s="84"/>
      <c r="M165" s="84"/>
      <c r="N165" s="84"/>
      <c r="O165" s="84"/>
      <c r="P165" s="83"/>
    </row>
    <row r="166" spans="1:16">
      <c r="A166" s="82"/>
      <c r="B166" s="83"/>
      <c r="C166" s="83"/>
      <c r="D166" s="84"/>
      <c r="E166" s="84"/>
      <c r="F166" s="84"/>
      <c r="G166" s="84"/>
      <c r="H166" s="84"/>
      <c r="I166" s="84"/>
      <c r="J166" s="84"/>
      <c r="K166" s="84"/>
      <c r="L166" s="84"/>
      <c r="M166" s="84"/>
      <c r="N166" s="84"/>
      <c r="O166" s="84"/>
      <c r="P166" s="83"/>
    </row>
    <row r="167" spans="1:16">
      <c r="A167" s="82"/>
      <c r="B167" s="83"/>
      <c r="C167" s="83"/>
      <c r="D167" s="84"/>
      <c r="E167" s="84"/>
      <c r="F167" s="84"/>
      <c r="G167" s="84"/>
      <c r="H167" s="84"/>
      <c r="I167" s="84"/>
      <c r="J167" s="84"/>
      <c r="K167" s="84"/>
      <c r="L167" s="84"/>
      <c r="M167" s="84"/>
      <c r="N167" s="84"/>
      <c r="O167" s="84"/>
      <c r="P167" s="83"/>
    </row>
    <row r="168" spans="1:16">
      <c r="A168" s="82"/>
      <c r="B168" s="83"/>
      <c r="C168" s="83"/>
      <c r="D168" s="84"/>
      <c r="E168" s="84"/>
      <c r="F168" s="84"/>
      <c r="G168" s="84"/>
      <c r="H168" s="84"/>
      <c r="I168" s="84"/>
      <c r="J168" s="84"/>
      <c r="K168" s="84"/>
      <c r="L168" s="84"/>
      <c r="M168" s="84"/>
      <c r="N168" s="84"/>
      <c r="O168" s="84"/>
      <c r="P168" s="83"/>
    </row>
    <row r="169" spans="1:16">
      <c r="A169" s="82"/>
      <c r="B169" s="83"/>
      <c r="C169" s="83"/>
      <c r="D169" s="84"/>
      <c r="E169" s="84"/>
      <c r="F169" s="84"/>
      <c r="G169" s="84"/>
      <c r="H169" s="84"/>
      <c r="I169" s="84"/>
      <c r="J169" s="84"/>
      <c r="K169" s="84"/>
      <c r="L169" s="84"/>
      <c r="M169" s="84"/>
      <c r="N169" s="84"/>
      <c r="O169" s="84"/>
      <c r="P169" s="83"/>
    </row>
    <row r="170" spans="1:16">
      <c r="A170" s="82"/>
      <c r="B170" s="83"/>
      <c r="C170" s="83"/>
      <c r="D170" s="84"/>
      <c r="E170" s="84"/>
      <c r="F170" s="84"/>
      <c r="G170" s="84"/>
      <c r="H170" s="84"/>
      <c r="I170" s="84"/>
      <c r="J170" s="84"/>
      <c r="K170" s="84"/>
      <c r="L170" s="84"/>
      <c r="M170" s="84"/>
      <c r="N170" s="84"/>
      <c r="O170" s="84"/>
      <c r="P170" s="83"/>
    </row>
    <row r="171" spans="1:16">
      <c r="A171" s="82"/>
      <c r="B171" s="83"/>
      <c r="C171" s="83"/>
      <c r="D171" s="84"/>
      <c r="E171" s="84"/>
      <c r="F171" s="84"/>
      <c r="G171" s="84"/>
      <c r="H171" s="84"/>
      <c r="I171" s="84"/>
      <c r="J171" s="84"/>
      <c r="K171" s="84"/>
      <c r="L171" s="84"/>
      <c r="M171" s="84"/>
      <c r="N171" s="84"/>
      <c r="O171" s="84"/>
      <c r="P171" s="83"/>
    </row>
    <row r="172" spans="1:16">
      <c r="A172" s="82"/>
      <c r="B172" s="83"/>
      <c r="C172" s="83"/>
      <c r="D172" s="84"/>
      <c r="E172" s="84"/>
      <c r="F172" s="84"/>
      <c r="G172" s="84"/>
      <c r="H172" s="84"/>
      <c r="I172" s="84"/>
      <c r="J172" s="84"/>
      <c r="K172" s="84"/>
      <c r="L172" s="84"/>
      <c r="M172" s="84"/>
      <c r="N172" s="84"/>
      <c r="O172" s="84"/>
      <c r="P172" s="83"/>
    </row>
    <row r="173" spans="1:16">
      <c r="A173" s="82"/>
      <c r="B173" s="83"/>
      <c r="C173" s="83"/>
      <c r="D173" s="84"/>
      <c r="E173" s="84"/>
      <c r="F173" s="84"/>
      <c r="G173" s="84"/>
      <c r="H173" s="84"/>
      <c r="I173" s="84"/>
      <c r="J173" s="84"/>
      <c r="K173" s="84"/>
      <c r="L173" s="84"/>
      <c r="M173" s="84"/>
      <c r="N173" s="84"/>
      <c r="O173" s="84"/>
      <c r="P173" s="83"/>
    </row>
    <row r="174" spans="1:16">
      <c r="A174" s="82"/>
      <c r="B174" s="83"/>
      <c r="C174" s="83"/>
      <c r="D174" s="84"/>
      <c r="E174" s="84"/>
      <c r="F174" s="84"/>
      <c r="G174" s="84"/>
      <c r="H174" s="84"/>
      <c r="I174" s="84"/>
      <c r="J174" s="84"/>
      <c r="K174" s="84"/>
      <c r="L174" s="84"/>
      <c r="M174" s="84"/>
      <c r="N174" s="84"/>
      <c r="O174" s="84"/>
      <c r="P174" s="83"/>
    </row>
    <row r="175" spans="1:16">
      <c r="A175" s="82"/>
      <c r="B175" s="83"/>
      <c r="C175" s="83"/>
      <c r="D175" s="84"/>
      <c r="E175" s="84"/>
      <c r="F175" s="84"/>
      <c r="G175" s="84"/>
      <c r="H175" s="84"/>
      <c r="I175" s="84"/>
      <c r="J175" s="84"/>
      <c r="K175" s="84"/>
      <c r="L175" s="84"/>
      <c r="M175" s="84"/>
      <c r="N175" s="84"/>
      <c r="O175" s="84"/>
      <c r="P175" s="83"/>
    </row>
    <row r="176" spans="1:16">
      <c r="A176" s="82"/>
      <c r="B176" s="83"/>
      <c r="C176" s="83"/>
      <c r="D176" s="84"/>
      <c r="E176" s="84"/>
      <c r="F176" s="84"/>
      <c r="G176" s="84"/>
      <c r="H176" s="84"/>
      <c r="I176" s="84"/>
      <c r="J176" s="84"/>
      <c r="K176" s="84"/>
      <c r="L176" s="84"/>
      <c r="M176" s="84"/>
      <c r="N176" s="84"/>
      <c r="O176" s="84"/>
      <c r="P176" s="83"/>
    </row>
    <row r="177" spans="1:16">
      <c r="A177" s="82"/>
      <c r="B177" s="83"/>
      <c r="C177" s="83"/>
      <c r="D177" s="84"/>
      <c r="E177" s="84"/>
      <c r="F177" s="84"/>
      <c r="G177" s="84"/>
      <c r="H177" s="84"/>
      <c r="I177" s="84"/>
      <c r="J177" s="84"/>
      <c r="K177" s="84"/>
      <c r="L177" s="84"/>
      <c r="M177" s="84"/>
      <c r="N177" s="84"/>
      <c r="O177" s="84"/>
      <c r="P177" s="83"/>
    </row>
    <row r="178" spans="1:16">
      <c r="A178" s="82"/>
      <c r="B178" s="83"/>
      <c r="C178" s="83"/>
      <c r="D178" s="84"/>
      <c r="E178" s="84"/>
      <c r="F178" s="84"/>
      <c r="G178" s="84"/>
      <c r="H178" s="84"/>
      <c r="I178" s="84"/>
      <c r="J178" s="84"/>
      <c r="K178" s="84"/>
      <c r="L178" s="84"/>
      <c r="M178" s="84"/>
      <c r="N178" s="84"/>
      <c r="O178" s="84"/>
      <c r="P178" s="83"/>
    </row>
    <row r="179" spans="1:16">
      <c r="A179" s="82"/>
      <c r="B179" s="83"/>
      <c r="C179" s="83"/>
      <c r="D179" s="84"/>
      <c r="E179" s="84"/>
      <c r="F179" s="84"/>
      <c r="G179" s="84"/>
      <c r="H179" s="84"/>
      <c r="I179" s="84"/>
      <c r="J179" s="84"/>
      <c r="K179" s="84"/>
      <c r="L179" s="84"/>
      <c r="M179" s="84"/>
      <c r="N179" s="84"/>
      <c r="O179" s="84"/>
      <c r="P179" s="83"/>
    </row>
    <row r="180" spans="1:16">
      <c r="A180" s="82"/>
      <c r="B180" s="83"/>
      <c r="C180" s="83"/>
      <c r="D180" s="84"/>
      <c r="E180" s="84"/>
      <c r="F180" s="84"/>
      <c r="G180" s="84"/>
      <c r="H180" s="84"/>
      <c r="I180" s="84"/>
      <c r="J180" s="84"/>
      <c r="K180" s="84"/>
      <c r="L180" s="84"/>
      <c r="M180" s="84"/>
      <c r="N180" s="84"/>
      <c r="O180" s="84"/>
      <c r="P180" s="83"/>
    </row>
    <row r="181" spans="1:16">
      <c r="A181" s="82"/>
      <c r="B181" s="83"/>
      <c r="C181" s="83"/>
      <c r="D181" s="84"/>
      <c r="E181" s="84"/>
      <c r="F181" s="84"/>
      <c r="G181" s="84"/>
      <c r="H181" s="84"/>
      <c r="I181" s="84"/>
      <c r="J181" s="84"/>
      <c r="K181" s="84"/>
      <c r="L181" s="84"/>
      <c r="M181" s="84"/>
      <c r="N181" s="84"/>
      <c r="O181" s="84"/>
      <c r="P181" s="83"/>
    </row>
    <row r="182" spans="1:16">
      <c r="A182" s="82"/>
      <c r="B182" s="83"/>
      <c r="C182" s="83"/>
      <c r="D182" s="84"/>
      <c r="E182" s="84"/>
      <c r="F182" s="84"/>
      <c r="G182" s="84"/>
      <c r="H182" s="84"/>
      <c r="I182" s="84"/>
      <c r="J182" s="84"/>
      <c r="K182" s="84"/>
      <c r="L182" s="84"/>
      <c r="M182" s="84"/>
      <c r="N182" s="84"/>
      <c r="O182" s="84"/>
      <c r="P182" s="83"/>
    </row>
    <row r="183" spans="1:16">
      <c r="A183" s="82"/>
      <c r="B183" s="83"/>
      <c r="C183" s="83"/>
      <c r="D183" s="84"/>
      <c r="E183" s="84"/>
      <c r="F183" s="84"/>
      <c r="G183" s="84"/>
      <c r="H183" s="84"/>
      <c r="I183" s="84"/>
      <c r="J183" s="84"/>
      <c r="K183" s="84"/>
      <c r="L183" s="84"/>
      <c r="M183" s="84"/>
      <c r="N183" s="84"/>
      <c r="O183" s="84"/>
      <c r="P183" s="83"/>
    </row>
    <row r="184" spans="1:16">
      <c r="A184" s="82"/>
      <c r="B184" s="83"/>
      <c r="C184" s="83"/>
      <c r="D184" s="84"/>
      <c r="E184" s="84"/>
      <c r="F184" s="84"/>
      <c r="G184" s="84"/>
      <c r="H184" s="84"/>
      <c r="I184" s="84"/>
      <c r="J184" s="84"/>
      <c r="K184" s="84"/>
      <c r="L184" s="84"/>
      <c r="M184" s="84"/>
      <c r="N184" s="84"/>
      <c r="O184" s="84"/>
      <c r="P184" s="83"/>
    </row>
    <row r="185" spans="1:16">
      <c r="A185" s="82"/>
      <c r="B185" s="83"/>
      <c r="C185" s="83"/>
      <c r="D185" s="84"/>
      <c r="E185" s="84"/>
      <c r="F185" s="84"/>
      <c r="G185" s="84"/>
      <c r="H185" s="84"/>
      <c r="I185" s="84"/>
      <c r="J185" s="84"/>
      <c r="K185" s="84"/>
      <c r="L185" s="84"/>
      <c r="M185" s="84"/>
      <c r="N185" s="84"/>
      <c r="O185" s="84"/>
      <c r="P185" s="83"/>
    </row>
    <row r="186" spans="1:16">
      <c r="A186" s="82"/>
      <c r="B186" s="83"/>
      <c r="C186" s="83"/>
      <c r="D186" s="84"/>
      <c r="E186" s="84"/>
      <c r="F186" s="84"/>
      <c r="G186" s="84"/>
      <c r="H186" s="84"/>
      <c r="I186" s="84"/>
      <c r="J186" s="84"/>
      <c r="K186" s="84"/>
      <c r="L186" s="84"/>
      <c r="M186" s="84"/>
      <c r="N186" s="84"/>
      <c r="O186" s="84"/>
      <c r="P186" s="83"/>
    </row>
    <row r="187" spans="1:16">
      <c r="A187" s="82"/>
      <c r="B187" s="83"/>
      <c r="C187" s="83"/>
      <c r="D187" s="84"/>
      <c r="E187" s="84"/>
      <c r="F187" s="84"/>
      <c r="G187" s="84"/>
      <c r="H187" s="84"/>
      <c r="I187" s="84"/>
      <c r="J187" s="84"/>
      <c r="K187" s="84"/>
      <c r="L187" s="84"/>
      <c r="M187" s="84"/>
      <c r="N187" s="84"/>
      <c r="O187" s="84"/>
      <c r="P187" s="83"/>
    </row>
    <row r="188" spans="1:16">
      <c r="A188" s="82"/>
      <c r="B188" s="83"/>
      <c r="C188" s="83"/>
      <c r="D188" s="84"/>
      <c r="E188" s="84"/>
      <c r="F188" s="84"/>
      <c r="G188" s="84"/>
      <c r="H188" s="84"/>
      <c r="I188" s="84"/>
      <c r="J188" s="84"/>
      <c r="K188" s="84"/>
      <c r="L188" s="84"/>
      <c r="M188" s="84"/>
      <c r="N188" s="84"/>
      <c r="O188" s="84"/>
      <c r="P188" s="83"/>
    </row>
    <row r="189" spans="1:16">
      <c r="A189" s="82"/>
      <c r="B189" s="83"/>
      <c r="C189" s="83"/>
      <c r="D189" s="84"/>
      <c r="E189" s="84"/>
      <c r="F189" s="84"/>
      <c r="G189" s="84"/>
      <c r="H189" s="84"/>
      <c r="I189" s="84"/>
      <c r="J189" s="84"/>
      <c r="K189" s="84"/>
      <c r="L189" s="84"/>
      <c r="M189" s="84"/>
      <c r="N189" s="84"/>
      <c r="O189" s="84"/>
      <c r="P189" s="83"/>
    </row>
    <row r="190" spans="1:16">
      <c r="A190" s="82"/>
      <c r="B190" s="83"/>
      <c r="C190" s="83"/>
      <c r="D190" s="84"/>
      <c r="E190" s="84"/>
      <c r="F190" s="84"/>
      <c r="G190" s="84"/>
      <c r="H190" s="84"/>
      <c r="I190" s="84"/>
      <c r="J190" s="84"/>
      <c r="K190" s="84"/>
      <c r="L190" s="84"/>
      <c r="M190" s="84"/>
      <c r="N190" s="84"/>
      <c r="O190" s="84"/>
      <c r="P190" s="83"/>
    </row>
    <row r="191" spans="1:16">
      <c r="A191" s="82"/>
      <c r="B191" s="83"/>
      <c r="C191" s="83"/>
      <c r="D191" s="84"/>
      <c r="E191" s="84"/>
      <c r="F191" s="84"/>
      <c r="G191" s="84"/>
      <c r="H191" s="84"/>
      <c r="I191" s="84"/>
      <c r="J191" s="84"/>
      <c r="K191" s="84"/>
      <c r="L191" s="84"/>
      <c r="M191" s="84"/>
      <c r="N191" s="84"/>
      <c r="O191" s="84"/>
      <c r="P191" s="83"/>
    </row>
    <row r="192" spans="1:16">
      <c r="A192" s="82"/>
      <c r="B192" s="83"/>
      <c r="C192" s="83"/>
      <c r="D192" s="84"/>
      <c r="E192" s="84"/>
      <c r="F192" s="84"/>
      <c r="G192" s="84"/>
      <c r="H192" s="84"/>
      <c r="I192" s="84"/>
      <c r="J192" s="84"/>
      <c r="K192" s="84"/>
      <c r="L192" s="84"/>
      <c r="M192" s="84"/>
      <c r="N192" s="84"/>
      <c r="O192" s="84"/>
      <c r="P192" s="83"/>
    </row>
    <row r="193" spans="1:16">
      <c r="A193" s="82"/>
      <c r="B193" s="83"/>
      <c r="C193" s="83"/>
      <c r="D193" s="84"/>
      <c r="E193" s="84"/>
      <c r="F193" s="84"/>
      <c r="G193" s="84"/>
      <c r="H193" s="84"/>
      <c r="I193" s="84"/>
      <c r="J193" s="84"/>
      <c r="K193" s="84"/>
      <c r="L193" s="84"/>
      <c r="M193" s="84"/>
      <c r="N193" s="84"/>
      <c r="O193" s="84"/>
      <c r="P193" s="83"/>
    </row>
    <row r="194" spans="1:16">
      <c r="A194" s="82"/>
      <c r="B194" s="83"/>
      <c r="C194" s="83"/>
      <c r="D194" s="84"/>
      <c r="E194" s="84"/>
      <c r="F194" s="84"/>
      <c r="G194" s="84"/>
      <c r="H194" s="84"/>
      <c r="I194" s="84"/>
      <c r="J194" s="84"/>
      <c r="K194" s="84"/>
      <c r="L194" s="84"/>
      <c r="M194" s="84"/>
      <c r="N194" s="84"/>
      <c r="O194" s="84"/>
      <c r="P194" s="83"/>
    </row>
    <row r="195" spans="1:16">
      <c r="A195" s="82"/>
      <c r="B195" s="83"/>
      <c r="C195" s="83"/>
      <c r="D195" s="84"/>
      <c r="E195" s="84"/>
      <c r="F195" s="84"/>
      <c r="G195" s="84"/>
      <c r="H195" s="84"/>
      <c r="I195" s="84"/>
      <c r="J195" s="84"/>
      <c r="K195" s="84"/>
      <c r="L195" s="84"/>
      <c r="M195" s="84"/>
      <c r="N195" s="84"/>
      <c r="O195" s="84"/>
      <c r="P195" s="83"/>
    </row>
    <row r="196" spans="1:16">
      <c r="A196" s="82"/>
      <c r="B196" s="83"/>
      <c r="C196" s="83"/>
      <c r="D196" s="84"/>
      <c r="E196" s="84"/>
      <c r="F196" s="84"/>
      <c r="G196" s="84"/>
      <c r="H196" s="84"/>
      <c r="I196" s="84"/>
      <c r="J196" s="84"/>
      <c r="K196" s="84"/>
      <c r="L196" s="84"/>
      <c r="M196" s="84"/>
      <c r="N196" s="84"/>
      <c r="O196" s="84"/>
      <c r="P196" s="83"/>
    </row>
    <row r="197" spans="1:16">
      <c r="A197" s="82"/>
      <c r="B197" s="83"/>
      <c r="C197" s="83"/>
      <c r="D197" s="84"/>
      <c r="E197" s="84"/>
      <c r="F197" s="84"/>
      <c r="G197" s="84"/>
      <c r="H197" s="84"/>
      <c r="I197" s="84"/>
      <c r="J197" s="84"/>
      <c r="K197" s="84"/>
      <c r="L197" s="84"/>
      <c r="M197" s="84"/>
      <c r="N197" s="84"/>
      <c r="O197" s="84"/>
      <c r="P197" s="83"/>
    </row>
    <row r="198" spans="1:16">
      <c r="A198" s="82"/>
      <c r="B198" s="83"/>
      <c r="C198" s="83"/>
      <c r="D198" s="84"/>
      <c r="E198" s="84"/>
      <c r="F198" s="84"/>
      <c r="G198" s="84"/>
      <c r="H198" s="84"/>
      <c r="I198" s="84"/>
      <c r="J198" s="84"/>
      <c r="K198" s="84"/>
      <c r="L198" s="84"/>
      <c r="M198" s="84"/>
      <c r="N198" s="84"/>
      <c r="O198" s="84"/>
      <c r="P198" s="83"/>
    </row>
    <row r="199" spans="1:16">
      <c r="A199" s="82"/>
      <c r="B199" s="83"/>
      <c r="C199" s="83"/>
      <c r="D199" s="84"/>
      <c r="E199" s="84"/>
      <c r="F199" s="84"/>
      <c r="G199" s="84"/>
      <c r="H199" s="84"/>
      <c r="I199" s="84"/>
      <c r="J199" s="84"/>
      <c r="K199" s="84"/>
      <c r="L199" s="84"/>
      <c r="M199" s="84"/>
      <c r="N199" s="84"/>
      <c r="O199" s="84"/>
      <c r="P199" s="83"/>
    </row>
    <row r="200" spans="1:16">
      <c r="A200" s="82"/>
      <c r="B200" s="83"/>
      <c r="C200" s="83"/>
      <c r="D200" s="84"/>
      <c r="E200" s="84"/>
      <c r="F200" s="84"/>
      <c r="G200" s="84"/>
      <c r="H200" s="84"/>
      <c r="I200" s="84"/>
      <c r="J200" s="84"/>
      <c r="K200" s="84"/>
      <c r="L200" s="84"/>
      <c r="M200" s="84"/>
      <c r="N200" s="84"/>
      <c r="O200" s="84"/>
      <c r="P200" s="83"/>
    </row>
    <row r="201" spans="1:16">
      <c r="A201" s="82"/>
      <c r="B201" s="83"/>
      <c r="C201" s="83"/>
      <c r="D201" s="84"/>
      <c r="E201" s="84"/>
      <c r="F201" s="84"/>
      <c r="G201" s="84"/>
      <c r="H201" s="84"/>
      <c r="I201" s="84"/>
      <c r="J201" s="84"/>
      <c r="K201" s="84"/>
      <c r="L201" s="84"/>
      <c r="M201" s="84"/>
      <c r="N201" s="84"/>
      <c r="O201" s="84"/>
      <c r="P201" s="83"/>
    </row>
    <row r="202" spans="1:16">
      <c r="A202" s="82"/>
      <c r="B202" s="83"/>
      <c r="C202" s="83"/>
      <c r="D202" s="84"/>
      <c r="E202" s="84"/>
      <c r="F202" s="84"/>
      <c r="G202" s="84"/>
      <c r="H202" s="84"/>
      <c r="I202" s="84"/>
      <c r="J202" s="84"/>
      <c r="K202" s="84"/>
      <c r="L202" s="84"/>
      <c r="M202" s="84"/>
      <c r="N202" s="84"/>
      <c r="O202" s="84"/>
      <c r="P202" s="83"/>
    </row>
    <row r="203" spans="1:16">
      <c r="A203" s="82"/>
      <c r="B203" s="83"/>
      <c r="C203" s="83"/>
      <c r="D203" s="84"/>
      <c r="E203" s="84"/>
      <c r="F203" s="84"/>
      <c r="G203" s="84"/>
      <c r="H203" s="84"/>
      <c r="I203" s="84"/>
      <c r="J203" s="84"/>
      <c r="K203" s="84"/>
      <c r="L203" s="84"/>
      <c r="M203" s="84"/>
      <c r="N203" s="84"/>
      <c r="O203" s="84"/>
      <c r="P203" s="83"/>
    </row>
    <row r="204" spans="1:16">
      <c r="A204" s="82"/>
      <c r="B204" s="83"/>
      <c r="C204" s="83"/>
      <c r="D204" s="84"/>
      <c r="E204" s="84"/>
      <c r="F204" s="84"/>
      <c r="G204" s="84"/>
      <c r="H204" s="84"/>
      <c r="I204" s="84"/>
      <c r="J204" s="84"/>
      <c r="K204" s="84"/>
      <c r="L204" s="84"/>
      <c r="M204" s="84"/>
      <c r="N204" s="84"/>
      <c r="O204" s="84"/>
      <c r="P204" s="83"/>
    </row>
    <row r="205" spans="1:16">
      <c r="A205" s="82"/>
      <c r="B205" s="83"/>
      <c r="C205" s="83"/>
      <c r="D205" s="84"/>
      <c r="E205" s="84"/>
      <c r="F205" s="84"/>
      <c r="G205" s="84"/>
      <c r="H205" s="84"/>
      <c r="I205" s="84"/>
      <c r="J205" s="84"/>
      <c r="K205" s="84"/>
      <c r="L205" s="84"/>
      <c r="M205" s="84"/>
      <c r="N205" s="84"/>
      <c r="O205" s="84"/>
      <c r="P205" s="83"/>
    </row>
    <row r="206" spans="1:16">
      <c r="A206" s="82"/>
      <c r="B206" s="83"/>
      <c r="C206" s="83"/>
      <c r="D206" s="84"/>
      <c r="E206" s="84"/>
      <c r="F206" s="84"/>
      <c r="G206" s="84"/>
      <c r="H206" s="84"/>
      <c r="I206" s="84"/>
      <c r="J206" s="84"/>
      <c r="K206" s="84"/>
      <c r="L206" s="84"/>
      <c r="M206" s="84"/>
      <c r="N206" s="84"/>
      <c r="O206" s="84"/>
      <c r="P206" s="83"/>
    </row>
    <row r="207" spans="1:16">
      <c r="A207" s="82"/>
      <c r="B207" s="83"/>
      <c r="C207" s="83"/>
      <c r="D207" s="84"/>
      <c r="E207" s="84"/>
      <c r="F207" s="84"/>
      <c r="G207" s="84"/>
      <c r="H207" s="84"/>
      <c r="I207" s="84"/>
      <c r="J207" s="84"/>
      <c r="K207" s="84"/>
      <c r="L207" s="84"/>
      <c r="M207" s="84"/>
      <c r="N207" s="84"/>
      <c r="O207" s="84"/>
      <c r="P207" s="83"/>
    </row>
    <row r="208" spans="1:16">
      <c r="A208" s="82"/>
      <c r="B208" s="83"/>
      <c r="C208" s="83"/>
      <c r="D208" s="84"/>
      <c r="E208" s="84"/>
      <c r="F208" s="84"/>
      <c r="G208" s="84"/>
      <c r="H208" s="84"/>
      <c r="I208" s="84"/>
      <c r="J208" s="84"/>
      <c r="K208" s="84"/>
      <c r="L208" s="84"/>
      <c r="M208" s="84"/>
      <c r="N208" s="84"/>
      <c r="O208" s="84"/>
      <c r="P208" s="83"/>
    </row>
    <row r="209" spans="1:16">
      <c r="A209" s="82"/>
      <c r="B209" s="83"/>
      <c r="C209" s="83"/>
      <c r="D209" s="84"/>
      <c r="E209" s="84"/>
      <c r="F209" s="84"/>
      <c r="G209" s="84"/>
      <c r="H209" s="84"/>
      <c r="I209" s="84"/>
      <c r="J209" s="84"/>
      <c r="K209" s="84"/>
      <c r="L209" s="84"/>
      <c r="M209" s="84"/>
      <c r="N209" s="84"/>
      <c r="O209" s="84"/>
      <c r="P209" s="83"/>
    </row>
    <row r="210" spans="1:16">
      <c r="A210" s="82"/>
      <c r="B210" s="83"/>
      <c r="C210" s="83"/>
      <c r="D210" s="84"/>
      <c r="E210" s="84"/>
      <c r="F210" s="84"/>
      <c r="G210" s="84"/>
      <c r="H210" s="84"/>
      <c r="I210" s="84"/>
      <c r="J210" s="84"/>
      <c r="K210" s="84"/>
      <c r="L210" s="84"/>
      <c r="M210" s="84"/>
      <c r="N210" s="84"/>
      <c r="O210" s="84"/>
      <c r="P210" s="83"/>
    </row>
    <row r="211" spans="1:16">
      <c r="A211" s="82"/>
      <c r="B211" s="83"/>
      <c r="C211" s="83"/>
      <c r="D211" s="84"/>
      <c r="E211" s="84"/>
      <c r="F211" s="84"/>
      <c r="G211" s="84"/>
      <c r="H211" s="84"/>
      <c r="I211" s="84"/>
      <c r="J211" s="84"/>
      <c r="K211" s="84"/>
      <c r="L211" s="84"/>
      <c r="M211" s="84"/>
      <c r="N211" s="84"/>
      <c r="O211" s="84"/>
      <c r="P211" s="83"/>
    </row>
    <row r="212" spans="1:16">
      <c r="A212" s="82"/>
      <c r="B212" s="83"/>
      <c r="C212" s="83"/>
      <c r="D212" s="84"/>
      <c r="E212" s="84"/>
      <c r="F212" s="84"/>
      <c r="G212" s="84"/>
      <c r="H212" s="84"/>
      <c r="I212" s="84"/>
      <c r="J212" s="84"/>
      <c r="K212" s="84"/>
      <c r="L212" s="84"/>
      <c r="M212" s="84"/>
      <c r="N212" s="84"/>
      <c r="O212" s="84"/>
      <c r="P212" s="83"/>
    </row>
    <row r="213" spans="1:16">
      <c r="A213" s="82"/>
      <c r="B213" s="83"/>
      <c r="C213" s="83"/>
      <c r="D213" s="84"/>
      <c r="E213" s="84"/>
      <c r="F213" s="84"/>
      <c r="G213" s="84"/>
      <c r="H213" s="84"/>
      <c r="I213" s="84"/>
      <c r="J213" s="84"/>
      <c r="K213" s="84"/>
      <c r="L213" s="84"/>
      <c r="M213" s="84"/>
      <c r="N213" s="84"/>
      <c r="O213" s="84"/>
      <c r="P213" s="83"/>
    </row>
    <row r="214" spans="1:16">
      <c r="A214" s="82"/>
      <c r="B214" s="83"/>
      <c r="C214" s="83"/>
      <c r="D214" s="84"/>
      <c r="E214" s="84"/>
      <c r="F214" s="84"/>
      <c r="G214" s="84"/>
      <c r="H214" s="84"/>
      <c r="I214" s="84"/>
      <c r="J214" s="84"/>
      <c r="K214" s="84"/>
      <c r="L214" s="84"/>
      <c r="M214" s="84"/>
      <c r="N214" s="84"/>
      <c r="O214" s="84"/>
      <c r="P214" s="83"/>
    </row>
    <row r="215" spans="1:16">
      <c r="A215" s="82"/>
      <c r="B215" s="83"/>
      <c r="C215" s="83"/>
      <c r="D215" s="84"/>
      <c r="E215" s="84"/>
      <c r="F215" s="84"/>
      <c r="G215" s="84"/>
      <c r="H215" s="84"/>
      <c r="I215" s="84"/>
      <c r="J215" s="84"/>
      <c r="K215" s="84"/>
      <c r="L215" s="84"/>
      <c r="M215" s="84"/>
      <c r="N215" s="84"/>
      <c r="O215" s="84"/>
      <c r="P215" s="83"/>
    </row>
    <row r="216" spans="1:16">
      <c r="A216" s="82"/>
      <c r="B216" s="83"/>
      <c r="C216" s="83"/>
      <c r="D216" s="84"/>
      <c r="E216" s="84"/>
      <c r="F216" s="84"/>
      <c r="G216" s="84"/>
      <c r="H216" s="84"/>
      <c r="I216" s="84"/>
      <c r="J216" s="84"/>
      <c r="K216" s="84"/>
      <c r="L216" s="84"/>
      <c r="M216" s="84"/>
      <c r="N216" s="84"/>
      <c r="O216" s="84"/>
      <c r="P216" s="83"/>
    </row>
    <row r="217" spans="1:16">
      <c r="A217" s="82"/>
      <c r="B217" s="83"/>
      <c r="C217" s="83"/>
      <c r="D217" s="84"/>
      <c r="E217" s="84"/>
      <c r="F217" s="84"/>
      <c r="G217" s="84"/>
      <c r="H217" s="84"/>
      <c r="I217" s="84"/>
      <c r="J217" s="84"/>
      <c r="K217" s="84"/>
      <c r="L217" s="84"/>
      <c r="M217" s="84"/>
      <c r="N217" s="84"/>
      <c r="O217" s="84"/>
      <c r="P217" s="83"/>
    </row>
    <row r="218" spans="1:16">
      <c r="A218" s="82"/>
      <c r="B218" s="83"/>
      <c r="C218" s="83"/>
      <c r="D218" s="84"/>
      <c r="E218" s="84"/>
      <c r="F218" s="84"/>
      <c r="G218" s="84"/>
      <c r="H218" s="84"/>
      <c r="I218" s="84"/>
      <c r="J218" s="84"/>
      <c r="K218" s="84"/>
      <c r="L218" s="84"/>
      <c r="M218" s="84"/>
      <c r="N218" s="84"/>
      <c r="O218" s="84"/>
      <c r="P218" s="83"/>
    </row>
    <row r="219" spans="1:16">
      <c r="A219" s="82"/>
      <c r="B219" s="83"/>
      <c r="C219" s="83"/>
      <c r="D219" s="84"/>
      <c r="E219" s="84"/>
      <c r="F219" s="84"/>
      <c r="G219" s="84"/>
      <c r="H219" s="84"/>
      <c r="I219" s="84"/>
      <c r="J219" s="84"/>
      <c r="K219" s="84"/>
      <c r="L219" s="84"/>
      <c r="M219" s="84"/>
      <c r="N219" s="84"/>
      <c r="O219" s="84"/>
      <c r="P219" s="83"/>
    </row>
    <row r="220" spans="1:16">
      <c r="A220" s="82"/>
      <c r="B220" s="83"/>
      <c r="C220" s="83"/>
      <c r="D220" s="84"/>
      <c r="E220" s="84"/>
      <c r="F220" s="84"/>
      <c r="G220" s="84"/>
      <c r="H220" s="84"/>
      <c r="I220" s="84"/>
      <c r="J220" s="84"/>
      <c r="K220" s="84"/>
      <c r="L220" s="84"/>
      <c r="M220" s="84"/>
      <c r="N220" s="84"/>
      <c r="O220" s="84"/>
      <c r="P220" s="83"/>
    </row>
    <row r="221" spans="1:16">
      <c r="A221" s="82"/>
      <c r="B221" s="83"/>
      <c r="C221" s="83"/>
      <c r="D221" s="84"/>
      <c r="E221" s="84"/>
      <c r="F221" s="84"/>
      <c r="G221" s="84"/>
      <c r="H221" s="84"/>
      <c r="I221" s="84"/>
      <c r="J221" s="84"/>
      <c r="K221" s="84"/>
      <c r="L221" s="84"/>
      <c r="M221" s="84"/>
      <c r="N221" s="84"/>
      <c r="O221" s="84"/>
      <c r="P221" s="83"/>
    </row>
    <row r="222" spans="1:16">
      <c r="A222" s="82"/>
      <c r="B222" s="83"/>
      <c r="C222" s="83"/>
      <c r="D222" s="84"/>
      <c r="E222" s="84"/>
      <c r="F222" s="84"/>
      <c r="G222" s="84"/>
      <c r="H222" s="84"/>
      <c r="I222" s="84"/>
      <c r="J222" s="84"/>
      <c r="K222" s="84"/>
      <c r="L222" s="84"/>
      <c r="M222" s="84"/>
      <c r="N222" s="84"/>
      <c r="O222" s="84"/>
      <c r="P222" s="83"/>
    </row>
    <row r="223" spans="1:16">
      <c r="A223" s="82"/>
      <c r="B223" s="83"/>
      <c r="C223" s="83"/>
      <c r="D223" s="84"/>
      <c r="E223" s="84"/>
      <c r="F223" s="84"/>
      <c r="G223" s="84"/>
      <c r="H223" s="84"/>
      <c r="I223" s="84"/>
      <c r="J223" s="84"/>
      <c r="K223" s="84"/>
      <c r="L223" s="84"/>
      <c r="M223" s="84"/>
      <c r="N223" s="84"/>
      <c r="O223" s="84"/>
      <c r="P223" s="83"/>
    </row>
    <row r="224" spans="1:16">
      <c r="A224" s="82"/>
      <c r="B224" s="83"/>
      <c r="C224" s="83"/>
      <c r="D224" s="84"/>
      <c r="E224" s="84"/>
      <c r="F224" s="84"/>
      <c r="G224" s="84"/>
      <c r="H224" s="84"/>
      <c r="I224" s="84"/>
      <c r="J224" s="84"/>
      <c r="K224" s="84"/>
      <c r="L224" s="84"/>
      <c r="M224" s="84"/>
      <c r="N224" s="84"/>
      <c r="O224" s="84"/>
      <c r="P224" s="83"/>
    </row>
    <row r="225" spans="1:16">
      <c r="A225" s="82"/>
      <c r="B225" s="83"/>
      <c r="C225" s="83"/>
      <c r="D225" s="84"/>
      <c r="E225" s="84"/>
      <c r="F225" s="84"/>
      <c r="G225" s="84"/>
      <c r="H225" s="84"/>
      <c r="I225" s="84"/>
      <c r="J225" s="84"/>
      <c r="K225" s="84"/>
      <c r="L225" s="84"/>
      <c r="M225" s="84"/>
      <c r="N225" s="84"/>
      <c r="O225" s="84"/>
      <c r="P225" s="83"/>
    </row>
    <row r="226" spans="1:16">
      <c r="A226" s="82"/>
      <c r="B226" s="83"/>
      <c r="C226" s="83"/>
      <c r="D226" s="84"/>
      <c r="E226" s="84"/>
      <c r="F226" s="84"/>
      <c r="G226" s="84"/>
      <c r="H226" s="84"/>
      <c r="I226" s="84"/>
      <c r="J226" s="84"/>
      <c r="K226" s="84"/>
      <c r="L226" s="84"/>
      <c r="M226" s="84"/>
      <c r="N226" s="84"/>
      <c r="O226" s="84"/>
      <c r="P226" s="83"/>
    </row>
    <row r="227" spans="1:16">
      <c r="A227" s="82"/>
      <c r="B227" s="83"/>
      <c r="C227" s="83"/>
      <c r="D227" s="84"/>
      <c r="E227" s="84"/>
      <c r="F227" s="84"/>
      <c r="G227" s="84"/>
      <c r="H227" s="84"/>
      <c r="I227" s="84"/>
      <c r="J227" s="84"/>
      <c r="K227" s="84"/>
      <c r="L227" s="84"/>
      <c r="M227" s="84"/>
      <c r="N227" s="84"/>
      <c r="O227" s="84"/>
      <c r="P227" s="83"/>
    </row>
    <row r="228" spans="1:16">
      <c r="A228" s="82"/>
      <c r="B228" s="83"/>
      <c r="C228" s="83"/>
      <c r="D228" s="84"/>
      <c r="E228" s="84"/>
      <c r="F228" s="84"/>
      <c r="G228" s="84"/>
      <c r="H228" s="84"/>
      <c r="I228" s="84"/>
      <c r="J228" s="84"/>
      <c r="K228" s="84"/>
      <c r="L228" s="84"/>
      <c r="M228" s="84"/>
      <c r="N228" s="84"/>
      <c r="O228" s="84"/>
      <c r="P228" s="83"/>
    </row>
    <row r="229" spans="1:16">
      <c r="A229" s="82"/>
      <c r="B229" s="83"/>
      <c r="C229" s="83"/>
      <c r="D229" s="84"/>
      <c r="E229" s="84"/>
      <c r="F229" s="84"/>
      <c r="G229" s="84"/>
      <c r="H229" s="84"/>
      <c r="I229" s="84"/>
      <c r="J229" s="84"/>
      <c r="K229" s="84"/>
      <c r="L229" s="84"/>
      <c r="M229" s="84"/>
      <c r="N229" s="84"/>
      <c r="O229" s="84"/>
      <c r="P229" s="83"/>
    </row>
    <row r="230" spans="1:16">
      <c r="A230" s="82"/>
      <c r="B230" s="83"/>
      <c r="C230" s="83"/>
      <c r="D230" s="84"/>
      <c r="E230" s="84"/>
      <c r="F230" s="84"/>
      <c r="G230" s="84"/>
      <c r="H230" s="84"/>
      <c r="I230" s="84"/>
      <c r="J230" s="84"/>
      <c r="K230" s="84"/>
      <c r="L230" s="84"/>
      <c r="M230" s="84"/>
      <c r="N230" s="84"/>
      <c r="O230" s="84"/>
      <c r="P230" s="83"/>
    </row>
    <row r="231" spans="1:16">
      <c r="A231" s="82"/>
      <c r="B231" s="83"/>
      <c r="C231" s="83"/>
      <c r="D231" s="84"/>
      <c r="E231" s="84"/>
      <c r="F231" s="84"/>
      <c r="G231" s="84"/>
      <c r="H231" s="84"/>
      <c r="I231" s="84"/>
      <c r="J231" s="84"/>
      <c r="K231" s="84"/>
      <c r="L231" s="84"/>
      <c r="M231" s="84"/>
      <c r="N231" s="84"/>
      <c r="O231" s="84"/>
      <c r="P231" s="83"/>
    </row>
    <row r="232" spans="1:16">
      <c r="A232" s="82"/>
      <c r="B232" s="83"/>
      <c r="C232" s="83"/>
      <c r="D232" s="84"/>
      <c r="E232" s="84"/>
      <c r="F232" s="84"/>
      <c r="G232" s="84"/>
      <c r="H232" s="84"/>
      <c r="I232" s="84"/>
      <c r="J232" s="84"/>
      <c r="K232" s="84"/>
      <c r="L232" s="84"/>
      <c r="M232" s="84"/>
      <c r="N232" s="84"/>
      <c r="O232" s="84"/>
      <c r="P232" s="83"/>
    </row>
    <row r="233" spans="1:16">
      <c r="A233" s="82"/>
      <c r="B233" s="83"/>
      <c r="C233" s="83"/>
      <c r="D233" s="84"/>
      <c r="E233" s="84"/>
      <c r="F233" s="84"/>
      <c r="G233" s="84"/>
      <c r="H233" s="84"/>
      <c r="I233" s="84"/>
      <c r="J233" s="84"/>
      <c r="K233" s="84"/>
      <c r="L233" s="84"/>
      <c r="M233" s="84"/>
      <c r="N233" s="84"/>
      <c r="O233" s="84"/>
      <c r="P233" s="83"/>
    </row>
    <row r="234" spans="1:16">
      <c r="A234" s="82"/>
      <c r="B234" s="83"/>
      <c r="C234" s="83"/>
      <c r="D234" s="84"/>
      <c r="E234" s="84"/>
      <c r="F234" s="84"/>
      <c r="G234" s="84"/>
      <c r="H234" s="84"/>
      <c r="I234" s="84"/>
      <c r="J234" s="84"/>
      <c r="K234" s="84"/>
      <c r="L234" s="84"/>
      <c r="M234" s="84"/>
      <c r="N234" s="84"/>
      <c r="O234" s="84"/>
      <c r="P234" s="83"/>
    </row>
    <row r="235" spans="1:16">
      <c r="A235" s="82"/>
      <c r="B235" s="83"/>
      <c r="C235" s="83"/>
      <c r="D235" s="84"/>
      <c r="E235" s="84"/>
      <c r="F235" s="84"/>
      <c r="G235" s="84"/>
      <c r="H235" s="84"/>
      <c r="I235" s="84"/>
      <c r="J235" s="84"/>
      <c r="K235" s="84"/>
      <c r="L235" s="84"/>
      <c r="M235" s="84"/>
      <c r="N235" s="84"/>
      <c r="O235" s="84"/>
      <c r="P235" s="83"/>
    </row>
    <row r="236" spans="1:16">
      <c r="A236" s="82"/>
      <c r="B236" s="83"/>
      <c r="C236" s="83"/>
      <c r="D236" s="84"/>
      <c r="E236" s="84"/>
      <c r="F236" s="84"/>
      <c r="G236" s="84"/>
      <c r="H236" s="84"/>
      <c r="I236" s="84"/>
      <c r="J236" s="84"/>
      <c r="K236" s="84"/>
      <c r="L236" s="84"/>
      <c r="M236" s="84"/>
      <c r="N236" s="84"/>
      <c r="O236" s="84"/>
      <c r="P236" s="83"/>
    </row>
    <row r="237" spans="1:16">
      <c r="A237" s="82"/>
      <c r="B237" s="83"/>
      <c r="C237" s="83"/>
      <c r="D237" s="84"/>
      <c r="E237" s="84"/>
      <c r="F237" s="84"/>
      <c r="G237" s="84"/>
      <c r="H237" s="84"/>
      <c r="I237" s="84"/>
      <c r="J237" s="84"/>
      <c r="K237" s="84"/>
      <c r="L237" s="84"/>
      <c r="M237" s="84"/>
      <c r="N237" s="84"/>
      <c r="O237" s="84"/>
      <c r="P237" s="83"/>
    </row>
    <row r="238" spans="1:16">
      <c r="A238" s="82"/>
      <c r="B238" s="83"/>
      <c r="C238" s="83"/>
      <c r="D238" s="84"/>
      <c r="E238" s="84"/>
      <c r="F238" s="84"/>
      <c r="G238" s="84"/>
      <c r="H238" s="84"/>
      <c r="I238" s="84"/>
      <c r="J238" s="84"/>
      <c r="K238" s="84"/>
      <c r="L238" s="84"/>
      <c r="M238" s="84"/>
      <c r="N238" s="84"/>
      <c r="O238" s="84"/>
      <c r="P238" s="83"/>
    </row>
    <row r="239" spans="1:16">
      <c r="A239" s="82"/>
      <c r="B239" s="83"/>
      <c r="C239" s="83"/>
      <c r="D239" s="84"/>
      <c r="E239" s="84"/>
      <c r="F239" s="84"/>
      <c r="G239" s="84"/>
      <c r="H239" s="84"/>
      <c r="I239" s="84"/>
      <c r="J239" s="84"/>
      <c r="K239" s="84"/>
      <c r="L239" s="84"/>
      <c r="M239" s="84"/>
      <c r="N239" s="84"/>
      <c r="O239" s="84"/>
      <c r="P239" s="83"/>
    </row>
    <row r="240" spans="1:16">
      <c r="A240" s="82"/>
      <c r="B240" s="83"/>
      <c r="C240" s="83"/>
      <c r="D240" s="84"/>
      <c r="E240" s="84"/>
      <c r="F240" s="84"/>
      <c r="G240" s="84"/>
      <c r="H240" s="84"/>
      <c r="I240" s="84"/>
      <c r="J240" s="84"/>
      <c r="K240" s="84"/>
      <c r="L240" s="84"/>
      <c r="M240" s="84"/>
      <c r="N240" s="84"/>
      <c r="O240" s="84"/>
      <c r="P240" s="83"/>
    </row>
    <row r="241" spans="1:16">
      <c r="A241" s="82"/>
      <c r="B241" s="83"/>
      <c r="C241" s="83"/>
      <c r="D241" s="84"/>
      <c r="E241" s="84"/>
      <c r="F241" s="84"/>
      <c r="G241" s="84"/>
      <c r="H241" s="84"/>
      <c r="I241" s="84"/>
      <c r="J241" s="84"/>
      <c r="K241" s="84"/>
      <c r="L241" s="84"/>
      <c r="M241" s="84"/>
      <c r="N241" s="84"/>
      <c r="O241" s="84"/>
      <c r="P241" s="83"/>
    </row>
    <row r="242" spans="1:16">
      <c r="A242" s="82"/>
      <c r="B242" s="83"/>
      <c r="C242" s="83"/>
      <c r="D242" s="84"/>
      <c r="E242" s="84"/>
      <c r="F242" s="84"/>
      <c r="G242" s="84"/>
      <c r="H242" s="84"/>
      <c r="I242" s="84"/>
      <c r="J242" s="84"/>
      <c r="K242" s="84"/>
      <c r="L242" s="84"/>
      <c r="M242" s="84"/>
      <c r="N242" s="84"/>
      <c r="O242" s="84"/>
      <c r="P242" s="83"/>
    </row>
    <row r="243" spans="1:16">
      <c r="A243" s="82"/>
      <c r="B243" s="83"/>
      <c r="C243" s="83"/>
      <c r="D243" s="84"/>
      <c r="E243" s="84"/>
      <c r="F243" s="84"/>
      <c r="G243" s="84"/>
      <c r="H243" s="84"/>
      <c r="I243" s="84"/>
      <c r="J243" s="84"/>
      <c r="K243" s="84"/>
      <c r="L243" s="84"/>
      <c r="M243" s="84"/>
      <c r="N243" s="84"/>
      <c r="O243" s="84"/>
      <c r="P243" s="83"/>
    </row>
    <row r="244" spans="1:16">
      <c r="A244" s="82"/>
      <c r="B244" s="83"/>
      <c r="C244" s="83"/>
      <c r="D244" s="84"/>
      <c r="E244" s="84"/>
      <c r="F244" s="84"/>
      <c r="G244" s="84"/>
      <c r="H244" s="84"/>
      <c r="I244" s="84"/>
      <c r="J244" s="84"/>
      <c r="K244" s="84"/>
      <c r="L244" s="84"/>
      <c r="M244" s="84"/>
      <c r="N244" s="84"/>
      <c r="O244" s="84"/>
      <c r="P244" s="83"/>
    </row>
    <row r="245" spans="1:16">
      <c r="A245" s="82"/>
      <c r="B245" s="83"/>
      <c r="C245" s="83"/>
      <c r="D245" s="84"/>
      <c r="E245" s="84"/>
      <c r="F245" s="84"/>
      <c r="G245" s="84"/>
      <c r="H245" s="84"/>
      <c r="I245" s="84"/>
      <c r="J245" s="84"/>
      <c r="K245" s="84"/>
      <c r="L245" s="84"/>
      <c r="M245" s="84"/>
      <c r="N245" s="84"/>
      <c r="O245" s="84"/>
      <c r="P245" s="83"/>
    </row>
    <row r="246" spans="1:16">
      <c r="A246" s="82"/>
      <c r="B246" s="83"/>
      <c r="C246" s="83"/>
      <c r="D246" s="84"/>
      <c r="E246" s="84"/>
      <c r="F246" s="84"/>
      <c r="G246" s="84"/>
      <c r="H246" s="84"/>
      <c r="I246" s="84"/>
      <c r="J246" s="84"/>
      <c r="K246" s="84"/>
      <c r="L246" s="84"/>
      <c r="M246" s="84"/>
      <c r="N246" s="84"/>
      <c r="O246" s="84"/>
      <c r="P246" s="83"/>
    </row>
    <row r="247" spans="1:16">
      <c r="A247" s="82"/>
      <c r="B247" s="83"/>
      <c r="C247" s="83"/>
      <c r="D247" s="84"/>
      <c r="E247" s="84"/>
      <c r="F247" s="84"/>
      <c r="G247" s="84"/>
      <c r="H247" s="84"/>
      <c r="I247" s="84"/>
      <c r="J247" s="84"/>
      <c r="K247" s="84"/>
      <c r="L247" s="84"/>
      <c r="M247" s="84"/>
      <c r="N247" s="84"/>
      <c r="O247" s="84"/>
      <c r="P247" s="83"/>
    </row>
    <row r="248" spans="1:16">
      <c r="A248" s="82"/>
      <c r="B248" s="83"/>
      <c r="C248" s="83"/>
      <c r="D248" s="84"/>
      <c r="E248" s="84"/>
      <c r="F248" s="84"/>
      <c r="G248" s="84"/>
      <c r="H248" s="84"/>
      <c r="I248" s="84"/>
      <c r="J248" s="84"/>
      <c r="K248" s="84"/>
      <c r="L248" s="84"/>
      <c r="M248" s="84"/>
      <c r="N248" s="84"/>
      <c r="O248" s="84"/>
      <c r="P248" s="83"/>
    </row>
    <row r="249" spans="1:16">
      <c r="A249" s="82"/>
      <c r="B249" s="83"/>
      <c r="C249" s="83"/>
      <c r="D249" s="84"/>
      <c r="E249" s="84"/>
      <c r="F249" s="84"/>
      <c r="G249" s="84"/>
      <c r="H249" s="84"/>
      <c r="I249" s="84"/>
      <c r="J249" s="84"/>
      <c r="K249" s="84"/>
      <c r="L249" s="84"/>
      <c r="M249" s="84"/>
      <c r="N249" s="84"/>
      <c r="O249" s="84"/>
      <c r="P249" s="83"/>
    </row>
    <row r="250" spans="1:16">
      <c r="A250" s="82"/>
      <c r="B250" s="83"/>
      <c r="C250" s="83"/>
      <c r="D250" s="84"/>
      <c r="E250" s="84"/>
      <c r="F250" s="84"/>
      <c r="G250" s="84"/>
      <c r="H250" s="84"/>
      <c r="I250" s="84"/>
      <c r="J250" s="84"/>
      <c r="K250" s="84"/>
      <c r="L250" s="84"/>
      <c r="M250" s="84"/>
      <c r="N250" s="84"/>
      <c r="O250" s="84"/>
      <c r="P250" s="83"/>
    </row>
    <row r="251" spans="1:16">
      <c r="A251" s="82"/>
      <c r="B251" s="83"/>
      <c r="C251" s="83"/>
      <c r="D251" s="84"/>
      <c r="E251" s="84"/>
      <c r="F251" s="84"/>
      <c r="G251" s="84"/>
      <c r="H251" s="84"/>
      <c r="I251" s="84"/>
      <c r="J251" s="84"/>
      <c r="K251" s="84"/>
      <c r="L251" s="84"/>
      <c r="M251" s="84"/>
      <c r="N251" s="84"/>
      <c r="O251" s="84"/>
      <c r="P251" s="83"/>
    </row>
    <row r="252" spans="1:16">
      <c r="A252" s="82"/>
      <c r="B252" s="83"/>
      <c r="C252" s="83"/>
      <c r="D252" s="84"/>
      <c r="E252" s="84"/>
      <c r="F252" s="84"/>
      <c r="G252" s="84"/>
      <c r="H252" s="84"/>
      <c r="I252" s="84"/>
      <c r="J252" s="84"/>
      <c r="K252" s="84"/>
      <c r="L252" s="84"/>
      <c r="M252" s="84"/>
      <c r="N252" s="84"/>
      <c r="O252" s="84"/>
      <c r="P252" s="83"/>
    </row>
    <row r="253" spans="1:16">
      <c r="A253" s="82"/>
      <c r="B253" s="83"/>
      <c r="C253" s="83"/>
      <c r="D253" s="84"/>
      <c r="E253" s="84"/>
      <c r="F253" s="84"/>
      <c r="G253" s="84"/>
      <c r="H253" s="84"/>
      <c r="I253" s="84"/>
      <c r="J253" s="84"/>
      <c r="K253" s="84"/>
      <c r="L253" s="84"/>
      <c r="M253" s="84"/>
      <c r="N253" s="84"/>
      <c r="O253" s="84"/>
      <c r="P253" s="83"/>
    </row>
    <row r="254" spans="1:16">
      <c r="A254" s="82"/>
      <c r="B254" s="83"/>
      <c r="C254" s="83"/>
      <c r="D254" s="84"/>
      <c r="E254" s="84"/>
      <c r="F254" s="84"/>
      <c r="G254" s="84"/>
      <c r="H254" s="84"/>
      <c r="I254" s="84"/>
      <c r="J254" s="84"/>
      <c r="K254" s="84"/>
      <c r="L254" s="84"/>
      <c r="M254" s="84"/>
      <c r="N254" s="84"/>
      <c r="O254" s="84"/>
      <c r="P254" s="83"/>
    </row>
    <row r="255" spans="1:16">
      <c r="A255" s="82"/>
      <c r="B255" s="83"/>
      <c r="C255" s="83"/>
      <c r="D255" s="84"/>
      <c r="E255" s="84"/>
      <c r="F255" s="84"/>
      <c r="G255" s="84"/>
      <c r="H255" s="84"/>
      <c r="I255" s="84"/>
      <c r="J255" s="84"/>
      <c r="K255" s="84"/>
      <c r="L255" s="84"/>
      <c r="M255" s="84"/>
      <c r="N255" s="84"/>
      <c r="O255" s="84"/>
      <c r="P255" s="83"/>
    </row>
    <row r="256" spans="1:16">
      <c r="A256" s="82"/>
      <c r="B256" s="83"/>
      <c r="C256" s="83"/>
      <c r="D256" s="84"/>
      <c r="E256" s="84"/>
      <c r="F256" s="84"/>
      <c r="G256" s="84"/>
      <c r="H256" s="84"/>
      <c r="I256" s="84"/>
      <c r="J256" s="84"/>
      <c r="K256" s="84"/>
      <c r="L256" s="84"/>
      <c r="M256" s="84"/>
      <c r="N256" s="84"/>
      <c r="O256" s="84"/>
      <c r="P256" s="83"/>
    </row>
    <row r="257" spans="1:16">
      <c r="A257" s="82"/>
      <c r="B257" s="83"/>
      <c r="C257" s="83"/>
      <c r="D257" s="84"/>
      <c r="E257" s="84"/>
      <c r="F257" s="84"/>
      <c r="G257" s="84"/>
      <c r="H257" s="84"/>
      <c r="I257" s="84"/>
      <c r="J257" s="84"/>
      <c r="K257" s="84"/>
      <c r="L257" s="84"/>
      <c r="M257" s="84"/>
      <c r="N257" s="84"/>
      <c r="O257" s="84"/>
      <c r="P257" s="83"/>
    </row>
    <row r="258" spans="1:16">
      <c r="A258" s="82"/>
      <c r="B258" s="83"/>
      <c r="C258" s="83"/>
      <c r="D258" s="84"/>
      <c r="E258" s="84"/>
      <c r="F258" s="84"/>
      <c r="G258" s="84"/>
      <c r="H258" s="84"/>
      <c r="I258" s="84"/>
      <c r="J258" s="84"/>
      <c r="K258" s="84"/>
      <c r="L258" s="84"/>
      <c r="M258" s="84"/>
      <c r="N258" s="84"/>
      <c r="O258" s="84"/>
      <c r="P258" s="83"/>
    </row>
    <row r="259" spans="1:16">
      <c r="A259" s="82"/>
      <c r="B259" s="83"/>
      <c r="C259" s="83"/>
      <c r="D259" s="84"/>
      <c r="E259" s="84"/>
      <c r="F259" s="84"/>
      <c r="G259" s="84"/>
      <c r="H259" s="84"/>
      <c r="I259" s="84"/>
      <c r="J259" s="84"/>
      <c r="K259" s="84"/>
      <c r="L259" s="84"/>
      <c r="M259" s="84"/>
      <c r="N259" s="84"/>
      <c r="O259" s="84"/>
      <c r="P259" s="83"/>
    </row>
    <row r="260" spans="1:16">
      <c r="A260" s="82"/>
      <c r="B260" s="83"/>
      <c r="C260" s="83"/>
      <c r="D260" s="84"/>
      <c r="E260" s="84"/>
      <c r="F260" s="84"/>
      <c r="G260" s="84"/>
      <c r="H260" s="84"/>
      <c r="I260" s="84"/>
      <c r="J260" s="84"/>
      <c r="K260" s="84"/>
      <c r="L260" s="84"/>
      <c r="M260" s="84"/>
      <c r="N260" s="84"/>
      <c r="O260" s="84"/>
      <c r="P260" s="83"/>
    </row>
    <row r="261" spans="1:16">
      <c r="A261" s="82"/>
      <c r="B261" s="83"/>
      <c r="C261" s="83"/>
      <c r="D261" s="84"/>
      <c r="E261" s="84"/>
      <c r="F261" s="84"/>
      <c r="G261" s="84"/>
      <c r="H261" s="84"/>
      <c r="I261" s="84"/>
      <c r="J261" s="84"/>
      <c r="K261" s="84"/>
      <c r="L261" s="84"/>
      <c r="M261" s="84"/>
      <c r="N261" s="84"/>
      <c r="O261" s="84"/>
      <c r="P261" s="83"/>
    </row>
    <row r="262" spans="1:16">
      <c r="A262" s="82"/>
      <c r="B262" s="83"/>
      <c r="C262" s="83"/>
      <c r="D262" s="84"/>
      <c r="E262" s="84"/>
      <c r="F262" s="84"/>
      <c r="G262" s="84"/>
      <c r="H262" s="84"/>
      <c r="I262" s="84"/>
      <c r="J262" s="84"/>
      <c r="K262" s="84"/>
      <c r="L262" s="84"/>
      <c r="M262" s="84"/>
      <c r="N262" s="84"/>
      <c r="O262" s="84"/>
      <c r="P262" s="83"/>
    </row>
    <row r="263" spans="1:16">
      <c r="A263" s="82"/>
      <c r="B263" s="83"/>
      <c r="C263" s="83"/>
      <c r="D263" s="84"/>
      <c r="E263" s="84"/>
      <c r="F263" s="84"/>
      <c r="G263" s="84"/>
      <c r="H263" s="84"/>
      <c r="I263" s="84"/>
      <c r="J263" s="84"/>
      <c r="K263" s="84"/>
      <c r="L263" s="84"/>
      <c r="M263" s="84"/>
      <c r="N263" s="84"/>
      <c r="O263" s="84"/>
      <c r="P263" s="83"/>
    </row>
    <row r="264" spans="1:16">
      <c r="A264" s="82"/>
      <c r="B264" s="83"/>
      <c r="C264" s="83"/>
      <c r="D264" s="84"/>
      <c r="E264" s="84"/>
      <c r="F264" s="84"/>
      <c r="G264" s="84"/>
      <c r="H264" s="84"/>
      <c r="I264" s="84"/>
      <c r="J264" s="84"/>
      <c r="K264" s="84"/>
      <c r="L264" s="84"/>
      <c r="M264" s="84"/>
      <c r="N264" s="84"/>
      <c r="O264" s="84"/>
      <c r="P264" s="83"/>
    </row>
    <row r="265" spans="1:16">
      <c r="A265" s="82"/>
      <c r="B265" s="83"/>
      <c r="C265" s="83"/>
      <c r="D265" s="84"/>
      <c r="E265" s="84"/>
      <c r="F265" s="84"/>
      <c r="G265" s="84"/>
      <c r="H265" s="84"/>
      <c r="I265" s="84"/>
      <c r="J265" s="84"/>
      <c r="K265" s="84"/>
      <c r="L265" s="84"/>
      <c r="M265" s="84"/>
      <c r="N265" s="84"/>
      <c r="O265" s="84"/>
      <c r="P265" s="83"/>
    </row>
    <row r="266" spans="1:16">
      <c r="A266" s="82"/>
      <c r="B266" s="83"/>
      <c r="C266" s="83"/>
      <c r="D266" s="84"/>
      <c r="E266" s="84"/>
      <c r="F266" s="84"/>
      <c r="G266" s="84"/>
      <c r="H266" s="84"/>
      <c r="I266" s="84"/>
      <c r="J266" s="84"/>
      <c r="K266" s="84"/>
      <c r="L266" s="84"/>
      <c r="M266" s="84"/>
      <c r="N266" s="84"/>
      <c r="O266" s="84"/>
      <c r="P266" s="83"/>
    </row>
    <row r="267" spans="1:16">
      <c r="A267" s="82"/>
      <c r="B267" s="83"/>
      <c r="C267" s="83"/>
      <c r="D267" s="84"/>
      <c r="E267" s="84"/>
      <c r="F267" s="84"/>
      <c r="G267" s="84"/>
      <c r="H267" s="84"/>
      <c r="I267" s="84"/>
      <c r="J267" s="84"/>
      <c r="K267" s="84"/>
      <c r="L267" s="84"/>
      <c r="M267" s="84"/>
      <c r="N267" s="84"/>
      <c r="O267" s="84"/>
      <c r="P267" s="83"/>
    </row>
    <row r="268" spans="1:16">
      <c r="A268" s="82"/>
      <c r="B268" s="83"/>
      <c r="C268" s="83"/>
      <c r="D268" s="84"/>
      <c r="E268" s="84"/>
      <c r="F268" s="84"/>
      <c r="G268" s="84"/>
      <c r="H268" s="84"/>
      <c r="I268" s="84"/>
      <c r="J268" s="84"/>
      <c r="K268" s="84"/>
      <c r="L268" s="84"/>
      <c r="M268" s="84"/>
      <c r="N268" s="84"/>
      <c r="O268" s="84"/>
      <c r="P268" s="83"/>
    </row>
    <row r="269" spans="1:16">
      <c r="A269" s="82"/>
      <c r="B269" s="83"/>
      <c r="C269" s="83"/>
      <c r="D269" s="84"/>
      <c r="E269" s="84"/>
      <c r="F269" s="84"/>
      <c r="G269" s="84"/>
      <c r="H269" s="84"/>
      <c r="I269" s="84"/>
      <c r="J269" s="84"/>
      <c r="K269" s="84"/>
      <c r="L269" s="84"/>
      <c r="M269" s="84"/>
      <c r="N269" s="84"/>
      <c r="O269" s="84"/>
      <c r="P269" s="83"/>
    </row>
    <row r="270" spans="1:16">
      <c r="A270" s="82"/>
      <c r="B270" s="83"/>
      <c r="C270" s="83"/>
      <c r="D270" s="84"/>
      <c r="E270" s="84"/>
      <c r="F270" s="84"/>
      <c r="G270" s="84"/>
      <c r="H270" s="84"/>
      <c r="I270" s="84"/>
      <c r="J270" s="84"/>
      <c r="K270" s="84"/>
      <c r="L270" s="84"/>
      <c r="M270" s="84"/>
      <c r="N270" s="84"/>
      <c r="O270" s="84"/>
      <c r="P270" s="83"/>
    </row>
    <row r="271" spans="1:16">
      <c r="A271" s="82"/>
      <c r="B271" s="83"/>
      <c r="C271" s="83"/>
      <c r="D271" s="84"/>
      <c r="E271" s="84"/>
      <c r="F271" s="84"/>
      <c r="G271" s="84"/>
      <c r="H271" s="84"/>
      <c r="I271" s="84"/>
      <c r="J271" s="84"/>
      <c r="K271" s="84"/>
      <c r="L271" s="84"/>
      <c r="M271" s="84"/>
      <c r="N271" s="84"/>
      <c r="O271" s="84"/>
      <c r="P271" s="83"/>
    </row>
    <row r="272" spans="1:16">
      <c r="A272" s="82"/>
      <c r="B272" s="83"/>
      <c r="C272" s="83"/>
      <c r="D272" s="84"/>
      <c r="E272" s="84"/>
      <c r="F272" s="84"/>
      <c r="G272" s="84"/>
      <c r="H272" s="84"/>
      <c r="I272" s="84"/>
      <c r="J272" s="84"/>
      <c r="K272" s="84"/>
      <c r="L272" s="84"/>
      <c r="M272" s="84"/>
      <c r="N272" s="84"/>
      <c r="O272" s="84"/>
      <c r="P272" s="83"/>
    </row>
    <row r="273" spans="1:16">
      <c r="A273" s="82"/>
      <c r="B273" s="83"/>
      <c r="C273" s="83"/>
      <c r="D273" s="84"/>
      <c r="E273" s="84"/>
      <c r="F273" s="84"/>
      <c r="G273" s="84"/>
      <c r="H273" s="84"/>
      <c r="I273" s="84"/>
      <c r="J273" s="84"/>
      <c r="K273" s="84"/>
      <c r="L273" s="84"/>
      <c r="M273" s="84"/>
      <c r="N273" s="84"/>
      <c r="O273" s="84"/>
      <c r="P273" s="83"/>
    </row>
    <row r="274" spans="1:16">
      <c r="A274" s="82"/>
      <c r="B274" s="83"/>
      <c r="C274" s="83"/>
      <c r="D274" s="84"/>
      <c r="E274" s="84"/>
      <c r="F274" s="84"/>
      <c r="G274" s="84"/>
      <c r="H274" s="84"/>
      <c r="I274" s="84"/>
      <c r="J274" s="84"/>
      <c r="K274" s="84"/>
      <c r="L274" s="84"/>
      <c r="M274" s="84"/>
      <c r="N274" s="84"/>
      <c r="O274" s="84"/>
      <c r="P274" s="83"/>
    </row>
    <row r="275" spans="1:16">
      <c r="A275" s="82"/>
      <c r="B275" s="83"/>
      <c r="C275" s="83"/>
      <c r="D275" s="84"/>
      <c r="E275" s="84"/>
      <c r="F275" s="84"/>
      <c r="G275" s="84"/>
      <c r="H275" s="84"/>
      <c r="I275" s="84"/>
      <c r="J275" s="84"/>
      <c r="K275" s="84"/>
      <c r="L275" s="84"/>
      <c r="M275" s="84"/>
      <c r="N275" s="84"/>
      <c r="O275" s="84"/>
      <c r="P275" s="83"/>
    </row>
    <row r="276" spans="1:16">
      <c r="A276" s="82"/>
      <c r="B276" s="83"/>
      <c r="C276" s="83"/>
      <c r="D276" s="84"/>
      <c r="E276" s="84"/>
      <c r="F276" s="84"/>
      <c r="G276" s="84"/>
      <c r="H276" s="84"/>
      <c r="I276" s="84"/>
      <c r="J276" s="84"/>
      <c r="K276" s="84"/>
      <c r="L276" s="84"/>
      <c r="M276" s="84"/>
      <c r="N276" s="84"/>
      <c r="O276" s="84"/>
      <c r="P276" s="83"/>
    </row>
    <row r="277" spans="1:16">
      <c r="A277" s="82"/>
      <c r="B277" s="83"/>
      <c r="C277" s="83"/>
      <c r="D277" s="84"/>
      <c r="E277" s="84"/>
      <c r="F277" s="84"/>
      <c r="G277" s="84"/>
      <c r="H277" s="84"/>
      <c r="I277" s="84"/>
      <c r="J277" s="84"/>
      <c r="K277" s="84"/>
      <c r="L277" s="84"/>
      <c r="M277" s="84"/>
      <c r="N277" s="84"/>
      <c r="O277" s="84"/>
      <c r="P277" s="83"/>
    </row>
    <row r="278" spans="1:16">
      <c r="A278" s="82"/>
      <c r="B278" s="83"/>
      <c r="C278" s="83"/>
      <c r="D278" s="84"/>
      <c r="E278" s="84"/>
      <c r="F278" s="84"/>
      <c r="G278" s="84"/>
      <c r="H278" s="84"/>
      <c r="I278" s="84"/>
      <c r="J278" s="84"/>
      <c r="K278" s="84"/>
      <c r="L278" s="84"/>
      <c r="M278" s="84"/>
      <c r="N278" s="84"/>
      <c r="O278" s="84"/>
      <c r="P278" s="83"/>
    </row>
    <row r="279" spans="1:16">
      <c r="A279" s="82"/>
      <c r="B279" s="83"/>
      <c r="C279" s="83"/>
      <c r="D279" s="84"/>
      <c r="E279" s="84"/>
      <c r="F279" s="84"/>
      <c r="G279" s="84"/>
      <c r="H279" s="84"/>
      <c r="I279" s="84"/>
      <c r="J279" s="84"/>
      <c r="K279" s="84"/>
      <c r="L279" s="84"/>
      <c r="M279" s="84"/>
      <c r="N279" s="84"/>
      <c r="O279" s="84"/>
      <c r="P279" s="83"/>
    </row>
    <row r="280" spans="1:16">
      <c r="A280" s="82"/>
      <c r="B280" s="83"/>
      <c r="C280" s="83"/>
      <c r="D280" s="84"/>
      <c r="E280" s="84"/>
      <c r="F280" s="84"/>
      <c r="G280" s="84"/>
      <c r="H280" s="84"/>
      <c r="I280" s="84"/>
      <c r="J280" s="84"/>
      <c r="K280" s="84"/>
      <c r="L280" s="84"/>
      <c r="M280" s="84"/>
      <c r="N280" s="84"/>
      <c r="O280" s="84"/>
      <c r="P280" s="83"/>
    </row>
    <row r="281" spans="1:16">
      <c r="A281" s="82"/>
      <c r="B281" s="83"/>
      <c r="C281" s="83"/>
      <c r="D281" s="84"/>
      <c r="E281" s="84"/>
      <c r="F281" s="84"/>
      <c r="G281" s="84"/>
      <c r="H281" s="84"/>
      <c r="I281" s="84"/>
      <c r="J281" s="84"/>
      <c r="K281" s="84"/>
      <c r="L281" s="84"/>
      <c r="M281" s="84"/>
      <c r="N281" s="84"/>
      <c r="O281" s="84"/>
      <c r="P281" s="83"/>
    </row>
    <row r="282" spans="1:16">
      <c r="A282" s="82"/>
      <c r="B282" s="83"/>
      <c r="C282" s="83"/>
      <c r="D282" s="84"/>
      <c r="E282" s="84"/>
      <c r="F282" s="84"/>
      <c r="G282" s="84"/>
      <c r="H282" s="84"/>
      <c r="I282" s="84"/>
      <c r="J282" s="84"/>
      <c r="K282" s="84"/>
      <c r="L282" s="84"/>
      <c r="M282" s="84"/>
      <c r="N282" s="84"/>
      <c r="O282" s="84"/>
      <c r="P282" s="83"/>
    </row>
    <row r="283" spans="1:16">
      <c r="A283" s="82"/>
      <c r="B283" s="83"/>
      <c r="C283" s="83"/>
      <c r="D283" s="84"/>
      <c r="E283" s="84"/>
      <c r="F283" s="84"/>
      <c r="G283" s="84"/>
      <c r="H283" s="84"/>
      <c r="I283" s="84"/>
      <c r="J283" s="84"/>
      <c r="K283" s="84"/>
      <c r="L283" s="84"/>
      <c r="M283" s="84"/>
      <c r="N283" s="84"/>
      <c r="O283" s="84"/>
      <c r="P283" s="83"/>
    </row>
    <row r="284" spans="1:16">
      <c r="A284" s="82"/>
      <c r="B284" s="83"/>
      <c r="C284" s="83"/>
      <c r="D284" s="84"/>
      <c r="E284" s="84"/>
      <c r="F284" s="84"/>
      <c r="G284" s="84"/>
      <c r="H284" s="84"/>
      <c r="I284" s="84"/>
      <c r="J284" s="84"/>
      <c r="K284" s="84"/>
      <c r="L284" s="84"/>
      <c r="M284" s="84"/>
      <c r="N284" s="84"/>
      <c r="O284" s="84"/>
      <c r="P284" s="83"/>
    </row>
    <row r="285" spans="1:16">
      <c r="A285" s="82"/>
      <c r="B285" s="83"/>
      <c r="C285" s="83"/>
      <c r="D285" s="84"/>
      <c r="E285" s="84"/>
      <c r="F285" s="84"/>
      <c r="G285" s="84"/>
      <c r="H285" s="84"/>
      <c r="I285" s="84"/>
      <c r="J285" s="84"/>
      <c r="K285" s="84"/>
      <c r="L285" s="84"/>
      <c r="M285" s="84"/>
      <c r="N285" s="84"/>
      <c r="O285" s="84"/>
      <c r="P285" s="83"/>
    </row>
    <row r="286" spans="1:16">
      <c r="A286" s="82"/>
      <c r="B286" s="83"/>
      <c r="C286" s="83"/>
      <c r="D286" s="84"/>
      <c r="E286" s="84"/>
      <c r="F286" s="84"/>
      <c r="G286" s="84"/>
      <c r="H286" s="84"/>
      <c r="I286" s="84"/>
      <c r="J286" s="84"/>
      <c r="K286" s="84"/>
      <c r="L286" s="84"/>
      <c r="M286" s="84"/>
      <c r="N286" s="84"/>
      <c r="O286" s="84"/>
      <c r="P286" s="83"/>
    </row>
    <row r="287" spans="1:16">
      <c r="A287" s="82"/>
      <c r="B287" s="83"/>
      <c r="C287" s="83"/>
      <c r="D287" s="84"/>
      <c r="E287" s="84"/>
      <c r="F287" s="84"/>
      <c r="G287" s="84"/>
      <c r="H287" s="84"/>
      <c r="I287" s="84"/>
      <c r="J287" s="84"/>
      <c r="K287" s="84"/>
      <c r="L287" s="84"/>
      <c r="M287" s="84"/>
      <c r="N287" s="84"/>
      <c r="O287" s="84"/>
      <c r="P287" s="83"/>
    </row>
    <row r="288" spans="1:16">
      <c r="A288" s="82"/>
      <c r="B288" s="83"/>
      <c r="C288" s="83"/>
      <c r="D288" s="84"/>
      <c r="E288" s="84"/>
      <c r="F288" s="84"/>
      <c r="G288" s="84"/>
      <c r="H288" s="84"/>
      <c r="I288" s="84"/>
      <c r="J288" s="84"/>
      <c r="K288" s="84"/>
      <c r="L288" s="84"/>
      <c r="M288" s="84"/>
      <c r="N288" s="84"/>
      <c r="O288" s="84"/>
      <c r="P288" s="83"/>
    </row>
    <row r="289" spans="1:16">
      <c r="A289" s="82"/>
      <c r="B289" s="83"/>
      <c r="C289" s="83"/>
      <c r="D289" s="84"/>
      <c r="E289" s="84"/>
      <c r="F289" s="84"/>
      <c r="G289" s="84"/>
      <c r="H289" s="84"/>
      <c r="I289" s="84"/>
      <c r="J289" s="84"/>
      <c r="K289" s="84"/>
      <c r="L289" s="84"/>
      <c r="M289" s="84"/>
      <c r="N289" s="84"/>
      <c r="O289" s="84"/>
      <c r="P289" s="83"/>
    </row>
    <row r="290" spans="1:16">
      <c r="A290" s="82"/>
      <c r="B290" s="83"/>
      <c r="C290" s="83"/>
      <c r="D290" s="84"/>
      <c r="E290" s="84"/>
      <c r="F290" s="84"/>
      <c r="G290" s="84"/>
      <c r="H290" s="84"/>
      <c r="I290" s="84"/>
      <c r="J290" s="84"/>
      <c r="K290" s="84"/>
      <c r="L290" s="84"/>
      <c r="M290" s="84"/>
      <c r="N290" s="84"/>
      <c r="O290" s="84"/>
      <c r="P290" s="83"/>
    </row>
    <row r="291" spans="1:16">
      <c r="A291" s="82"/>
      <c r="B291" s="83"/>
      <c r="C291" s="83"/>
      <c r="D291" s="84"/>
      <c r="E291" s="84"/>
      <c r="F291" s="84"/>
      <c r="G291" s="84"/>
      <c r="H291" s="84"/>
      <c r="I291" s="84"/>
      <c r="J291" s="84"/>
      <c r="K291" s="84"/>
      <c r="L291" s="84"/>
      <c r="M291" s="84"/>
      <c r="N291" s="84"/>
      <c r="O291" s="84"/>
      <c r="P291" s="83"/>
    </row>
    <row r="292" spans="1:16">
      <c r="A292" s="82"/>
      <c r="B292" s="83"/>
      <c r="C292" s="83"/>
      <c r="D292" s="84"/>
      <c r="E292" s="84"/>
      <c r="F292" s="84"/>
      <c r="G292" s="84"/>
      <c r="H292" s="84"/>
      <c r="I292" s="84"/>
      <c r="J292" s="84"/>
      <c r="K292" s="84"/>
      <c r="L292" s="84"/>
      <c r="M292" s="84"/>
      <c r="N292" s="84"/>
      <c r="O292" s="84"/>
      <c r="P292" s="83"/>
    </row>
    <row r="293" spans="1:16">
      <c r="A293" s="82"/>
      <c r="B293" s="83"/>
      <c r="C293" s="83"/>
      <c r="D293" s="84"/>
      <c r="E293" s="84"/>
      <c r="F293" s="84"/>
      <c r="G293" s="84"/>
      <c r="H293" s="84"/>
      <c r="I293" s="84"/>
      <c r="J293" s="84"/>
      <c r="K293" s="84"/>
      <c r="L293" s="84"/>
      <c r="M293" s="84"/>
      <c r="N293" s="84"/>
      <c r="O293" s="84"/>
      <c r="P293" s="83"/>
    </row>
    <row r="294" spans="1:16">
      <c r="A294" s="82"/>
      <c r="B294" s="83"/>
      <c r="C294" s="83"/>
      <c r="D294" s="84"/>
      <c r="E294" s="84"/>
      <c r="F294" s="84"/>
      <c r="G294" s="84"/>
      <c r="H294" s="84"/>
      <c r="I294" s="84"/>
      <c r="J294" s="84"/>
      <c r="K294" s="84"/>
      <c r="L294" s="84"/>
      <c r="M294" s="84"/>
      <c r="N294" s="84"/>
      <c r="O294" s="84"/>
      <c r="P294" s="83"/>
    </row>
    <row r="295" spans="1:16">
      <c r="A295" s="82"/>
      <c r="B295" s="83"/>
      <c r="C295" s="83"/>
      <c r="D295" s="84"/>
      <c r="E295" s="84"/>
      <c r="F295" s="84"/>
      <c r="G295" s="84"/>
      <c r="H295" s="84"/>
      <c r="I295" s="84"/>
      <c r="J295" s="84"/>
      <c r="K295" s="84"/>
      <c r="L295" s="84"/>
      <c r="M295" s="84"/>
      <c r="N295" s="84"/>
      <c r="O295" s="84"/>
      <c r="P295" s="83"/>
    </row>
  </sheetData>
  <mergeCells count="1">
    <mergeCell ref="C3:C42"/>
  </mergeCells>
  <phoneticPr fontId="21" type="noConversion"/>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42" max="16383" man="1"/>
  </rowBreak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32">
    <tabColor theme="3" tint="0.59999389629810485"/>
    <pageSetUpPr fitToPage="1"/>
  </sheetPr>
  <dimension ref="A1:V295"/>
  <sheetViews>
    <sheetView workbookViewId="0">
      <pane xSplit="3" ySplit="2" topLeftCell="D3" activePane="bottomRight" state="frozen"/>
      <selection activeCell="G1" sqref="G1"/>
      <selection pane="topRight" activeCell="G1" sqref="G1"/>
      <selection pane="bottomLeft" activeCell="G1" sqref="G1"/>
      <selection pane="bottomRight" activeCell="G1" sqref="G1"/>
    </sheetView>
  </sheetViews>
  <sheetFormatPr baseColWidth="10" defaultColWidth="20.85546875" defaultRowHeight="13"/>
  <cols>
    <col min="1" max="1" width="3.5703125" style="22" customWidth="1"/>
    <col min="2" max="2" width="32.42578125" style="3" customWidth="1"/>
    <col min="3" max="3" width="10.140625" style="3" customWidth="1"/>
    <col min="4" max="15" width="9.7109375" style="24" customWidth="1"/>
    <col min="16" max="16" width="44.85546875" style="3" customWidth="1"/>
    <col min="17" max="17" width="9.7109375" style="3" customWidth="1"/>
    <col min="18" max="18" width="10.140625" style="3" customWidth="1"/>
    <col min="19" max="22" width="8.7109375" style="3" customWidth="1"/>
    <col min="23" max="16384" width="20.85546875" style="83"/>
  </cols>
  <sheetData>
    <row r="1" spans="1:22" ht="27" customHeight="1">
      <c r="A1" s="1">
        <v>1</v>
      </c>
      <c r="B1" s="62" t="s">
        <v>151</v>
      </c>
      <c r="C1" s="22" t="s">
        <v>352</v>
      </c>
      <c r="D1" s="78" t="s">
        <v>267</v>
      </c>
      <c r="E1" s="77" t="str">
        <f>D1</f>
        <v>NN</v>
      </c>
      <c r="F1" s="77" t="str">
        <f t="shared" ref="F1:O1" si="0">E1</f>
        <v>NN</v>
      </c>
      <c r="G1" s="77" t="str">
        <f t="shared" si="0"/>
        <v>NN</v>
      </c>
      <c r="H1" s="77" t="str">
        <f t="shared" si="0"/>
        <v>NN</v>
      </c>
      <c r="I1" s="77" t="str">
        <f t="shared" si="0"/>
        <v>NN</v>
      </c>
      <c r="J1" s="77" t="str">
        <f t="shared" si="0"/>
        <v>NN</v>
      </c>
      <c r="K1" s="77" t="str">
        <f t="shared" si="0"/>
        <v>NN</v>
      </c>
      <c r="L1" s="77" t="str">
        <f t="shared" si="0"/>
        <v>NN</v>
      </c>
      <c r="M1" s="77" t="str">
        <f t="shared" si="0"/>
        <v>NN</v>
      </c>
      <c r="N1" s="77" t="str">
        <f t="shared" si="0"/>
        <v>NN</v>
      </c>
      <c r="O1" s="77" t="str">
        <f t="shared" si="0"/>
        <v>NN</v>
      </c>
      <c r="P1" s="3" t="s">
        <v>185</v>
      </c>
      <c r="Q1" s="86"/>
      <c r="R1" s="86"/>
      <c r="S1" s="86"/>
      <c r="T1" s="86"/>
      <c r="U1" s="86"/>
      <c r="V1" s="86"/>
    </row>
    <row r="2" spans="1:22" ht="14" customHeight="1">
      <c r="A2" s="4">
        <f t="shared" ref="A2:A44" si="1">A1+1</f>
        <v>2</v>
      </c>
      <c r="B2" s="89" t="s">
        <v>36</v>
      </c>
      <c r="C2" s="234" t="s">
        <v>330</v>
      </c>
      <c r="D2" s="76" t="str">
        <f>"AUG 11"</f>
        <v>AUG 11</v>
      </c>
      <c r="E2" s="76" t="str">
        <f>"SEP11"</f>
        <v>SEP11</v>
      </c>
      <c r="F2" s="76" t="str">
        <f>"OKT 11"</f>
        <v>OKT 11</v>
      </c>
      <c r="G2" s="76" t="str">
        <f>"NOV 11"</f>
        <v>NOV 11</v>
      </c>
      <c r="H2" s="76" t="str">
        <f>"DEC 11"</f>
        <v>DEC 11</v>
      </c>
      <c r="I2" s="76" t="str">
        <f>"JAN 12"</f>
        <v>JAN 12</v>
      </c>
      <c r="J2" s="76" t="str">
        <f>"FEB 12"</f>
        <v>FEB 12</v>
      </c>
      <c r="K2" s="76" t="str">
        <f>"MAR 12"</f>
        <v>MAR 12</v>
      </c>
      <c r="L2" s="256" t="str">
        <f>"APR 12"</f>
        <v>APR 12</v>
      </c>
      <c r="M2" s="256" t="str">
        <f>"MAJ12"</f>
        <v>MAJ12</v>
      </c>
      <c r="N2" s="256" t="str">
        <f>"JUN 12"</f>
        <v>JUN 12</v>
      </c>
      <c r="O2" s="256" t="str">
        <f>"JUL 12"</f>
        <v>JUL 12</v>
      </c>
      <c r="P2" s="254" t="s">
        <v>257</v>
      </c>
      <c r="Q2" s="86"/>
      <c r="R2" s="86"/>
      <c r="S2" s="86"/>
      <c r="T2" s="86"/>
      <c r="U2" s="86"/>
      <c r="V2" s="86"/>
    </row>
    <row r="3" spans="1:22" ht="27" customHeight="1">
      <c r="A3" s="4">
        <f t="shared" si="1"/>
        <v>3</v>
      </c>
      <c r="B3" s="160" t="s">
        <v>37</v>
      </c>
      <c r="C3" s="1273" t="s">
        <v>67</v>
      </c>
      <c r="D3" s="188">
        <v>1</v>
      </c>
      <c r="E3" s="237">
        <v>1</v>
      </c>
      <c r="F3" s="237">
        <v>1</v>
      </c>
      <c r="G3" s="237">
        <v>1</v>
      </c>
      <c r="H3" s="237">
        <v>1</v>
      </c>
      <c r="I3" s="237">
        <v>1</v>
      </c>
      <c r="J3" s="237">
        <v>1</v>
      </c>
      <c r="K3" s="237">
        <v>1</v>
      </c>
      <c r="L3" s="238">
        <v>1</v>
      </c>
      <c r="M3" s="238">
        <v>1</v>
      </c>
      <c r="N3" s="238">
        <v>1</v>
      </c>
      <c r="O3" s="238">
        <v>1</v>
      </c>
      <c r="P3" s="6" t="s">
        <v>258</v>
      </c>
      <c r="Q3" s="86"/>
      <c r="R3" s="86"/>
      <c r="S3" s="86"/>
      <c r="T3" s="86"/>
      <c r="U3" s="86"/>
      <c r="V3" s="86"/>
    </row>
    <row r="4" spans="1:22" ht="14" customHeight="1">
      <c r="A4" s="4">
        <f t="shared" si="1"/>
        <v>4</v>
      </c>
      <c r="B4" s="161" t="s">
        <v>155</v>
      </c>
      <c r="C4" s="1274"/>
      <c r="D4" s="189" t="s">
        <v>217</v>
      </c>
      <c r="E4" s="239" t="str">
        <f>D4</f>
        <v>Bh1</v>
      </c>
      <c r="F4" s="239" t="str">
        <f t="shared" ref="F4:O4" si="2">E4</f>
        <v>Bh1</v>
      </c>
      <c r="G4" s="239" t="str">
        <f t="shared" si="2"/>
        <v>Bh1</v>
      </c>
      <c r="H4" s="239" t="str">
        <f t="shared" si="2"/>
        <v>Bh1</v>
      </c>
      <c r="I4" s="239" t="str">
        <f t="shared" si="2"/>
        <v>Bh1</v>
      </c>
      <c r="J4" s="239" t="str">
        <f t="shared" si="2"/>
        <v>Bh1</v>
      </c>
      <c r="K4" s="239" t="str">
        <f t="shared" si="2"/>
        <v>Bh1</v>
      </c>
      <c r="L4" s="239" t="str">
        <f t="shared" si="2"/>
        <v>Bh1</v>
      </c>
      <c r="M4" s="239" t="str">
        <f t="shared" si="2"/>
        <v>Bh1</v>
      </c>
      <c r="N4" s="239" t="str">
        <f t="shared" si="2"/>
        <v>Bh1</v>
      </c>
      <c r="O4" s="239" t="str">
        <f t="shared" si="2"/>
        <v>Bh1</v>
      </c>
      <c r="P4" s="6" t="s">
        <v>203</v>
      </c>
      <c r="Q4" s="86"/>
      <c r="R4" s="86"/>
      <c r="S4" s="86"/>
      <c r="T4" s="86"/>
      <c r="U4" s="86"/>
      <c r="V4" s="86"/>
    </row>
    <row r="5" spans="1:22" ht="24" customHeight="1">
      <c r="A5" s="4">
        <f>A4+1</f>
        <v>5</v>
      </c>
      <c r="B5" s="162" t="s">
        <v>54</v>
      </c>
      <c r="C5" s="1274"/>
      <c r="D5" s="189"/>
      <c r="E5" s="79" t="str">
        <f>IF(D5&lt;&gt;"",D5,"")</f>
        <v/>
      </c>
      <c r="F5" s="79" t="str">
        <f t="shared" ref="F5:O5" si="3">IF(E5&lt;&gt;"",E5,"")</f>
        <v/>
      </c>
      <c r="G5" s="79" t="str">
        <f t="shared" si="3"/>
        <v/>
      </c>
      <c r="H5" s="79" t="str">
        <f t="shared" si="3"/>
        <v/>
      </c>
      <c r="I5" s="79" t="str">
        <f t="shared" si="3"/>
        <v/>
      </c>
      <c r="J5" s="79" t="str">
        <f t="shared" si="3"/>
        <v/>
      </c>
      <c r="K5" s="79" t="str">
        <f t="shared" si="3"/>
        <v/>
      </c>
      <c r="L5" s="79" t="str">
        <f t="shared" si="3"/>
        <v/>
      </c>
      <c r="M5" s="79" t="str">
        <f t="shared" si="3"/>
        <v/>
      </c>
      <c r="N5" s="79" t="str">
        <f t="shared" si="3"/>
        <v/>
      </c>
      <c r="O5" s="79" t="str">
        <f t="shared" si="3"/>
        <v/>
      </c>
      <c r="P5" s="65" t="s">
        <v>55</v>
      </c>
      <c r="Q5" s="86"/>
      <c r="R5" s="86"/>
      <c r="S5" s="86"/>
      <c r="T5" s="86"/>
      <c r="U5" s="86"/>
      <c r="V5" s="86"/>
    </row>
    <row r="6" spans="1:22" ht="24" customHeight="1">
      <c r="A6" s="4">
        <f t="shared" si="1"/>
        <v>6</v>
      </c>
      <c r="B6" s="161" t="s">
        <v>112</v>
      </c>
      <c r="C6" s="1274"/>
      <c r="D6" s="189" t="s">
        <v>216</v>
      </c>
      <c r="E6" s="71" t="str">
        <f>$D6</f>
        <v>L</v>
      </c>
      <c r="F6" s="71" t="str">
        <f t="shared" ref="F6:O8" si="4">$D6</f>
        <v>L</v>
      </c>
      <c r="G6" s="71" t="str">
        <f t="shared" si="4"/>
        <v>L</v>
      </c>
      <c r="H6" s="71" t="str">
        <f t="shared" si="4"/>
        <v>L</v>
      </c>
      <c r="I6" s="71" t="str">
        <f t="shared" si="4"/>
        <v>L</v>
      </c>
      <c r="J6" s="71" t="str">
        <f t="shared" si="4"/>
        <v>L</v>
      </c>
      <c r="K6" s="71" t="str">
        <f t="shared" si="4"/>
        <v>L</v>
      </c>
      <c r="L6" s="71" t="str">
        <f t="shared" si="4"/>
        <v>L</v>
      </c>
      <c r="M6" s="71" t="str">
        <f t="shared" si="4"/>
        <v>L</v>
      </c>
      <c r="N6" s="71" t="str">
        <f t="shared" si="4"/>
        <v>L</v>
      </c>
      <c r="O6" s="71" t="str">
        <f t="shared" si="4"/>
        <v>L</v>
      </c>
      <c r="P6" s="6" t="s">
        <v>13</v>
      </c>
      <c r="Q6" s="86"/>
      <c r="R6" s="86"/>
      <c r="S6" s="86"/>
      <c r="T6" s="86"/>
      <c r="U6" s="86"/>
      <c r="V6" s="86"/>
    </row>
    <row r="7" spans="1:22" ht="14" customHeight="1">
      <c r="A7" s="4">
        <f t="shared" si="1"/>
        <v>7</v>
      </c>
      <c r="B7" s="161" t="s">
        <v>210</v>
      </c>
      <c r="C7" s="1274"/>
      <c r="D7" s="69">
        <v>1.3106599999999999</v>
      </c>
      <c r="E7" s="69">
        <v>1.3106599999999999</v>
      </c>
      <c r="F7" s="69">
        <v>1.3106599999999999</v>
      </c>
      <c r="G7" s="69">
        <v>1.3106599999999999</v>
      </c>
      <c r="H7" s="69">
        <v>1.3106599999999999</v>
      </c>
      <c r="I7" s="69">
        <v>1.3106599999999999</v>
      </c>
      <c r="J7" s="69">
        <v>1.3106599999999999</v>
      </c>
      <c r="K7" s="69">
        <v>1.3106599999999999</v>
      </c>
      <c r="L7" s="328">
        <v>1.0130399999999999</v>
      </c>
      <c r="M7" s="69">
        <f>L7</f>
        <v>1.0130399999999999</v>
      </c>
      <c r="N7" s="69">
        <f>M7</f>
        <v>1.0130399999999999</v>
      </c>
      <c r="O7" s="69">
        <f>N7</f>
        <v>1.0130399999999999</v>
      </c>
      <c r="P7" s="70" t="s">
        <v>182</v>
      </c>
      <c r="Q7" s="86"/>
      <c r="R7" s="86"/>
      <c r="S7" s="86"/>
      <c r="T7" s="86"/>
      <c r="U7" s="86"/>
      <c r="V7" s="86"/>
    </row>
    <row r="8" spans="1:22" ht="14" customHeight="1">
      <c r="A8" s="4">
        <f t="shared" si="1"/>
        <v>8</v>
      </c>
      <c r="B8" s="161" t="s">
        <v>127</v>
      </c>
      <c r="C8" s="1274"/>
      <c r="D8" s="191">
        <v>3</v>
      </c>
      <c r="E8" s="71">
        <f>$D8</f>
        <v>3</v>
      </c>
      <c r="F8" s="71">
        <f t="shared" si="4"/>
        <v>3</v>
      </c>
      <c r="G8" s="71">
        <f t="shared" si="4"/>
        <v>3</v>
      </c>
      <c r="H8" s="71">
        <f t="shared" si="4"/>
        <v>3</v>
      </c>
      <c r="I8" s="71">
        <f t="shared" si="4"/>
        <v>3</v>
      </c>
      <c r="J8" s="71">
        <f t="shared" si="4"/>
        <v>3</v>
      </c>
      <c r="K8" s="71">
        <f t="shared" si="4"/>
        <v>3</v>
      </c>
      <c r="L8" s="71">
        <f t="shared" si="4"/>
        <v>3</v>
      </c>
      <c r="M8" s="71">
        <f t="shared" si="4"/>
        <v>3</v>
      </c>
      <c r="N8" s="71">
        <f t="shared" si="4"/>
        <v>3</v>
      </c>
      <c r="O8" s="71">
        <f t="shared" si="4"/>
        <v>3</v>
      </c>
      <c r="P8" s="3" t="s">
        <v>99</v>
      </c>
      <c r="Q8" s="86"/>
      <c r="R8" s="86"/>
      <c r="S8" s="86"/>
      <c r="T8" s="86"/>
      <c r="U8" s="86"/>
      <c r="V8" s="86"/>
    </row>
    <row r="9" spans="1:22" ht="28">
      <c r="A9" s="4">
        <f>A8+1</f>
        <v>9</v>
      </c>
      <c r="B9" s="161" t="s">
        <v>34</v>
      </c>
      <c r="C9" s="1274"/>
      <c r="D9" s="143">
        <v>0.66139999999999999</v>
      </c>
      <c r="E9" s="240">
        <f>D9</f>
        <v>0.66139999999999999</v>
      </c>
      <c r="F9" s="240">
        <f t="shared" ref="F9:O12" si="5">E9</f>
        <v>0.66139999999999999</v>
      </c>
      <c r="G9" s="240">
        <f t="shared" si="5"/>
        <v>0.66139999999999999</v>
      </c>
      <c r="H9" s="240">
        <f t="shared" si="5"/>
        <v>0.66139999999999999</v>
      </c>
      <c r="I9" s="240">
        <f t="shared" si="5"/>
        <v>0.66139999999999999</v>
      </c>
      <c r="J9" s="240">
        <f t="shared" si="5"/>
        <v>0.66139999999999999</v>
      </c>
      <c r="K9" s="240">
        <f t="shared" si="5"/>
        <v>0.66139999999999999</v>
      </c>
      <c r="L9" s="240">
        <f t="shared" si="5"/>
        <v>0.66139999999999999</v>
      </c>
      <c r="M9" s="240">
        <f t="shared" si="5"/>
        <v>0.66139999999999999</v>
      </c>
      <c r="N9" s="240">
        <f t="shared" si="5"/>
        <v>0.66139999999999999</v>
      </c>
      <c r="O9" s="240">
        <f t="shared" si="5"/>
        <v>0.66139999999999999</v>
      </c>
      <c r="P9" s="6" t="s">
        <v>73</v>
      </c>
      <c r="Q9" s="86"/>
      <c r="R9" s="86"/>
      <c r="S9" s="86"/>
      <c r="T9" s="86"/>
      <c r="U9" s="86"/>
      <c r="V9" s="86"/>
    </row>
    <row r="10" spans="1:22" ht="24" customHeight="1">
      <c r="A10" s="4">
        <f t="shared" si="1"/>
        <v>10</v>
      </c>
      <c r="B10" s="161" t="s">
        <v>212</v>
      </c>
      <c r="C10" s="1274"/>
      <c r="D10" s="192">
        <v>600</v>
      </c>
      <c r="E10" s="241">
        <f>D10</f>
        <v>600</v>
      </c>
      <c r="F10" s="241">
        <f t="shared" si="5"/>
        <v>600</v>
      </c>
      <c r="G10" s="241">
        <f t="shared" si="5"/>
        <v>600</v>
      </c>
      <c r="H10" s="241">
        <f t="shared" si="5"/>
        <v>600</v>
      </c>
      <c r="I10" s="241">
        <f t="shared" si="5"/>
        <v>600</v>
      </c>
      <c r="J10" s="241">
        <f t="shared" si="5"/>
        <v>600</v>
      </c>
      <c r="K10" s="241">
        <f t="shared" si="5"/>
        <v>600</v>
      </c>
      <c r="L10" s="241">
        <f t="shared" si="5"/>
        <v>600</v>
      </c>
      <c r="M10" s="241">
        <f t="shared" si="5"/>
        <v>600</v>
      </c>
      <c r="N10" s="241">
        <f t="shared" si="5"/>
        <v>600</v>
      </c>
      <c r="O10" s="241">
        <f t="shared" si="5"/>
        <v>600</v>
      </c>
      <c r="P10" s="6" t="s">
        <v>68</v>
      </c>
      <c r="Q10" s="86"/>
      <c r="R10" s="86"/>
      <c r="S10" s="86"/>
      <c r="T10" s="86"/>
      <c r="U10" s="86"/>
      <c r="V10" s="86"/>
    </row>
    <row r="11" spans="1:22" ht="24" customHeight="1">
      <c r="A11" s="4">
        <f t="shared" si="1"/>
        <v>11</v>
      </c>
      <c r="B11" s="163" t="s">
        <v>291</v>
      </c>
      <c r="C11" s="1274"/>
      <c r="D11" s="193"/>
      <c r="E11" s="242">
        <f>D11</f>
        <v>0</v>
      </c>
      <c r="F11" s="242">
        <f t="shared" si="5"/>
        <v>0</v>
      </c>
      <c r="G11" s="242">
        <f t="shared" si="5"/>
        <v>0</v>
      </c>
      <c r="H11" s="242">
        <f t="shared" si="5"/>
        <v>0</v>
      </c>
      <c r="I11" s="242">
        <f t="shared" si="5"/>
        <v>0</v>
      </c>
      <c r="J11" s="242">
        <f t="shared" si="5"/>
        <v>0</v>
      </c>
      <c r="K11" s="242">
        <f t="shared" si="5"/>
        <v>0</v>
      </c>
      <c r="L11" s="242">
        <f>ROUND(K11*1.31066,-2)</f>
        <v>0</v>
      </c>
      <c r="M11" s="242">
        <f t="shared" si="5"/>
        <v>0</v>
      </c>
      <c r="N11" s="242">
        <f t="shared" si="5"/>
        <v>0</v>
      </c>
      <c r="O11" s="242">
        <f t="shared" si="5"/>
        <v>0</v>
      </c>
      <c r="P11" s="12" t="s">
        <v>74</v>
      </c>
      <c r="Q11" s="86"/>
      <c r="R11" s="86"/>
      <c r="S11" s="86"/>
      <c r="T11" s="86"/>
      <c r="U11" s="86"/>
      <c r="V11" s="86"/>
    </row>
    <row r="12" spans="1:22" ht="24" customHeight="1">
      <c r="A12" s="4">
        <f t="shared" si="1"/>
        <v>12</v>
      </c>
      <c r="B12" s="164" t="s">
        <v>255</v>
      </c>
      <c r="C12" s="1274"/>
      <c r="D12" s="193"/>
      <c r="E12" s="242">
        <f>D12</f>
        <v>0</v>
      </c>
      <c r="F12" s="242">
        <f t="shared" si="5"/>
        <v>0</v>
      </c>
      <c r="G12" s="242">
        <f t="shared" si="5"/>
        <v>0</v>
      </c>
      <c r="H12" s="242">
        <f t="shared" si="5"/>
        <v>0</v>
      </c>
      <c r="I12" s="242">
        <f t="shared" si="5"/>
        <v>0</v>
      </c>
      <c r="J12" s="242">
        <f t="shared" si="5"/>
        <v>0</v>
      </c>
      <c r="K12" s="242">
        <f t="shared" si="5"/>
        <v>0</v>
      </c>
      <c r="L12" s="242">
        <f>IF(K12*1.31066&gt;2400,ROUND(K12*1.31066,-2),ROUND(K12*1.31066,0))</f>
        <v>0</v>
      </c>
      <c r="M12" s="242">
        <f t="shared" si="5"/>
        <v>0</v>
      </c>
      <c r="N12" s="242">
        <f t="shared" si="5"/>
        <v>0</v>
      </c>
      <c r="O12" s="242">
        <f t="shared" si="5"/>
        <v>0</v>
      </c>
      <c r="P12" s="3" t="s">
        <v>77</v>
      </c>
      <c r="Q12" s="86"/>
      <c r="R12" s="86"/>
      <c r="S12" s="86"/>
      <c r="T12" s="86"/>
      <c r="U12" s="86"/>
      <c r="V12" s="86"/>
    </row>
    <row r="13" spans="1:22" ht="24" customHeight="1">
      <c r="A13" s="4">
        <f>A12+1</f>
        <v>13</v>
      </c>
      <c r="B13" s="165" t="s">
        <v>255</v>
      </c>
      <c r="C13" s="1274"/>
      <c r="D13" s="194"/>
      <c r="E13" s="243">
        <f t="shared" ref="E13:O20" si="6">D13</f>
        <v>0</v>
      </c>
      <c r="F13" s="243">
        <f t="shared" si="6"/>
        <v>0</v>
      </c>
      <c r="G13" s="243">
        <f t="shared" si="6"/>
        <v>0</v>
      </c>
      <c r="H13" s="243">
        <f t="shared" si="6"/>
        <v>0</v>
      </c>
      <c r="I13" s="243">
        <f t="shared" si="6"/>
        <v>0</v>
      </c>
      <c r="J13" s="243">
        <f t="shared" si="6"/>
        <v>0</v>
      </c>
      <c r="K13" s="243">
        <f t="shared" si="6"/>
        <v>0</v>
      </c>
      <c r="L13" s="243">
        <f t="shared" ref="L13:L18" si="7">IF(K13*1.31066&gt;2400,ROUND(K13*1.31066,-2),ROUND(K13*1.31066,0))</f>
        <v>0</v>
      </c>
      <c r="M13" s="243">
        <f t="shared" si="6"/>
        <v>0</v>
      </c>
      <c r="N13" s="243">
        <f t="shared" si="6"/>
        <v>0</v>
      </c>
      <c r="O13" s="243">
        <f t="shared" si="6"/>
        <v>0</v>
      </c>
      <c r="P13" s="3" t="s">
        <v>77</v>
      </c>
      <c r="Q13" s="86"/>
      <c r="R13" s="86"/>
      <c r="S13" s="86"/>
      <c r="T13" s="86"/>
      <c r="U13" s="86"/>
      <c r="V13" s="86"/>
    </row>
    <row r="14" spans="1:22" ht="24" customHeight="1">
      <c r="A14" s="4">
        <f t="shared" si="1"/>
        <v>14</v>
      </c>
      <c r="B14" s="166" t="s">
        <v>255</v>
      </c>
      <c r="C14" s="1274"/>
      <c r="D14" s="195"/>
      <c r="E14" s="244">
        <f t="shared" si="6"/>
        <v>0</v>
      </c>
      <c r="F14" s="244">
        <f t="shared" si="6"/>
        <v>0</v>
      </c>
      <c r="G14" s="244">
        <f t="shared" si="6"/>
        <v>0</v>
      </c>
      <c r="H14" s="244">
        <f t="shared" si="6"/>
        <v>0</v>
      </c>
      <c r="I14" s="244">
        <f t="shared" si="6"/>
        <v>0</v>
      </c>
      <c r="J14" s="244">
        <f t="shared" si="6"/>
        <v>0</v>
      </c>
      <c r="K14" s="244">
        <f t="shared" si="6"/>
        <v>0</v>
      </c>
      <c r="L14" s="244">
        <f t="shared" si="7"/>
        <v>0</v>
      </c>
      <c r="M14" s="244">
        <f t="shared" si="6"/>
        <v>0</v>
      </c>
      <c r="N14" s="244">
        <f t="shared" si="6"/>
        <v>0</v>
      </c>
      <c r="O14" s="244">
        <f t="shared" si="6"/>
        <v>0</v>
      </c>
      <c r="P14" s="3" t="s">
        <v>77</v>
      </c>
      <c r="Q14" s="86"/>
      <c r="R14" s="86"/>
      <c r="S14" s="86"/>
      <c r="T14" s="86"/>
      <c r="U14" s="86"/>
      <c r="V14" s="86"/>
    </row>
    <row r="15" spans="1:22" ht="24" customHeight="1">
      <c r="A15" s="4">
        <f t="shared" si="1"/>
        <v>15</v>
      </c>
      <c r="B15" s="167" t="s">
        <v>188</v>
      </c>
      <c r="C15" s="1274"/>
      <c r="D15" s="196"/>
      <c r="E15" s="245">
        <f t="shared" si="6"/>
        <v>0</v>
      </c>
      <c r="F15" s="245">
        <f t="shared" si="6"/>
        <v>0</v>
      </c>
      <c r="G15" s="245">
        <f t="shared" si="6"/>
        <v>0</v>
      </c>
      <c r="H15" s="245">
        <f t="shared" si="6"/>
        <v>0</v>
      </c>
      <c r="I15" s="245">
        <f t="shared" si="6"/>
        <v>0</v>
      </c>
      <c r="J15" s="245">
        <f t="shared" si="6"/>
        <v>0</v>
      </c>
      <c r="K15" s="245">
        <f t="shared" si="6"/>
        <v>0</v>
      </c>
      <c r="L15" s="245">
        <f t="shared" si="7"/>
        <v>0</v>
      </c>
      <c r="M15" s="245">
        <f t="shared" si="6"/>
        <v>0</v>
      </c>
      <c r="N15" s="245">
        <f t="shared" si="6"/>
        <v>0</v>
      </c>
      <c r="O15" s="245">
        <f t="shared" si="6"/>
        <v>0</v>
      </c>
      <c r="P15" s="3" t="s">
        <v>75</v>
      </c>
      <c r="Q15" s="86"/>
      <c r="R15" s="86"/>
      <c r="S15" s="86"/>
      <c r="T15" s="86"/>
      <c r="U15" s="86"/>
      <c r="V15" s="86"/>
    </row>
    <row r="16" spans="1:22" ht="24" customHeight="1">
      <c r="A16" s="4">
        <f t="shared" si="1"/>
        <v>16</v>
      </c>
      <c r="B16" s="164" t="s">
        <v>189</v>
      </c>
      <c r="C16" s="1274"/>
      <c r="D16" s="193">
        <v>12000</v>
      </c>
      <c r="E16" s="242">
        <f t="shared" si="6"/>
        <v>12000</v>
      </c>
      <c r="F16" s="242">
        <f t="shared" si="6"/>
        <v>12000</v>
      </c>
      <c r="G16" s="242">
        <f t="shared" si="6"/>
        <v>12000</v>
      </c>
      <c r="H16" s="242">
        <f t="shared" si="6"/>
        <v>12000</v>
      </c>
      <c r="I16" s="242">
        <f t="shared" si="6"/>
        <v>12000</v>
      </c>
      <c r="J16" s="242">
        <f t="shared" si="6"/>
        <v>12000</v>
      </c>
      <c r="K16" s="242">
        <f t="shared" si="6"/>
        <v>12000</v>
      </c>
      <c r="L16" s="332">
        <f t="shared" si="7"/>
        <v>15700</v>
      </c>
      <c r="M16" s="242">
        <f t="shared" si="6"/>
        <v>15700</v>
      </c>
      <c r="N16" s="242">
        <f t="shared" si="6"/>
        <v>15700</v>
      </c>
      <c r="O16" s="242">
        <f t="shared" si="6"/>
        <v>15700</v>
      </c>
      <c r="P16" s="3" t="s">
        <v>75</v>
      </c>
      <c r="Q16" s="86"/>
      <c r="R16" s="86"/>
      <c r="S16" s="86"/>
      <c r="T16" s="86"/>
      <c r="U16" s="86"/>
      <c r="V16" s="86"/>
    </row>
    <row r="17" spans="1:22" ht="24" customHeight="1">
      <c r="A17" s="4">
        <f>A16+1</f>
        <v>17</v>
      </c>
      <c r="B17" s="168" t="s">
        <v>189</v>
      </c>
      <c r="C17" s="1274"/>
      <c r="D17" s="194"/>
      <c r="E17" s="243">
        <f t="shared" si="6"/>
        <v>0</v>
      </c>
      <c r="F17" s="243">
        <f t="shared" si="6"/>
        <v>0</v>
      </c>
      <c r="G17" s="243">
        <f t="shared" si="6"/>
        <v>0</v>
      </c>
      <c r="H17" s="243">
        <f t="shared" si="6"/>
        <v>0</v>
      </c>
      <c r="I17" s="243">
        <f t="shared" si="6"/>
        <v>0</v>
      </c>
      <c r="J17" s="243">
        <f t="shared" si="6"/>
        <v>0</v>
      </c>
      <c r="K17" s="243">
        <f t="shared" si="6"/>
        <v>0</v>
      </c>
      <c r="L17" s="243">
        <f t="shared" si="7"/>
        <v>0</v>
      </c>
      <c r="M17" s="243">
        <f t="shared" si="6"/>
        <v>0</v>
      </c>
      <c r="N17" s="243">
        <f t="shared" si="6"/>
        <v>0</v>
      </c>
      <c r="O17" s="243">
        <f t="shared" si="6"/>
        <v>0</v>
      </c>
      <c r="P17" s="3" t="s">
        <v>75</v>
      </c>
      <c r="Q17" s="86"/>
      <c r="R17" s="86"/>
      <c r="S17" s="86"/>
      <c r="T17" s="86"/>
      <c r="U17" s="86"/>
      <c r="V17" s="86"/>
    </row>
    <row r="18" spans="1:22" ht="24" customHeight="1">
      <c r="A18" s="4">
        <f t="shared" si="1"/>
        <v>18</v>
      </c>
      <c r="B18" s="166" t="s">
        <v>204</v>
      </c>
      <c r="C18" s="1274"/>
      <c r="D18" s="197"/>
      <c r="E18" s="246">
        <f t="shared" si="6"/>
        <v>0</v>
      </c>
      <c r="F18" s="246">
        <f t="shared" si="6"/>
        <v>0</v>
      </c>
      <c r="G18" s="246">
        <f t="shared" si="6"/>
        <v>0</v>
      </c>
      <c r="H18" s="246">
        <f t="shared" si="6"/>
        <v>0</v>
      </c>
      <c r="I18" s="246">
        <f t="shared" si="6"/>
        <v>0</v>
      </c>
      <c r="J18" s="246">
        <f t="shared" si="6"/>
        <v>0</v>
      </c>
      <c r="K18" s="246">
        <f t="shared" si="6"/>
        <v>0</v>
      </c>
      <c r="L18" s="246">
        <f t="shared" si="7"/>
        <v>0</v>
      </c>
      <c r="M18" s="246">
        <f t="shared" si="6"/>
        <v>0</v>
      </c>
      <c r="N18" s="246">
        <f t="shared" si="6"/>
        <v>0</v>
      </c>
      <c r="O18" s="246">
        <f t="shared" si="6"/>
        <v>0</v>
      </c>
      <c r="P18" s="3" t="s">
        <v>75</v>
      </c>
      <c r="Q18" s="86"/>
      <c r="R18" s="86"/>
      <c r="S18" s="86"/>
      <c r="T18" s="86"/>
      <c r="U18" s="86"/>
      <c r="V18" s="86"/>
    </row>
    <row r="19" spans="1:22" ht="24" customHeight="1">
      <c r="A19" s="4">
        <f t="shared" si="1"/>
        <v>19</v>
      </c>
      <c r="B19" s="169" t="s">
        <v>205</v>
      </c>
      <c r="C19" s="1274"/>
      <c r="D19" s="198" t="s">
        <v>223</v>
      </c>
      <c r="E19" s="247" t="str">
        <f>D19</f>
        <v>NEJ</v>
      </c>
      <c r="F19" s="247" t="str">
        <f t="shared" si="6"/>
        <v>NEJ</v>
      </c>
      <c r="G19" s="247" t="str">
        <f t="shared" si="6"/>
        <v>NEJ</v>
      </c>
      <c r="H19" s="247" t="str">
        <f t="shared" si="6"/>
        <v>NEJ</v>
      </c>
      <c r="I19" s="247" t="str">
        <f t="shared" si="6"/>
        <v>NEJ</v>
      </c>
      <c r="J19" s="247" t="str">
        <f t="shared" si="6"/>
        <v>NEJ</v>
      </c>
      <c r="K19" s="247" t="str">
        <f t="shared" si="6"/>
        <v>NEJ</v>
      </c>
      <c r="L19" s="247" t="str">
        <f t="shared" si="6"/>
        <v>NEJ</v>
      </c>
      <c r="M19" s="247" t="str">
        <f t="shared" si="6"/>
        <v>NEJ</v>
      </c>
      <c r="N19" s="247" t="str">
        <f t="shared" si="6"/>
        <v>NEJ</v>
      </c>
      <c r="O19" s="247" t="str">
        <f t="shared" si="6"/>
        <v>NEJ</v>
      </c>
      <c r="P19" s="6" t="s">
        <v>187</v>
      </c>
      <c r="Q19" s="86"/>
      <c r="R19" s="86"/>
      <c r="S19" s="86"/>
      <c r="T19" s="86"/>
      <c r="U19" s="86"/>
      <c r="V19" s="86"/>
    </row>
    <row r="20" spans="1:22" ht="14" customHeight="1">
      <c r="A20" s="4">
        <f t="shared" si="1"/>
        <v>20</v>
      </c>
      <c r="B20" s="170" t="s">
        <v>251</v>
      </c>
      <c r="C20" s="1274"/>
      <c r="D20" s="199">
        <v>0</v>
      </c>
      <c r="E20" s="248">
        <f>D20</f>
        <v>0</v>
      </c>
      <c r="F20" s="248">
        <f t="shared" si="6"/>
        <v>0</v>
      </c>
      <c r="G20" s="248">
        <f t="shared" si="6"/>
        <v>0</v>
      </c>
      <c r="H20" s="248">
        <f t="shared" si="6"/>
        <v>0</v>
      </c>
      <c r="I20" s="248">
        <f t="shared" si="6"/>
        <v>0</v>
      </c>
      <c r="J20" s="248">
        <f t="shared" si="6"/>
        <v>0</v>
      </c>
      <c r="K20" s="248">
        <f t="shared" si="6"/>
        <v>0</v>
      </c>
      <c r="L20" s="248">
        <f t="shared" si="6"/>
        <v>0</v>
      </c>
      <c r="M20" s="248">
        <f t="shared" si="6"/>
        <v>0</v>
      </c>
      <c r="N20" s="248">
        <f t="shared" si="6"/>
        <v>0</v>
      </c>
      <c r="O20" s="248">
        <f t="shared" si="6"/>
        <v>0</v>
      </c>
      <c r="P20" s="140" t="s">
        <v>153</v>
      </c>
      <c r="Q20" s="86"/>
      <c r="R20" s="86"/>
      <c r="S20" s="86"/>
      <c r="T20" s="86"/>
      <c r="U20" s="86"/>
      <c r="V20" s="86"/>
    </row>
    <row r="21" spans="1:22" ht="14" customHeight="1">
      <c r="A21" s="4">
        <f t="shared" si="1"/>
        <v>21</v>
      </c>
      <c r="B21" s="171" t="s">
        <v>218</v>
      </c>
      <c r="C21" s="1274"/>
      <c r="D21" s="200">
        <v>5</v>
      </c>
      <c r="E21" s="144"/>
      <c r="F21" s="144"/>
      <c r="G21" s="144"/>
      <c r="H21" s="144"/>
      <c r="I21" s="144"/>
      <c r="J21" s="144"/>
      <c r="K21" s="144"/>
      <c r="L21" s="144"/>
      <c r="M21" s="144">
        <v>9.9999999999999994E-12</v>
      </c>
      <c r="N21" s="144"/>
      <c r="O21" s="144">
        <v>20</v>
      </c>
      <c r="P21" s="3" t="s">
        <v>219</v>
      </c>
      <c r="Q21" s="86"/>
      <c r="R21" s="86"/>
      <c r="S21" s="86"/>
      <c r="T21" s="86"/>
      <c r="U21" s="86"/>
      <c r="V21" s="86"/>
    </row>
    <row r="22" spans="1:22" ht="27" customHeight="1">
      <c r="A22" s="4">
        <f t="shared" si="1"/>
        <v>22</v>
      </c>
      <c r="B22" s="127" t="s">
        <v>224</v>
      </c>
      <c r="C22" s="1274"/>
      <c r="D22" s="201">
        <v>0</v>
      </c>
      <c r="E22" s="145"/>
      <c r="F22" s="145"/>
      <c r="G22" s="145"/>
      <c r="H22" s="145"/>
      <c r="I22" s="145"/>
      <c r="J22" s="145"/>
      <c r="K22" s="145"/>
      <c r="L22" s="145"/>
      <c r="M22" s="145"/>
      <c r="N22" s="145"/>
      <c r="O22" s="145">
        <v>0</v>
      </c>
      <c r="P22" s="3" t="s">
        <v>259</v>
      </c>
      <c r="Q22" s="86"/>
      <c r="R22" s="86"/>
      <c r="S22" s="86"/>
      <c r="T22" s="86"/>
      <c r="U22" s="86"/>
      <c r="V22" s="86"/>
    </row>
    <row r="23" spans="1:22" ht="14" customHeight="1">
      <c r="A23" s="4">
        <f t="shared" si="1"/>
        <v>23</v>
      </c>
      <c r="B23" s="172" t="s">
        <v>279</v>
      </c>
      <c r="C23" s="1275"/>
      <c r="D23" s="202">
        <f>Ex10_11!O24</f>
        <v>0.67059999999999997</v>
      </c>
      <c r="E23" s="249">
        <f t="shared" ref="E23:L23" si="8">D23</f>
        <v>0.67059999999999997</v>
      </c>
      <c r="F23" s="249">
        <f t="shared" si="8"/>
        <v>0.67059999999999997</v>
      </c>
      <c r="G23" s="249">
        <f t="shared" si="8"/>
        <v>0.67059999999999997</v>
      </c>
      <c r="H23" s="249">
        <f t="shared" si="8"/>
        <v>0.67059999999999997</v>
      </c>
      <c r="I23" s="249">
        <f t="shared" si="8"/>
        <v>0.67059999999999997</v>
      </c>
      <c r="J23" s="249">
        <f t="shared" si="8"/>
        <v>0.67059999999999997</v>
      </c>
      <c r="K23" s="249">
        <f t="shared" si="8"/>
        <v>0.67059999999999997</v>
      </c>
      <c r="L23" s="249">
        <f t="shared" si="8"/>
        <v>0.67059999999999997</v>
      </c>
      <c r="M23" s="158"/>
      <c r="N23" s="146"/>
      <c r="O23" s="146"/>
      <c r="P23" s="142" t="s">
        <v>254</v>
      </c>
      <c r="Q23" s="86"/>
      <c r="R23" s="86"/>
      <c r="S23" s="86"/>
      <c r="T23" s="86"/>
      <c r="U23" s="86"/>
      <c r="V23" s="86"/>
    </row>
    <row r="24" spans="1:22" ht="14" customHeight="1">
      <c r="A24" s="4">
        <f t="shared" si="1"/>
        <v>24</v>
      </c>
      <c r="B24" s="173" t="s">
        <v>280</v>
      </c>
      <c r="C24" s="1275"/>
      <c r="D24" s="135" t="s">
        <v>208</v>
      </c>
      <c r="E24" s="147"/>
      <c r="F24" s="147"/>
      <c r="G24" s="147"/>
      <c r="H24" s="147"/>
      <c r="I24" s="147"/>
      <c r="J24" s="147"/>
      <c r="K24" s="147"/>
      <c r="L24" s="159"/>
      <c r="M24" s="366">
        <v>0.66139999999999999</v>
      </c>
      <c r="N24" s="250">
        <f>M24</f>
        <v>0.66139999999999999</v>
      </c>
      <c r="O24" s="250">
        <f>N24</f>
        <v>0.66139999999999999</v>
      </c>
      <c r="P24" s="139" t="s">
        <v>253</v>
      </c>
      <c r="Q24" s="86"/>
      <c r="R24" s="86"/>
      <c r="S24" s="86"/>
      <c r="T24" s="86"/>
      <c r="U24" s="86"/>
      <c r="V24" s="86"/>
    </row>
    <row r="25" spans="1:22" ht="14" customHeight="1">
      <c r="A25" s="4">
        <f t="shared" si="1"/>
        <v>25</v>
      </c>
      <c r="B25" s="174" t="s">
        <v>198</v>
      </c>
      <c r="C25" s="1275"/>
      <c r="D25" s="203"/>
      <c r="E25" s="121"/>
      <c r="F25" s="121"/>
      <c r="G25" s="121"/>
      <c r="H25" s="121"/>
      <c r="I25" s="121"/>
      <c r="J25" s="121"/>
      <c r="K25" s="121"/>
      <c r="L25" s="121"/>
      <c r="M25" s="121"/>
      <c r="N25" s="121"/>
      <c r="O25" s="121"/>
      <c r="P25" s="140" t="s">
        <v>248</v>
      </c>
      <c r="Q25" s="86"/>
      <c r="R25" s="86"/>
      <c r="S25" s="86"/>
      <c r="T25" s="86"/>
      <c r="U25" s="86"/>
      <c r="V25" s="86"/>
    </row>
    <row r="26" spans="1:22" ht="14" customHeight="1">
      <c r="A26" s="4">
        <f t="shared" si="1"/>
        <v>26</v>
      </c>
      <c r="B26" s="175" t="s">
        <v>199</v>
      </c>
      <c r="C26" s="1275"/>
      <c r="D26" s="204">
        <f>Ex10_11!O26</f>
        <v>41</v>
      </c>
      <c r="E26" s="251">
        <f>D26</f>
        <v>41</v>
      </c>
      <c r="F26" s="251">
        <f t="shared" ref="F26:O27" si="9">E26</f>
        <v>41</v>
      </c>
      <c r="G26" s="251">
        <f t="shared" si="9"/>
        <v>41</v>
      </c>
      <c r="H26" s="251">
        <f t="shared" si="9"/>
        <v>41</v>
      </c>
      <c r="I26" s="251">
        <f t="shared" si="9"/>
        <v>41</v>
      </c>
      <c r="J26" s="251">
        <f t="shared" si="9"/>
        <v>41</v>
      </c>
      <c r="K26" s="251">
        <f t="shared" si="9"/>
        <v>41</v>
      </c>
      <c r="L26" s="251">
        <f t="shared" si="9"/>
        <v>41</v>
      </c>
      <c r="M26" s="251">
        <f t="shared" si="9"/>
        <v>41</v>
      </c>
      <c r="N26" s="251">
        <f t="shared" si="9"/>
        <v>41</v>
      </c>
      <c r="O26" s="251">
        <f t="shared" si="9"/>
        <v>41</v>
      </c>
      <c r="P26" s="3" t="s">
        <v>17</v>
      </c>
      <c r="Q26" s="86"/>
      <c r="R26" s="86"/>
      <c r="S26" s="86"/>
      <c r="T26" s="86"/>
      <c r="U26" s="86"/>
      <c r="V26" s="86"/>
    </row>
    <row r="27" spans="1:22" ht="14" customHeight="1">
      <c r="A27" s="4">
        <f t="shared" si="1"/>
        <v>27</v>
      </c>
      <c r="B27" s="174" t="s">
        <v>200</v>
      </c>
      <c r="C27" s="1275"/>
      <c r="D27" s="205">
        <f>Ex10_11!O27</f>
        <v>5120</v>
      </c>
      <c r="E27" s="252">
        <f>D27</f>
        <v>5120</v>
      </c>
      <c r="F27" s="252">
        <f t="shared" si="9"/>
        <v>5120</v>
      </c>
      <c r="G27" s="252">
        <f t="shared" si="9"/>
        <v>5120</v>
      </c>
      <c r="H27" s="252">
        <f t="shared" si="9"/>
        <v>5120</v>
      </c>
      <c r="I27" s="252">
        <f t="shared" si="9"/>
        <v>5120</v>
      </c>
      <c r="J27" s="252">
        <f t="shared" si="9"/>
        <v>5120</v>
      </c>
      <c r="K27" s="252">
        <f t="shared" si="9"/>
        <v>5120</v>
      </c>
      <c r="L27" s="252">
        <f t="shared" si="9"/>
        <v>5120</v>
      </c>
      <c r="M27" s="252">
        <f t="shared" si="9"/>
        <v>5120</v>
      </c>
      <c r="N27" s="252">
        <f t="shared" si="9"/>
        <v>5120</v>
      </c>
      <c r="O27" s="252">
        <f t="shared" si="9"/>
        <v>5120</v>
      </c>
      <c r="P27" s="140"/>
      <c r="Q27" s="86"/>
      <c r="R27" s="86"/>
      <c r="S27" s="86"/>
      <c r="T27" s="86"/>
      <c r="U27" s="86"/>
      <c r="V27" s="86"/>
    </row>
    <row r="28" spans="1:22" ht="14">
      <c r="A28" s="4">
        <f t="shared" si="1"/>
        <v>28</v>
      </c>
      <c r="B28" s="176" t="s">
        <v>142</v>
      </c>
      <c r="C28" s="1275"/>
      <c r="D28" s="226"/>
      <c r="E28" s="227"/>
      <c r="F28" s="227"/>
      <c r="G28" s="227"/>
      <c r="H28" s="227"/>
      <c r="I28" s="227"/>
      <c r="J28" s="227"/>
      <c r="K28" s="227"/>
      <c r="L28" s="227"/>
      <c r="M28" s="227"/>
      <c r="N28" s="227"/>
      <c r="O28" s="227"/>
      <c r="P28" s="6" t="s">
        <v>266</v>
      </c>
      <c r="Q28" s="86"/>
      <c r="R28" s="86"/>
      <c r="S28" s="86"/>
      <c r="T28" s="86"/>
      <c r="U28" s="86"/>
      <c r="V28" s="86"/>
    </row>
    <row r="29" spans="1:22" ht="14">
      <c r="A29" s="4">
        <f t="shared" si="1"/>
        <v>29</v>
      </c>
      <c r="B29" s="177" t="s">
        <v>152</v>
      </c>
      <c r="C29" s="1275"/>
      <c r="D29" s="228"/>
      <c r="E29" s="229"/>
      <c r="F29" s="229"/>
      <c r="G29" s="229"/>
      <c r="H29" s="229"/>
      <c r="I29" s="229"/>
      <c r="J29" s="229"/>
      <c r="K29" s="229"/>
      <c r="L29" s="229"/>
      <c r="M29" s="229"/>
      <c r="N29" s="229"/>
      <c r="O29" s="229"/>
      <c r="P29" s="6" t="s">
        <v>266</v>
      </c>
      <c r="Q29" s="86"/>
      <c r="R29" s="86"/>
      <c r="S29" s="86"/>
      <c r="T29" s="86"/>
      <c r="U29" s="86"/>
      <c r="V29" s="86"/>
    </row>
    <row r="30" spans="1:22" ht="14">
      <c r="A30" s="4">
        <f t="shared" si="1"/>
        <v>30</v>
      </c>
      <c r="B30" s="177" t="s">
        <v>143</v>
      </c>
      <c r="C30" s="1275"/>
      <c r="D30" s="228"/>
      <c r="E30" s="229"/>
      <c r="F30" s="229"/>
      <c r="G30" s="229"/>
      <c r="H30" s="229"/>
      <c r="I30" s="229"/>
      <c r="J30" s="229"/>
      <c r="K30" s="229"/>
      <c r="L30" s="229"/>
      <c r="M30" s="229"/>
      <c r="N30" s="229"/>
      <c r="O30" s="229"/>
      <c r="P30" s="6" t="s">
        <v>266</v>
      </c>
      <c r="Q30" s="86"/>
      <c r="R30" s="86"/>
      <c r="S30" s="86"/>
      <c r="T30" s="86"/>
      <c r="U30" s="86"/>
      <c r="V30" s="86"/>
    </row>
    <row r="31" spans="1:22" ht="14">
      <c r="A31" s="4">
        <f t="shared" si="1"/>
        <v>31</v>
      </c>
      <c r="B31" s="177" t="s">
        <v>128</v>
      </c>
      <c r="C31" s="1275"/>
      <c r="D31" s="228"/>
      <c r="E31" s="229"/>
      <c r="F31" s="229"/>
      <c r="G31" s="229"/>
      <c r="H31" s="229"/>
      <c r="I31" s="229"/>
      <c r="J31" s="229"/>
      <c r="K31" s="229"/>
      <c r="L31" s="229"/>
      <c r="M31" s="229"/>
      <c r="N31" s="229"/>
      <c r="O31" s="229"/>
      <c r="P31" s="6" t="s">
        <v>266</v>
      </c>
      <c r="Q31" s="86"/>
      <c r="R31" s="86"/>
      <c r="S31" s="86"/>
      <c r="T31" s="86"/>
      <c r="U31" s="86"/>
      <c r="V31" s="86"/>
    </row>
    <row r="32" spans="1:22">
      <c r="A32" s="4">
        <f t="shared" si="1"/>
        <v>32</v>
      </c>
      <c r="B32" s="177" t="s">
        <v>201</v>
      </c>
      <c r="C32" s="1275"/>
      <c r="D32" s="228"/>
      <c r="E32" s="229"/>
      <c r="F32" s="229"/>
      <c r="G32" s="229"/>
      <c r="H32" s="229"/>
      <c r="I32" s="229"/>
      <c r="J32" s="229"/>
      <c r="K32" s="229"/>
      <c r="L32" s="229"/>
      <c r="M32" s="229"/>
      <c r="N32" s="229"/>
      <c r="O32" s="229"/>
      <c r="P32" s="3" t="s">
        <v>266</v>
      </c>
      <c r="Q32" s="86"/>
      <c r="R32" s="86"/>
      <c r="S32" s="86"/>
      <c r="T32" s="86"/>
      <c r="U32" s="86"/>
      <c r="V32" s="86"/>
    </row>
    <row r="33" spans="1:22" ht="14">
      <c r="A33" s="4">
        <f t="shared" si="1"/>
        <v>33</v>
      </c>
      <c r="B33" s="177" t="s">
        <v>144</v>
      </c>
      <c r="C33" s="1275"/>
      <c r="D33" s="228"/>
      <c r="E33" s="229"/>
      <c r="F33" s="229"/>
      <c r="G33" s="229"/>
      <c r="H33" s="229"/>
      <c r="I33" s="229"/>
      <c r="J33" s="229"/>
      <c r="K33" s="229"/>
      <c r="L33" s="229"/>
      <c r="M33" s="229"/>
      <c r="N33" s="229"/>
      <c r="O33" s="229"/>
      <c r="P33" s="6" t="s">
        <v>76</v>
      </c>
      <c r="Q33" s="86"/>
      <c r="R33" s="86"/>
      <c r="S33" s="86"/>
      <c r="T33" s="86"/>
      <c r="U33" s="86"/>
      <c r="V33" s="86"/>
    </row>
    <row r="34" spans="1:22" ht="14">
      <c r="A34" s="4">
        <f t="shared" si="1"/>
        <v>34</v>
      </c>
      <c r="B34" s="177" t="s">
        <v>146</v>
      </c>
      <c r="C34" s="1275"/>
      <c r="D34" s="228"/>
      <c r="E34" s="229"/>
      <c r="F34" s="229"/>
      <c r="G34" s="229"/>
      <c r="H34" s="229"/>
      <c r="I34" s="229"/>
      <c r="J34" s="229"/>
      <c r="K34" s="229"/>
      <c r="L34" s="229"/>
      <c r="M34" s="229"/>
      <c r="N34" s="229"/>
      <c r="O34" s="229"/>
      <c r="P34" s="6" t="s">
        <v>69</v>
      </c>
      <c r="Q34" s="86"/>
      <c r="R34" s="86"/>
      <c r="S34" s="86"/>
      <c r="T34" s="86"/>
      <c r="U34" s="86"/>
      <c r="V34" s="86"/>
    </row>
    <row r="35" spans="1:22" ht="14">
      <c r="A35" s="4">
        <f t="shared" si="1"/>
        <v>35</v>
      </c>
      <c r="B35" s="177" t="s">
        <v>145</v>
      </c>
      <c r="C35" s="1275"/>
      <c r="D35" s="228"/>
      <c r="E35" s="229"/>
      <c r="F35" s="229"/>
      <c r="G35" s="229"/>
      <c r="H35" s="229"/>
      <c r="I35" s="229"/>
      <c r="J35" s="229"/>
      <c r="K35" s="229"/>
      <c r="L35" s="229"/>
      <c r="M35" s="229"/>
      <c r="N35" s="229"/>
      <c r="O35" s="229"/>
      <c r="P35" s="6" t="s">
        <v>69</v>
      </c>
      <c r="Q35" s="86"/>
      <c r="R35" s="86"/>
      <c r="S35" s="86"/>
      <c r="T35" s="86"/>
      <c r="U35" s="86"/>
      <c r="V35" s="86"/>
    </row>
    <row r="36" spans="1:22" ht="14">
      <c r="A36" s="4">
        <f t="shared" si="1"/>
        <v>36</v>
      </c>
      <c r="B36" s="177" t="s">
        <v>147</v>
      </c>
      <c r="C36" s="1275"/>
      <c r="D36" s="228"/>
      <c r="E36" s="229"/>
      <c r="F36" s="229"/>
      <c r="G36" s="229"/>
      <c r="H36" s="229"/>
      <c r="I36" s="229"/>
      <c r="J36" s="229"/>
      <c r="K36" s="229"/>
      <c r="L36" s="229"/>
      <c r="M36" s="229"/>
      <c r="N36" s="229"/>
      <c r="O36" s="229"/>
      <c r="P36" s="6" t="s">
        <v>135</v>
      </c>
      <c r="Q36" s="86"/>
      <c r="R36" s="86"/>
      <c r="S36" s="86"/>
      <c r="T36" s="86"/>
      <c r="U36" s="86"/>
      <c r="V36" s="86"/>
    </row>
    <row r="37" spans="1:22" ht="14">
      <c r="A37" s="4">
        <f t="shared" si="1"/>
        <v>37</v>
      </c>
      <c r="B37" s="177" t="s">
        <v>206</v>
      </c>
      <c r="C37" s="1275"/>
      <c r="D37" s="230" t="s">
        <v>316</v>
      </c>
      <c r="E37" s="231"/>
      <c r="F37" s="231"/>
      <c r="G37" s="231"/>
      <c r="H37" s="231"/>
      <c r="I37" s="231"/>
      <c r="J37" s="231"/>
      <c r="K37" s="231"/>
      <c r="L37" s="231"/>
      <c r="M37" s="253">
        <f>IF(M21&gt;0,ROUND(1.5%*P88,2),0)</f>
        <v>3133.2</v>
      </c>
      <c r="N37" s="253">
        <f>IF(AND(N21&gt;0,M37=0),ROUND(1.5%*P88,2),0)</f>
        <v>0</v>
      </c>
      <c r="O37" s="253">
        <f>IF(AND(O21&gt;0,SUM(M37:N37)=0),ROUND(1.5%*P88,2),0)</f>
        <v>0</v>
      </c>
      <c r="P37" s="6" t="s">
        <v>246</v>
      </c>
      <c r="Q37" s="86"/>
      <c r="R37" s="86"/>
      <c r="S37" s="86"/>
      <c r="T37" s="86"/>
      <c r="U37" s="86"/>
      <c r="V37" s="86"/>
    </row>
    <row r="38" spans="1:22">
      <c r="A38" s="4">
        <f t="shared" si="1"/>
        <v>38</v>
      </c>
      <c r="B38" s="178" t="s">
        <v>133</v>
      </c>
      <c r="C38" s="1275"/>
      <c r="D38" s="228"/>
      <c r="E38" s="229"/>
      <c r="F38" s="229"/>
      <c r="G38" s="229"/>
      <c r="H38" s="229"/>
      <c r="I38" s="229"/>
      <c r="J38" s="229"/>
      <c r="K38" s="229"/>
      <c r="L38" s="229"/>
      <c r="M38" s="229"/>
      <c r="N38" s="229"/>
      <c r="O38" s="229"/>
      <c r="P38" s="85"/>
      <c r="Q38" s="86"/>
      <c r="R38" s="86"/>
      <c r="S38" s="86"/>
      <c r="T38" s="86"/>
      <c r="U38" s="86"/>
      <c r="V38" s="86"/>
    </row>
    <row r="39" spans="1:22">
      <c r="A39" s="4">
        <f t="shared" si="1"/>
        <v>39</v>
      </c>
      <c r="B39" s="178" t="s">
        <v>148</v>
      </c>
      <c r="C39" s="1275"/>
      <c r="D39" s="228"/>
      <c r="E39" s="229"/>
      <c r="F39" s="229"/>
      <c r="G39" s="229"/>
      <c r="H39" s="229"/>
      <c r="I39" s="229"/>
      <c r="J39" s="229"/>
      <c r="K39" s="229"/>
      <c r="L39" s="229"/>
      <c r="M39" s="229"/>
      <c r="N39" s="229"/>
      <c r="O39" s="229"/>
      <c r="P39" s="85"/>
      <c r="Q39" s="86"/>
      <c r="R39" s="86"/>
      <c r="S39" s="86"/>
      <c r="T39" s="86"/>
      <c r="U39" s="86"/>
      <c r="V39" s="86"/>
    </row>
    <row r="40" spans="1:22">
      <c r="A40" s="4">
        <f t="shared" si="1"/>
        <v>40</v>
      </c>
      <c r="B40" s="178" t="s">
        <v>131</v>
      </c>
      <c r="C40" s="1275"/>
      <c r="D40" s="228"/>
      <c r="E40" s="229"/>
      <c r="F40" s="229"/>
      <c r="G40" s="229"/>
      <c r="H40" s="229"/>
      <c r="I40" s="229"/>
      <c r="J40" s="229"/>
      <c r="K40" s="229"/>
      <c r="L40" s="229"/>
      <c r="M40" s="229"/>
      <c r="N40" s="229"/>
      <c r="O40" s="229"/>
      <c r="P40" s="85"/>
      <c r="Q40" s="86"/>
      <c r="R40" s="86"/>
      <c r="S40" s="86"/>
      <c r="T40" s="86"/>
      <c r="U40" s="86"/>
      <c r="V40" s="86"/>
    </row>
    <row r="41" spans="1:22">
      <c r="A41" s="4">
        <f t="shared" si="1"/>
        <v>41</v>
      </c>
      <c r="B41" s="178" t="s">
        <v>134</v>
      </c>
      <c r="C41" s="1275"/>
      <c r="D41" s="228"/>
      <c r="E41" s="229"/>
      <c r="F41" s="229"/>
      <c r="G41" s="229"/>
      <c r="H41" s="229"/>
      <c r="I41" s="229"/>
      <c r="J41" s="229"/>
      <c r="K41" s="229"/>
      <c r="L41" s="229"/>
      <c r="M41" s="229"/>
      <c r="N41" s="229"/>
      <c r="O41" s="229"/>
      <c r="P41" s="85"/>
      <c r="Q41" s="86"/>
      <c r="R41" s="86"/>
      <c r="S41" s="86"/>
      <c r="T41" s="86"/>
      <c r="U41" s="86"/>
      <c r="V41" s="86"/>
    </row>
    <row r="42" spans="1:22">
      <c r="A42" s="4">
        <f t="shared" si="1"/>
        <v>42</v>
      </c>
      <c r="B42" s="179" t="s">
        <v>129</v>
      </c>
      <c r="C42" s="1276"/>
      <c r="D42" s="232"/>
      <c r="E42" s="233"/>
      <c r="F42" s="233"/>
      <c r="G42" s="233"/>
      <c r="H42" s="233"/>
      <c r="I42" s="233"/>
      <c r="J42" s="233"/>
      <c r="K42" s="233"/>
      <c r="L42" s="233"/>
      <c r="M42" s="233"/>
      <c r="N42" s="233"/>
      <c r="O42" s="233"/>
      <c r="P42" s="141"/>
      <c r="Q42" s="86"/>
      <c r="R42" s="86"/>
      <c r="S42" s="86"/>
      <c r="T42" s="86"/>
      <c r="U42" s="86"/>
      <c r="V42" s="86"/>
    </row>
    <row r="43" spans="1:22" ht="32" customHeight="1">
      <c r="A43" s="22">
        <f t="shared" si="1"/>
        <v>43</v>
      </c>
      <c r="B43" s="180" t="s">
        <v>214</v>
      </c>
      <c r="C43" s="76" t="str">
        <f>C2</f>
        <v>jan-jul</v>
      </c>
      <c r="D43" s="206" t="str">
        <f>D2</f>
        <v>AUG 11</v>
      </c>
      <c r="E43" s="76" t="str">
        <f t="shared" ref="E43:O43" si="10">E2</f>
        <v>SEP11</v>
      </c>
      <c r="F43" s="76" t="str">
        <f t="shared" si="10"/>
        <v>OKT 11</v>
      </c>
      <c r="G43" s="76" t="str">
        <f t="shared" si="10"/>
        <v>NOV 11</v>
      </c>
      <c r="H43" s="76" t="str">
        <f t="shared" si="10"/>
        <v>DEC 11</v>
      </c>
      <c r="I43" s="76" t="str">
        <f t="shared" si="10"/>
        <v>JAN 12</v>
      </c>
      <c r="J43" s="76" t="str">
        <f t="shared" si="10"/>
        <v>FEB 12</v>
      </c>
      <c r="K43" s="76" t="str">
        <f t="shared" si="10"/>
        <v>MAR 12</v>
      </c>
      <c r="L43" s="76" t="str">
        <f t="shared" si="10"/>
        <v>APR 12</v>
      </c>
      <c r="M43" s="76" t="str">
        <f t="shared" si="10"/>
        <v>MAJ12</v>
      </c>
      <c r="N43" s="76" t="str">
        <f t="shared" si="10"/>
        <v>JUN 12</v>
      </c>
      <c r="O43" s="76" t="str">
        <f t="shared" si="10"/>
        <v>JUL 12</v>
      </c>
      <c r="P43" s="80" t="s">
        <v>111</v>
      </c>
      <c r="Q43" s="86"/>
      <c r="R43" s="86"/>
      <c r="S43" s="86"/>
      <c r="T43" s="86"/>
      <c r="U43" s="86"/>
      <c r="V43" s="86"/>
    </row>
    <row r="44" spans="1:22">
      <c r="A44" s="22">
        <f t="shared" si="1"/>
        <v>44</v>
      </c>
      <c r="B44" s="154" t="s">
        <v>85</v>
      </c>
      <c r="C44" s="220"/>
      <c r="D44" s="207">
        <f t="shared" ref="D44:K44" si="11">ROUND(IF(D9&gt;0,ROUND((ROUND(VLOOKUP(D4,basistabel,2,0)*D7,0))/12,2),0)*D9*D3,2)</f>
        <v>14693.44</v>
      </c>
      <c r="E44" s="103">
        <f t="shared" si="11"/>
        <v>14693.44</v>
      </c>
      <c r="F44" s="103">
        <f t="shared" si="11"/>
        <v>14693.44</v>
      </c>
      <c r="G44" s="103">
        <f t="shared" si="11"/>
        <v>14693.44</v>
      </c>
      <c r="H44" s="103">
        <f t="shared" si="11"/>
        <v>14693.44</v>
      </c>
      <c r="I44" s="103">
        <f t="shared" si="11"/>
        <v>14693.44</v>
      </c>
      <c r="J44" s="103">
        <f t="shared" si="11"/>
        <v>14693.44</v>
      </c>
      <c r="K44" s="103">
        <f t="shared" si="11"/>
        <v>14693.44</v>
      </c>
      <c r="L44" s="103">
        <f>ROUND(IF(L9&gt;0,ROUND((ROUND(VLOOKUP(L4,basistabel12,2,0)*L7,0))/12,2),0)*L9*L3,2)</f>
        <v>14885.03</v>
      </c>
      <c r="M44" s="103">
        <f>ROUND(IF(M9&gt;0,ROUND((ROUND(VLOOKUP(M4,basistabel12,2,0)*M7,0))/12,2),0)*M9*M3,2)</f>
        <v>14885.03</v>
      </c>
      <c r="N44" s="103">
        <f>ROUND(IF(N9&gt;0,ROUND((ROUND(VLOOKUP(N4,basistabel12,2,0)*N7,0))/12,2),0)*N9*N3,2)</f>
        <v>14885.03</v>
      </c>
      <c r="O44" s="103">
        <f>ROUND(IF(O9&gt;0,ROUND((ROUND(VLOOKUP(O4,basistabel12,2,0)*O7,0))/12,2),0)*O9*O3,2)</f>
        <v>14885.03</v>
      </c>
      <c r="P44" s="117">
        <f t="shared" ref="P44:P81" si="12">SUM(D44:O44)</f>
        <v>177087.64</v>
      </c>
      <c r="Q44" s="86"/>
      <c r="R44" s="86"/>
      <c r="S44" s="86"/>
      <c r="T44" s="86"/>
      <c r="U44" s="86"/>
      <c r="V44" s="86"/>
    </row>
    <row r="45" spans="1:22">
      <c r="A45" s="22">
        <f>A44+1</f>
        <v>45</v>
      </c>
      <c r="B45" s="155" t="s">
        <v>86</v>
      </c>
      <c r="C45" s="220"/>
      <c r="D45" s="208">
        <f t="shared" ref="D45:K45" si="13">ROUND(IF(D9&gt;0,ROUND((VLOOKUP(D4,omraadetabel,D8,0))/12,2),0)*D9*D3,2)</f>
        <v>248.03</v>
      </c>
      <c r="E45" s="105">
        <f t="shared" si="13"/>
        <v>248.03</v>
      </c>
      <c r="F45" s="105">
        <f t="shared" si="13"/>
        <v>248.03</v>
      </c>
      <c r="G45" s="105">
        <f t="shared" si="13"/>
        <v>248.03</v>
      </c>
      <c r="H45" s="105">
        <f t="shared" si="13"/>
        <v>248.03</v>
      </c>
      <c r="I45" s="105">
        <f t="shared" si="13"/>
        <v>248.03</v>
      </c>
      <c r="J45" s="105">
        <f t="shared" si="13"/>
        <v>248.03</v>
      </c>
      <c r="K45" s="105">
        <f t="shared" si="13"/>
        <v>248.03</v>
      </c>
      <c r="L45" s="105">
        <f>ROUND(IF(L9&gt;0,ROUND((VLOOKUP(L4,omraadetabel12,L8,0))/12,2),0)*L9*L3,2)</f>
        <v>248.03</v>
      </c>
      <c r="M45" s="105">
        <f>ROUND(IF(M9&gt;0,ROUND((VLOOKUP(M4,omraadetabel,M8,0))/12,2),0)*M9*M3,2)</f>
        <v>248.03</v>
      </c>
      <c r="N45" s="105">
        <f>ROUND(IF(N9&gt;0,ROUND((VLOOKUP(N4,omraadetabel,N8,0))/12,2),0)*N9*N3,2)</f>
        <v>248.03</v>
      </c>
      <c r="O45" s="105">
        <f>ROUND(IF(O9&gt;0,ROUND((VLOOKUP(O4,omraadetabel,O8,0))/12,2),0)*O9*O3,2)</f>
        <v>248.03</v>
      </c>
      <c r="P45" s="106">
        <f t="shared" si="12"/>
        <v>2976.3600000000006</v>
      </c>
      <c r="Q45" s="86"/>
      <c r="R45" s="86"/>
      <c r="S45" s="86"/>
      <c r="T45" s="86"/>
      <c r="U45" s="86"/>
      <c r="V45" s="86"/>
    </row>
    <row r="46" spans="1:22">
      <c r="A46" s="22">
        <f t="shared" ref="A46:A81" si="14">A45+1</f>
        <v>46</v>
      </c>
      <c r="B46" s="155" t="s">
        <v>170</v>
      </c>
      <c r="C46" s="220"/>
      <c r="D46" s="208">
        <f t="shared" ref="D46:O46" si="15">ROUND(SUM(D102:D105)*D3,2)</f>
        <v>1120.5</v>
      </c>
      <c r="E46" s="105">
        <f t="shared" si="15"/>
        <v>1120.5</v>
      </c>
      <c r="F46" s="105">
        <f t="shared" si="15"/>
        <v>1120.5</v>
      </c>
      <c r="G46" s="105">
        <f t="shared" si="15"/>
        <v>1120.5</v>
      </c>
      <c r="H46" s="105">
        <f t="shared" si="15"/>
        <v>1120.5</v>
      </c>
      <c r="I46" s="105">
        <f t="shared" si="15"/>
        <v>1120.5</v>
      </c>
      <c r="J46" s="105">
        <f t="shared" si="15"/>
        <v>1120.5</v>
      </c>
      <c r="K46" s="105">
        <f t="shared" si="15"/>
        <v>1120.5</v>
      </c>
      <c r="L46" s="105">
        <f t="shared" si="15"/>
        <v>1135</v>
      </c>
      <c r="M46" s="105">
        <f t="shared" si="15"/>
        <v>1135</v>
      </c>
      <c r="N46" s="105">
        <f t="shared" si="15"/>
        <v>1135</v>
      </c>
      <c r="O46" s="105">
        <f t="shared" si="15"/>
        <v>1135</v>
      </c>
      <c r="P46" s="106">
        <f t="shared" si="12"/>
        <v>13504</v>
      </c>
      <c r="Q46" s="86"/>
      <c r="R46" s="86"/>
      <c r="S46" s="86"/>
      <c r="T46" s="86"/>
      <c r="U46" s="86"/>
      <c r="V46" s="86"/>
    </row>
    <row r="47" spans="1:22">
      <c r="A47" s="22">
        <f t="shared" si="14"/>
        <v>47</v>
      </c>
      <c r="B47" s="155" t="s">
        <v>171</v>
      </c>
      <c r="C47" s="220"/>
      <c r="D47" s="208">
        <f t="shared" ref="D47:O47" si="16">ROUND(D11*D$7*D3/12,2)</f>
        <v>0</v>
      </c>
      <c r="E47" s="105">
        <f t="shared" si="16"/>
        <v>0</v>
      </c>
      <c r="F47" s="105">
        <f t="shared" si="16"/>
        <v>0</v>
      </c>
      <c r="G47" s="105">
        <f t="shared" si="16"/>
        <v>0</v>
      </c>
      <c r="H47" s="105">
        <f t="shared" si="16"/>
        <v>0</v>
      </c>
      <c r="I47" s="105">
        <f t="shared" si="16"/>
        <v>0</v>
      </c>
      <c r="J47" s="105">
        <f t="shared" si="16"/>
        <v>0</v>
      </c>
      <c r="K47" s="105">
        <f t="shared" si="16"/>
        <v>0</v>
      </c>
      <c r="L47" s="105">
        <f t="shared" si="16"/>
        <v>0</v>
      </c>
      <c r="M47" s="105">
        <f t="shared" si="16"/>
        <v>0</v>
      </c>
      <c r="N47" s="105">
        <f t="shared" si="16"/>
        <v>0</v>
      </c>
      <c r="O47" s="105">
        <f t="shared" si="16"/>
        <v>0</v>
      </c>
      <c r="P47" s="106">
        <f t="shared" si="12"/>
        <v>0</v>
      </c>
      <c r="Q47" s="86"/>
      <c r="R47" s="86"/>
      <c r="S47" s="86"/>
      <c r="T47" s="86"/>
      <c r="U47" s="86"/>
      <c r="V47" s="86"/>
    </row>
    <row r="48" spans="1:22">
      <c r="A48" s="22">
        <f t="shared" si="14"/>
        <v>48</v>
      </c>
      <c r="B48" s="155" t="s">
        <v>172</v>
      </c>
      <c r="C48" s="220"/>
      <c r="D48" s="208">
        <f t="shared" ref="D48:O48" si="17">ROUND(D12*D$7*D3/12,2)</f>
        <v>0</v>
      </c>
      <c r="E48" s="105">
        <f t="shared" si="17"/>
        <v>0</v>
      </c>
      <c r="F48" s="105">
        <f t="shared" si="17"/>
        <v>0</v>
      </c>
      <c r="G48" s="105">
        <f t="shared" si="17"/>
        <v>0</v>
      </c>
      <c r="H48" s="105">
        <f t="shared" si="17"/>
        <v>0</v>
      </c>
      <c r="I48" s="105">
        <f t="shared" si="17"/>
        <v>0</v>
      </c>
      <c r="J48" s="105">
        <f t="shared" si="17"/>
        <v>0</v>
      </c>
      <c r="K48" s="105">
        <f t="shared" si="17"/>
        <v>0</v>
      </c>
      <c r="L48" s="105">
        <f t="shared" si="17"/>
        <v>0</v>
      </c>
      <c r="M48" s="105">
        <f t="shared" si="17"/>
        <v>0</v>
      </c>
      <c r="N48" s="105">
        <f t="shared" si="17"/>
        <v>0</v>
      </c>
      <c r="O48" s="105">
        <f t="shared" si="17"/>
        <v>0</v>
      </c>
      <c r="P48" s="106">
        <f t="shared" si="12"/>
        <v>0</v>
      </c>
      <c r="Q48" s="86"/>
      <c r="R48" s="86"/>
      <c r="S48" s="86"/>
      <c r="T48" s="86"/>
      <c r="U48" s="86"/>
      <c r="V48" s="86"/>
    </row>
    <row r="49" spans="1:22">
      <c r="A49" s="22">
        <f t="shared" si="14"/>
        <v>49</v>
      </c>
      <c r="B49" s="155" t="s">
        <v>173</v>
      </c>
      <c r="C49" s="220"/>
      <c r="D49" s="208">
        <f t="shared" ref="D49:O49" si="18">ROUND(D13*D$7/12*D3,2)</f>
        <v>0</v>
      </c>
      <c r="E49" s="105">
        <f t="shared" si="18"/>
        <v>0</v>
      </c>
      <c r="F49" s="105">
        <f t="shared" si="18"/>
        <v>0</v>
      </c>
      <c r="G49" s="105">
        <f t="shared" si="18"/>
        <v>0</v>
      </c>
      <c r="H49" s="105">
        <f t="shared" si="18"/>
        <v>0</v>
      </c>
      <c r="I49" s="105">
        <f t="shared" si="18"/>
        <v>0</v>
      </c>
      <c r="J49" s="105">
        <f t="shared" si="18"/>
        <v>0</v>
      </c>
      <c r="K49" s="105">
        <f t="shared" si="18"/>
        <v>0</v>
      </c>
      <c r="L49" s="105">
        <f t="shared" si="18"/>
        <v>0</v>
      </c>
      <c r="M49" s="105">
        <f t="shared" si="18"/>
        <v>0</v>
      </c>
      <c r="N49" s="105">
        <f t="shared" si="18"/>
        <v>0</v>
      </c>
      <c r="O49" s="105">
        <f t="shared" si="18"/>
        <v>0</v>
      </c>
      <c r="P49" s="106">
        <f t="shared" si="12"/>
        <v>0</v>
      </c>
      <c r="Q49" s="86"/>
      <c r="R49" s="86"/>
      <c r="S49" s="86"/>
      <c r="T49" s="86"/>
      <c r="U49" s="86"/>
      <c r="V49" s="86"/>
    </row>
    <row r="50" spans="1:22">
      <c r="A50" s="22">
        <f t="shared" si="14"/>
        <v>50</v>
      </c>
      <c r="B50" s="155" t="s">
        <v>174</v>
      </c>
      <c r="C50" s="220"/>
      <c r="D50" s="208">
        <f t="shared" ref="D50:O50" si="19">ROUND(D14*D$7/12*D3,2)</f>
        <v>0</v>
      </c>
      <c r="E50" s="105">
        <f t="shared" si="19"/>
        <v>0</v>
      </c>
      <c r="F50" s="105">
        <f t="shared" si="19"/>
        <v>0</v>
      </c>
      <c r="G50" s="105">
        <f t="shared" si="19"/>
        <v>0</v>
      </c>
      <c r="H50" s="105">
        <f t="shared" si="19"/>
        <v>0</v>
      </c>
      <c r="I50" s="105">
        <f t="shared" si="19"/>
        <v>0</v>
      </c>
      <c r="J50" s="105">
        <f t="shared" si="19"/>
        <v>0</v>
      </c>
      <c r="K50" s="105">
        <f t="shared" si="19"/>
        <v>0</v>
      </c>
      <c r="L50" s="105">
        <f t="shared" si="19"/>
        <v>0</v>
      </c>
      <c r="M50" s="105">
        <f t="shared" si="19"/>
        <v>0</v>
      </c>
      <c r="N50" s="105">
        <f t="shared" si="19"/>
        <v>0</v>
      </c>
      <c r="O50" s="105">
        <f t="shared" si="19"/>
        <v>0</v>
      </c>
      <c r="P50" s="106">
        <f t="shared" si="12"/>
        <v>0</v>
      </c>
      <c r="Q50" s="86"/>
      <c r="R50" s="86"/>
      <c r="S50" s="86"/>
      <c r="T50" s="86"/>
      <c r="U50" s="86"/>
      <c r="V50" s="86"/>
    </row>
    <row r="51" spans="1:22">
      <c r="A51" s="22">
        <f t="shared" si="14"/>
        <v>51</v>
      </c>
      <c r="B51" s="155" t="s">
        <v>175</v>
      </c>
      <c r="C51" s="220"/>
      <c r="D51" s="208">
        <f t="shared" ref="D51:O51" si="20">ROUND(D15*D$7/12*D3,2)</f>
        <v>0</v>
      </c>
      <c r="E51" s="105">
        <f t="shared" si="20"/>
        <v>0</v>
      </c>
      <c r="F51" s="105">
        <f t="shared" si="20"/>
        <v>0</v>
      </c>
      <c r="G51" s="105">
        <f t="shared" si="20"/>
        <v>0</v>
      </c>
      <c r="H51" s="105">
        <f t="shared" si="20"/>
        <v>0</v>
      </c>
      <c r="I51" s="105">
        <f t="shared" si="20"/>
        <v>0</v>
      </c>
      <c r="J51" s="105">
        <f t="shared" si="20"/>
        <v>0</v>
      </c>
      <c r="K51" s="105">
        <f t="shared" si="20"/>
        <v>0</v>
      </c>
      <c r="L51" s="105">
        <f t="shared" si="20"/>
        <v>0</v>
      </c>
      <c r="M51" s="105">
        <f t="shared" si="20"/>
        <v>0</v>
      </c>
      <c r="N51" s="105">
        <f t="shared" si="20"/>
        <v>0</v>
      </c>
      <c r="O51" s="105">
        <f t="shared" si="20"/>
        <v>0</v>
      </c>
      <c r="P51" s="106">
        <f t="shared" si="12"/>
        <v>0</v>
      </c>
      <c r="Q51" s="86"/>
      <c r="R51" s="86"/>
      <c r="S51" s="86"/>
      <c r="T51" s="86"/>
      <c r="U51" s="86"/>
      <c r="V51" s="86"/>
    </row>
    <row r="52" spans="1:22">
      <c r="A52" s="22">
        <f t="shared" si="14"/>
        <v>52</v>
      </c>
      <c r="B52" s="155" t="s">
        <v>176</v>
      </c>
      <c r="C52" s="220"/>
      <c r="D52" s="208">
        <f t="shared" ref="D52:O52" si="21">ROUND(D16*D$7*D$9/12*D3,2)</f>
        <v>866.87</v>
      </c>
      <c r="E52" s="105">
        <f t="shared" si="21"/>
        <v>866.87</v>
      </c>
      <c r="F52" s="105">
        <f t="shared" si="21"/>
        <v>866.87</v>
      </c>
      <c r="G52" s="105">
        <f t="shared" si="21"/>
        <v>866.87</v>
      </c>
      <c r="H52" s="105">
        <f t="shared" si="21"/>
        <v>866.87</v>
      </c>
      <c r="I52" s="105">
        <f t="shared" si="21"/>
        <v>866.87</v>
      </c>
      <c r="J52" s="105">
        <f t="shared" si="21"/>
        <v>866.87</v>
      </c>
      <c r="K52" s="105">
        <f t="shared" si="21"/>
        <v>866.87</v>
      </c>
      <c r="L52" s="105">
        <f t="shared" si="21"/>
        <v>876.62</v>
      </c>
      <c r="M52" s="105">
        <f t="shared" si="21"/>
        <v>876.62</v>
      </c>
      <c r="N52" s="105">
        <f t="shared" si="21"/>
        <v>876.62</v>
      </c>
      <c r="O52" s="105">
        <f t="shared" si="21"/>
        <v>876.62</v>
      </c>
      <c r="P52" s="106">
        <f t="shared" si="12"/>
        <v>10441.440000000002</v>
      </c>
      <c r="Q52" s="86"/>
      <c r="R52" s="86"/>
      <c r="S52" s="86"/>
      <c r="T52" s="86"/>
      <c r="U52" s="86"/>
      <c r="V52" s="86"/>
    </row>
    <row r="53" spans="1:22">
      <c r="A53" s="22">
        <f t="shared" si="14"/>
        <v>53</v>
      </c>
      <c r="B53" s="155" t="s">
        <v>177</v>
      </c>
      <c r="C53" s="220"/>
      <c r="D53" s="208">
        <f t="shared" ref="D53:O53" si="22">ROUND(D17*D$7*D$9/12*D3,2)</f>
        <v>0</v>
      </c>
      <c r="E53" s="105">
        <f t="shared" si="22"/>
        <v>0</v>
      </c>
      <c r="F53" s="105">
        <f t="shared" si="22"/>
        <v>0</v>
      </c>
      <c r="G53" s="105">
        <f t="shared" si="22"/>
        <v>0</v>
      </c>
      <c r="H53" s="105">
        <f t="shared" si="22"/>
        <v>0</v>
      </c>
      <c r="I53" s="105">
        <f t="shared" si="22"/>
        <v>0</v>
      </c>
      <c r="J53" s="105">
        <f t="shared" si="22"/>
        <v>0</v>
      </c>
      <c r="K53" s="105">
        <f t="shared" si="22"/>
        <v>0</v>
      </c>
      <c r="L53" s="105">
        <f t="shared" si="22"/>
        <v>0</v>
      </c>
      <c r="M53" s="105">
        <f t="shared" si="22"/>
        <v>0</v>
      </c>
      <c r="N53" s="105">
        <f t="shared" si="22"/>
        <v>0</v>
      </c>
      <c r="O53" s="105">
        <f t="shared" si="22"/>
        <v>0</v>
      </c>
      <c r="P53" s="106">
        <f t="shared" si="12"/>
        <v>0</v>
      </c>
      <c r="Q53" s="86"/>
      <c r="R53" s="86"/>
      <c r="S53" s="86"/>
      <c r="T53" s="86"/>
      <c r="U53" s="86"/>
      <c r="V53" s="86"/>
    </row>
    <row r="54" spans="1:22">
      <c r="A54" s="22">
        <f t="shared" si="14"/>
        <v>54</v>
      </c>
      <c r="B54" s="155" t="s">
        <v>114</v>
      </c>
      <c r="C54" s="220"/>
      <c r="D54" s="208">
        <f t="shared" ref="D54:O54" si="23">ROUND(D18*D$7*D$9/12*D3,2)</f>
        <v>0</v>
      </c>
      <c r="E54" s="105">
        <f t="shared" si="23"/>
        <v>0</v>
      </c>
      <c r="F54" s="105">
        <f t="shared" si="23"/>
        <v>0</v>
      </c>
      <c r="G54" s="105">
        <f t="shared" si="23"/>
        <v>0</v>
      </c>
      <c r="H54" s="105">
        <f t="shared" si="23"/>
        <v>0</v>
      </c>
      <c r="I54" s="105">
        <f t="shared" si="23"/>
        <v>0</v>
      </c>
      <c r="J54" s="105">
        <f t="shared" si="23"/>
        <v>0</v>
      </c>
      <c r="K54" s="105">
        <f t="shared" si="23"/>
        <v>0</v>
      </c>
      <c r="L54" s="105">
        <f t="shared" si="23"/>
        <v>0</v>
      </c>
      <c r="M54" s="105">
        <f t="shared" si="23"/>
        <v>0</v>
      </c>
      <c r="N54" s="105">
        <f t="shared" si="23"/>
        <v>0</v>
      </c>
      <c r="O54" s="105">
        <f t="shared" si="23"/>
        <v>0</v>
      </c>
      <c r="P54" s="106">
        <f t="shared" si="12"/>
        <v>0</v>
      </c>
      <c r="Q54" s="86"/>
      <c r="R54" s="86"/>
      <c r="S54" s="86"/>
      <c r="T54" s="86"/>
      <c r="U54" s="86"/>
      <c r="V54" s="86"/>
    </row>
    <row r="55" spans="1:22">
      <c r="A55" s="22">
        <f t="shared" si="14"/>
        <v>55</v>
      </c>
      <c r="B55" s="155" t="s">
        <v>106</v>
      </c>
      <c r="C55" s="220"/>
      <c r="D55" s="208">
        <f t="shared" ref="D55:K55" si="24">ROUND(IF(OR(D$5="A",D$5="B"),MAX(235800+32300*(LEFT(D$4)="L")-VLOOKUP(D4,basistabel,2,0)-SUM(D$15:D$18),0),0)/12*D$7*D$9*D3,2)</f>
        <v>0</v>
      </c>
      <c r="E55" s="105">
        <f t="shared" si="24"/>
        <v>0</v>
      </c>
      <c r="F55" s="105">
        <f t="shared" si="24"/>
        <v>0</v>
      </c>
      <c r="G55" s="105">
        <f t="shared" si="24"/>
        <v>0</v>
      </c>
      <c r="H55" s="105">
        <f t="shared" si="24"/>
        <v>0</v>
      </c>
      <c r="I55" s="105">
        <f t="shared" si="24"/>
        <v>0</v>
      </c>
      <c r="J55" s="105">
        <f t="shared" si="24"/>
        <v>0</v>
      </c>
      <c r="K55" s="105">
        <f t="shared" si="24"/>
        <v>0</v>
      </c>
      <c r="L55" s="105">
        <f>ROUND(IF(OR(L$5="A",L$5="B"),MAX(309053.63+42334.32*(LEFT(L$4)="L")-VLOOKUP(L4,basistabel12,2,0)-SUM(L$15:L$18),0),0)/12*L$7*L$9*L3,2)</f>
        <v>0</v>
      </c>
      <c r="M55" s="105">
        <f>ROUND(IF(OR(M$5="A",M$5="B"),MAX(309053.63+42334.32*(LEFT(M$4)="L")-VLOOKUP(M4,basistabel12,2,0)-SUM(M$15:M$18),0),0)/12*M$7*M$9*M3,2)</f>
        <v>0</v>
      </c>
      <c r="N55" s="105">
        <f>ROUND(IF(OR(N$5="A",N$5="B"),MAX(309053.63+42334.32*(LEFT(N$4)="L")-VLOOKUP(N4,basistabel12,2,0)-SUM(N$15:N$18),0),0)/12*N$7*N$9*N3,2)</f>
        <v>0</v>
      </c>
      <c r="O55" s="105">
        <f>ROUND(IF(OR(O$5="A",O$5="B"),MAX(309053.63+42334.32*(LEFT(O$4)="L")-VLOOKUP(O4,basistabel12,2,0)-SUM(O$15:O$18),0),0)/12*O$7*O$9*O3,2)</f>
        <v>0</v>
      </c>
      <c r="P55" s="105" t="e">
        <f>ROUND(IF(OR(P$5="A",P$5="B"),MAX(309053.63+42334.32*(LEFT(P$4)="L")-VLOOKUP(P4,basistabel12,2,0)-SUM(P$15:P$18),0),0)/12*P$7*P$9*P3,2)</f>
        <v>#VALUE!</v>
      </c>
      <c r="Q55" s="86"/>
      <c r="R55" s="86"/>
      <c r="S55" s="86"/>
      <c r="T55" s="86"/>
      <c r="U55" s="86"/>
      <c r="V55" s="86"/>
    </row>
    <row r="56" spans="1:22">
      <c r="A56" s="22">
        <f t="shared" si="14"/>
        <v>56</v>
      </c>
      <c r="B56" s="155" t="s">
        <v>100</v>
      </c>
      <c r="C56" s="220"/>
      <c r="D56" s="208">
        <f t="shared" ref="D56:K56" si="25">MAX(ROUND((IF(RIGHT(D4)="1",4000)+IF(OR(RIGHT(D4)="2",RIGHT(D4)="3"),6000))*D7/12*D9*D3,2)-D55,0)*(D5&lt;&gt;"B")</f>
        <v>288.95999999999998</v>
      </c>
      <c r="E56" s="105">
        <f t="shared" si="25"/>
        <v>288.95999999999998</v>
      </c>
      <c r="F56" s="105">
        <f t="shared" si="25"/>
        <v>288.95999999999998</v>
      </c>
      <c r="G56" s="105">
        <f t="shared" si="25"/>
        <v>288.95999999999998</v>
      </c>
      <c r="H56" s="105">
        <f t="shared" si="25"/>
        <v>288.95999999999998</v>
      </c>
      <c r="I56" s="105">
        <f t="shared" si="25"/>
        <v>288.95999999999998</v>
      </c>
      <c r="J56" s="105">
        <f t="shared" si="25"/>
        <v>288.95999999999998</v>
      </c>
      <c r="K56" s="105">
        <f t="shared" si="25"/>
        <v>288.95999999999998</v>
      </c>
      <c r="L56" s="105">
        <f>MAX(ROUND((IF(RIGHT(L4)="1",5200)+IF(OR(RIGHT(L4)="2",RIGHT(L4)="3"),7900))*L7/12*L9*L3,2)-L55,0)*(L5&lt;&gt;"B")</f>
        <v>290.33999999999997</v>
      </c>
      <c r="M56" s="105">
        <f>MAX(ROUND((IF(RIGHT(M4)="1",5200)+IF(OR(RIGHT(M4)="2",RIGHT(M4)="3"),7900))*M7/12*M9*M3,2)-M55,0)*(M5&lt;&gt;"B")</f>
        <v>290.33999999999997</v>
      </c>
      <c r="N56" s="105">
        <f>MAX(ROUND((IF(RIGHT(N4)="1",5200)+IF(OR(RIGHT(N4)="2",RIGHT(N4)="3"),7900))*N7/12*N9*N3,2)-N55,0)*(N5&lt;&gt;"B")</f>
        <v>290.33999999999997</v>
      </c>
      <c r="O56" s="105">
        <f>MAX(ROUND((IF(RIGHT(O4)="1",5200)+IF(OR(RIGHT(O4)="2",RIGHT(O4)="3"),7900))*O7/12*O9*O3,2)-O55,0)*(O5&lt;&gt;"B")</f>
        <v>290.33999999999997</v>
      </c>
      <c r="P56" s="106">
        <f t="shared" si="12"/>
        <v>3473.0400000000004</v>
      </c>
      <c r="Q56" s="86"/>
      <c r="R56" s="86"/>
      <c r="S56" s="86"/>
      <c r="T56" s="86"/>
      <c r="U56" s="86"/>
      <c r="V56" s="86"/>
    </row>
    <row r="57" spans="1:22">
      <c r="A57" s="22">
        <f t="shared" si="14"/>
        <v>57</v>
      </c>
      <c r="B57" s="155" t="s">
        <v>101</v>
      </c>
      <c r="C57" s="220"/>
      <c r="D57" s="208">
        <f>MAX(ROUND((IF(RIGHT(D4)="1",4000)+IF(OR(RIGHT(D4)="2",RIGHT(D4)="3"),6000))*D7/12*D9*D3,2)-D55,0)*(D5="B")</f>
        <v>0</v>
      </c>
      <c r="E57" s="208">
        <f t="shared" ref="E57:K57" si="26">MAX(ROUND((IF(RIGHT(E4)="1",4000)+IF(OR(RIGHT(E4)="2",RIGHT(E4)="3"),6000))*E7/12*E9*E3,2)-E55,0)*(E5="B")</f>
        <v>0</v>
      </c>
      <c r="F57" s="208">
        <f t="shared" si="26"/>
        <v>0</v>
      </c>
      <c r="G57" s="208">
        <f t="shared" si="26"/>
        <v>0</v>
      </c>
      <c r="H57" s="208">
        <f t="shared" si="26"/>
        <v>0</v>
      </c>
      <c r="I57" s="208">
        <f t="shared" si="26"/>
        <v>0</v>
      </c>
      <c r="J57" s="208">
        <f t="shared" si="26"/>
        <v>0</v>
      </c>
      <c r="K57" s="208">
        <f t="shared" si="26"/>
        <v>0</v>
      </c>
      <c r="L57" s="208">
        <f>MAX(ROUND((IF(RIGHT(L4)="1",5200)+IF(OR(RIGHT(L4)="2",RIGHT(L4)="3"),7900))*L7/12*L9*L3,2)-L55,0)*(L5="B")</f>
        <v>0</v>
      </c>
      <c r="M57" s="208">
        <f>MAX(ROUND((IF(RIGHT(M4)="1",5200)+IF(OR(RIGHT(M4)="2",RIGHT(M4)="3"),7900))*M7/12*M9*M3,2)-M55,0)*(M5="B")</f>
        <v>0</v>
      </c>
      <c r="N57" s="208">
        <f>MAX(ROUND((IF(RIGHT(N4)="1",5200)+IF(OR(RIGHT(N4)="2",RIGHT(N4)="3"),7900))*N7/12*N9*N3,2)-N55,0)*(N5="B")</f>
        <v>0</v>
      </c>
      <c r="O57" s="208">
        <f>MAX(ROUND((IF(RIGHT(O4)="1",5200)+IF(OR(RIGHT(O4)="2",RIGHT(O4)="3"),7900))*O7/12*O9*O3,2)-O55,0)*(O5="B")</f>
        <v>0</v>
      </c>
      <c r="P57" s="106">
        <f t="shared" si="12"/>
        <v>0</v>
      </c>
      <c r="Q57" s="86"/>
      <c r="R57" s="86"/>
      <c r="S57" s="86"/>
      <c r="T57" s="86"/>
      <c r="U57" s="86"/>
      <c r="V57" s="86"/>
    </row>
    <row r="58" spans="1:22">
      <c r="A58" s="22">
        <f t="shared" si="14"/>
        <v>58</v>
      </c>
      <c r="B58" s="155" t="s">
        <v>178</v>
      </c>
      <c r="C58" s="220"/>
      <c r="D58" s="208">
        <f t="shared" ref="D58:K58" si="27">IF(D44&gt;0,ROUND(IF(D$9&gt;=0.5,540*D$7,270*D$7)/12*D3,2),0)</f>
        <v>58.98</v>
      </c>
      <c r="E58" s="105">
        <f t="shared" si="27"/>
        <v>58.98</v>
      </c>
      <c r="F58" s="105">
        <f t="shared" si="27"/>
        <v>58.98</v>
      </c>
      <c r="G58" s="105">
        <f t="shared" si="27"/>
        <v>58.98</v>
      </c>
      <c r="H58" s="105">
        <f t="shared" si="27"/>
        <v>58.98</v>
      </c>
      <c r="I58" s="105">
        <f t="shared" si="27"/>
        <v>58.98</v>
      </c>
      <c r="J58" s="105">
        <f t="shared" si="27"/>
        <v>58.98</v>
      </c>
      <c r="K58" s="105">
        <f t="shared" si="27"/>
        <v>58.98</v>
      </c>
      <c r="L58" s="105">
        <f>IF(L44&gt;0,ROUND(IF(L$9&gt;=0.5,708*L$7,354*L$7)/12*L3,2),0)</f>
        <v>59.77</v>
      </c>
      <c r="M58" s="105">
        <f>IF(M44&gt;0,ROUND(IF(M$9&gt;=0.5,708*M$7,354*M$7)/12*M3,2),0)</f>
        <v>59.77</v>
      </c>
      <c r="N58" s="105">
        <f>IF(N44&gt;0,ROUND(IF(N$9&gt;=0.5,708*N$7,354*N$7)/12*N3,2),0)</f>
        <v>59.77</v>
      </c>
      <c r="O58" s="105">
        <f>IF(O44&gt;0,ROUND(IF(O$9&gt;=0.5,708*O$7,354*O$7)/12*O3,2),0)</f>
        <v>59.77</v>
      </c>
      <c r="P58" s="106">
        <f t="shared" si="12"/>
        <v>710.92</v>
      </c>
      <c r="Q58" s="86"/>
      <c r="R58" s="86"/>
      <c r="S58" s="86"/>
      <c r="T58" s="86"/>
      <c r="U58" s="86"/>
      <c r="V58" s="86"/>
    </row>
    <row r="59" spans="1:22">
      <c r="A59" s="22">
        <f t="shared" si="14"/>
        <v>59</v>
      </c>
      <c r="B59" s="155" t="s">
        <v>159</v>
      </c>
      <c r="C59" s="220"/>
      <c r="D59" s="208">
        <f t="shared" ref="D59:O59" si="28">D20*D3</f>
        <v>0</v>
      </c>
      <c r="E59" s="105">
        <f t="shared" si="28"/>
        <v>0</v>
      </c>
      <c r="F59" s="105">
        <f t="shared" si="28"/>
        <v>0</v>
      </c>
      <c r="G59" s="105">
        <f t="shared" si="28"/>
        <v>0</v>
      </c>
      <c r="H59" s="105">
        <f t="shared" si="28"/>
        <v>0</v>
      </c>
      <c r="I59" s="105">
        <f t="shared" si="28"/>
        <v>0</v>
      </c>
      <c r="J59" s="105">
        <f t="shared" si="28"/>
        <v>0</v>
      </c>
      <c r="K59" s="105">
        <f t="shared" si="28"/>
        <v>0</v>
      </c>
      <c r="L59" s="105">
        <f t="shared" si="28"/>
        <v>0</v>
      </c>
      <c r="M59" s="105">
        <f t="shared" si="28"/>
        <v>0</v>
      </c>
      <c r="N59" s="105">
        <f t="shared" si="28"/>
        <v>0</v>
      </c>
      <c r="O59" s="105">
        <f t="shared" si="28"/>
        <v>0</v>
      </c>
      <c r="P59" s="106">
        <f t="shared" si="12"/>
        <v>0</v>
      </c>
      <c r="Q59" s="86"/>
      <c r="R59" s="86"/>
      <c r="S59" s="86"/>
      <c r="T59" s="86"/>
      <c r="U59" s="86"/>
      <c r="V59" s="86"/>
    </row>
    <row r="60" spans="1:22">
      <c r="A60" s="22">
        <f t="shared" si="14"/>
        <v>60</v>
      </c>
      <c r="B60" s="155" t="s">
        <v>160</v>
      </c>
      <c r="C60" s="220"/>
      <c r="D60" s="208">
        <f>IF(D9&gt;0,108.35*D3,0)</f>
        <v>108.35</v>
      </c>
      <c r="E60" s="208">
        <f t="shared" ref="E60:O60" si="29">IF(E9&gt;0,108.35*E3,0)</f>
        <v>108.35</v>
      </c>
      <c r="F60" s="208">
        <f t="shared" si="29"/>
        <v>108.35</v>
      </c>
      <c r="G60" s="208">
        <f t="shared" si="29"/>
        <v>108.35</v>
      </c>
      <c r="H60" s="208">
        <f t="shared" si="29"/>
        <v>108.35</v>
      </c>
      <c r="I60" s="208">
        <f t="shared" si="29"/>
        <v>108.35</v>
      </c>
      <c r="J60" s="208">
        <f t="shared" si="29"/>
        <v>108.35</v>
      </c>
      <c r="K60" s="208">
        <f t="shared" si="29"/>
        <v>108.35</v>
      </c>
      <c r="L60" s="208">
        <f t="shared" si="29"/>
        <v>108.35</v>
      </c>
      <c r="M60" s="208">
        <f t="shared" si="29"/>
        <v>108.35</v>
      </c>
      <c r="N60" s="208">
        <f t="shared" si="29"/>
        <v>108.35</v>
      </c>
      <c r="O60" s="208">
        <f t="shared" si="29"/>
        <v>108.35</v>
      </c>
      <c r="P60" s="106">
        <f t="shared" si="12"/>
        <v>1300.1999999999998</v>
      </c>
      <c r="Q60" s="86"/>
      <c r="R60" s="86"/>
      <c r="S60" s="86"/>
      <c r="T60" s="86"/>
      <c r="U60" s="86"/>
      <c r="V60" s="86"/>
    </row>
    <row r="61" spans="1:22">
      <c r="A61" s="22">
        <f t="shared" si="14"/>
        <v>61</v>
      </c>
      <c r="B61" s="155" t="s">
        <v>250</v>
      </c>
      <c r="C61" s="220"/>
      <c r="D61" s="208">
        <f>-(MAX(0,MIN(D21,D22))+D25)*4.62%*SUM(D44:D60)</f>
        <v>0</v>
      </c>
      <c r="E61" s="208">
        <f t="shared" ref="E61:O61" si="30">-(MAX(0,MIN(E21,E22))+E25)*4.62%*SUM(E44:E60)</f>
        <v>0</v>
      </c>
      <c r="F61" s="208">
        <f t="shared" si="30"/>
        <v>0</v>
      </c>
      <c r="G61" s="208">
        <f t="shared" si="30"/>
        <v>0</v>
      </c>
      <c r="H61" s="208">
        <f t="shared" si="30"/>
        <v>0</v>
      </c>
      <c r="I61" s="208">
        <f t="shared" si="30"/>
        <v>0</v>
      </c>
      <c r="J61" s="208">
        <f t="shared" si="30"/>
        <v>0</v>
      </c>
      <c r="K61" s="208">
        <f t="shared" si="30"/>
        <v>0</v>
      </c>
      <c r="L61" s="208">
        <f t="shared" si="30"/>
        <v>0</v>
      </c>
      <c r="M61" s="208">
        <f t="shared" si="30"/>
        <v>-8.1326506799999989E-9</v>
      </c>
      <c r="N61" s="208">
        <f t="shared" si="30"/>
        <v>0</v>
      </c>
      <c r="O61" s="208">
        <f t="shared" si="30"/>
        <v>0</v>
      </c>
      <c r="P61" s="106">
        <f t="shared" si="12"/>
        <v>-8.1326506799999989E-9</v>
      </c>
      <c r="Q61" s="86"/>
      <c r="R61" s="86"/>
      <c r="S61" s="86"/>
      <c r="T61" s="86"/>
      <c r="U61" s="86"/>
      <c r="V61" s="86"/>
    </row>
    <row r="62" spans="1:22">
      <c r="A62" s="22">
        <f t="shared" si="14"/>
        <v>62</v>
      </c>
      <c r="B62" s="155" t="s">
        <v>192</v>
      </c>
      <c r="C62" s="220"/>
      <c r="D62" s="208">
        <f>(D21-D22)*4.62%*(D23-D9)*(D3=1)*IF(D9&gt;0,(D44+D45+D52+D53+D54+D55+D56+D57)/D9,0)*(D23&gt;0)</f>
        <v>51.723589295433854</v>
      </c>
      <c r="E62" s="105">
        <f>(E21-E22)*4.62%*(E23-E9)*(E3=1)*IF(E9&gt;0,(E44+E45+E52+E53+E54+E55+E56+E57)/E9,0)*(E23&gt;0)</f>
        <v>0</v>
      </c>
      <c r="F62" s="105">
        <f>(F21-F22)*4.62%*(F23-F9)*(F3=1)*IF(F9&gt;0,(F44+F45+F52+F53+F54+F55+F56+F57)/F9,0)*(F23&gt;0)</f>
        <v>0</v>
      </c>
      <c r="G62" s="105">
        <f>(G21-G22)*4.62%*(G23-G9)*(G3=1)*IF(G9&gt;0,(G44+G45+G52+G53+G54+G55+G56+G57)/G9,0)*(G23&gt;0)</f>
        <v>0</v>
      </c>
      <c r="H62" s="105">
        <f>(H21-H22)*4.62%*(H23-H9)*(H3=1)*IF(H9&gt;0,(H44+H45+H52+H53+H54+H55+H56+H57)/H9,0)*(H23&gt;0)</f>
        <v>0</v>
      </c>
      <c r="I62" s="105">
        <f t="shared" ref="I62:O62" si="31">(I21-I22)*4.62%*(I24-I9)*(I3=1)*IF(I9&gt;0,(I44+I45+I52+I53+I54+I55+I56+I57)/I9,0)*(I24&gt;0)</f>
        <v>0</v>
      </c>
      <c r="J62" s="105">
        <f t="shared" si="31"/>
        <v>0</v>
      </c>
      <c r="K62" s="105">
        <f t="shared" si="31"/>
        <v>0</v>
      </c>
      <c r="L62" s="105">
        <f t="shared" si="31"/>
        <v>0</v>
      </c>
      <c r="M62" s="105">
        <f t="shared" si="31"/>
        <v>0</v>
      </c>
      <c r="N62" s="105">
        <f t="shared" si="31"/>
        <v>0</v>
      </c>
      <c r="O62" s="105">
        <f t="shared" si="31"/>
        <v>0</v>
      </c>
      <c r="P62" s="106">
        <f t="shared" si="12"/>
        <v>51.723589295433854</v>
      </c>
      <c r="Q62" s="86"/>
      <c r="R62" s="86"/>
      <c r="S62" s="86"/>
      <c r="T62" s="86"/>
      <c r="U62" s="86"/>
      <c r="V62" s="86"/>
    </row>
    <row r="63" spans="1:22">
      <c r="A63" s="22">
        <f t="shared" si="14"/>
        <v>63</v>
      </c>
      <c r="B63" s="155" t="s">
        <v>179</v>
      </c>
      <c r="C63" s="220"/>
      <c r="D63" s="208">
        <f t="shared" ref="D63:O63" si="32">SUM(D32:D42)+MAX(D31-8000,0)</f>
        <v>0</v>
      </c>
      <c r="E63" s="105">
        <f t="shared" si="32"/>
        <v>0</v>
      </c>
      <c r="F63" s="105">
        <f t="shared" si="32"/>
        <v>0</v>
      </c>
      <c r="G63" s="105">
        <f t="shared" si="32"/>
        <v>0</v>
      </c>
      <c r="H63" s="105">
        <f t="shared" si="32"/>
        <v>0</v>
      </c>
      <c r="I63" s="105">
        <f t="shared" si="32"/>
        <v>0</v>
      </c>
      <c r="J63" s="105">
        <f t="shared" si="32"/>
        <v>0</v>
      </c>
      <c r="K63" s="105">
        <f t="shared" si="32"/>
        <v>0</v>
      </c>
      <c r="L63" s="105">
        <f t="shared" si="32"/>
        <v>0</v>
      </c>
      <c r="M63" s="105">
        <f t="shared" si="32"/>
        <v>3133.2</v>
      </c>
      <c r="N63" s="105">
        <f t="shared" si="32"/>
        <v>0</v>
      </c>
      <c r="O63" s="105">
        <f t="shared" si="32"/>
        <v>0</v>
      </c>
      <c r="P63" s="106">
        <f t="shared" si="12"/>
        <v>3133.2</v>
      </c>
      <c r="Q63" s="86"/>
      <c r="R63" s="86"/>
      <c r="S63" s="86"/>
      <c r="T63" s="86"/>
      <c r="U63" s="86"/>
      <c r="V63" s="86"/>
    </row>
    <row r="64" spans="1:22">
      <c r="A64" s="22">
        <f t="shared" si="14"/>
        <v>64</v>
      </c>
      <c r="B64" s="181" t="s">
        <v>16</v>
      </c>
      <c r="C64" s="220"/>
      <c r="D64" s="209">
        <f>SUM(D28:D30)+IF(D31&gt;0,MIN(D31,8000),0)</f>
        <v>0</v>
      </c>
      <c r="E64" s="209">
        <f t="shared" ref="E64:O64" si="33">SUM(E28:E30)+IF(E31&gt;0,MIN(E31,8000),0)</f>
        <v>0</v>
      </c>
      <c r="F64" s="209">
        <f t="shared" si="33"/>
        <v>0</v>
      </c>
      <c r="G64" s="209">
        <f t="shared" si="33"/>
        <v>0</v>
      </c>
      <c r="H64" s="209">
        <f t="shared" si="33"/>
        <v>0</v>
      </c>
      <c r="I64" s="209">
        <f t="shared" si="33"/>
        <v>0</v>
      </c>
      <c r="J64" s="209">
        <f t="shared" si="33"/>
        <v>0</v>
      </c>
      <c r="K64" s="209">
        <f t="shared" si="33"/>
        <v>0</v>
      </c>
      <c r="L64" s="209">
        <f t="shared" si="33"/>
        <v>0</v>
      </c>
      <c r="M64" s="209">
        <f t="shared" si="33"/>
        <v>0</v>
      </c>
      <c r="N64" s="209">
        <f t="shared" si="33"/>
        <v>0</v>
      </c>
      <c r="O64" s="209">
        <f t="shared" si="33"/>
        <v>0</v>
      </c>
      <c r="P64" s="107">
        <f t="shared" si="12"/>
        <v>0</v>
      </c>
      <c r="Q64" s="86"/>
      <c r="R64" s="86"/>
      <c r="S64" s="86"/>
      <c r="T64" s="86"/>
      <c r="U64" s="86"/>
      <c r="V64" s="86"/>
    </row>
    <row r="65" spans="1:22">
      <c r="A65" s="22">
        <f t="shared" si="14"/>
        <v>65</v>
      </c>
      <c r="B65" s="75" t="s">
        <v>104</v>
      </c>
      <c r="C65" s="221"/>
      <c r="D65" s="210">
        <f>SUM(D44:D64)</f>
        <v>17436.853589295431</v>
      </c>
      <c r="E65" s="210">
        <f t="shared" ref="E65:O65" si="34">SUM(E44:E64)</f>
        <v>17385.129999999997</v>
      </c>
      <c r="F65" s="210">
        <f t="shared" si="34"/>
        <v>17385.129999999997</v>
      </c>
      <c r="G65" s="210">
        <f t="shared" si="34"/>
        <v>17385.129999999997</v>
      </c>
      <c r="H65" s="210">
        <f t="shared" si="34"/>
        <v>17385.129999999997</v>
      </c>
      <c r="I65" s="210">
        <f t="shared" si="34"/>
        <v>17385.129999999997</v>
      </c>
      <c r="J65" s="210">
        <f t="shared" si="34"/>
        <v>17385.129999999997</v>
      </c>
      <c r="K65" s="210">
        <f t="shared" si="34"/>
        <v>17385.129999999997</v>
      </c>
      <c r="L65" s="210">
        <f t="shared" si="34"/>
        <v>17603.14</v>
      </c>
      <c r="M65" s="210">
        <f t="shared" si="34"/>
        <v>20736.339999991869</v>
      </c>
      <c r="N65" s="210">
        <f t="shared" si="34"/>
        <v>17603.14</v>
      </c>
      <c r="O65" s="210">
        <f t="shared" si="34"/>
        <v>17603.14</v>
      </c>
      <c r="P65" s="81">
        <f t="shared" si="12"/>
        <v>212678.52358928736</v>
      </c>
      <c r="Q65" s="86"/>
      <c r="R65" s="86"/>
      <c r="S65" s="86"/>
      <c r="T65" s="86"/>
      <c r="U65" s="86"/>
      <c r="V65" s="86"/>
    </row>
    <row r="66" spans="1:22">
      <c r="A66" s="22">
        <f t="shared" si="14"/>
        <v>66</v>
      </c>
      <c r="B66" s="154" t="s">
        <v>102</v>
      </c>
      <c r="C66" s="220"/>
      <c r="D66" s="207">
        <f>ROUND(D44*17.3%/3,2)*(D6="L")</f>
        <v>847.32</v>
      </c>
      <c r="E66" s="103">
        <f t="shared" ref="E66:O66" si="35">ROUND(E44*17.3%/3,2)*(E6="L")</f>
        <v>847.32</v>
      </c>
      <c r="F66" s="103">
        <f t="shared" si="35"/>
        <v>847.32</v>
      </c>
      <c r="G66" s="103">
        <f t="shared" si="35"/>
        <v>847.32</v>
      </c>
      <c r="H66" s="103">
        <f t="shared" si="35"/>
        <v>847.32</v>
      </c>
      <c r="I66" s="103">
        <f t="shared" si="35"/>
        <v>847.32</v>
      </c>
      <c r="J66" s="103">
        <f t="shared" si="35"/>
        <v>847.32</v>
      </c>
      <c r="K66" s="103">
        <f t="shared" si="35"/>
        <v>847.32</v>
      </c>
      <c r="L66" s="103">
        <f t="shared" si="35"/>
        <v>858.37</v>
      </c>
      <c r="M66" s="103">
        <f t="shared" si="35"/>
        <v>858.37</v>
      </c>
      <c r="N66" s="103">
        <f t="shared" si="35"/>
        <v>858.37</v>
      </c>
      <c r="O66" s="103">
        <f t="shared" si="35"/>
        <v>858.37</v>
      </c>
      <c r="P66" s="104">
        <f t="shared" si="12"/>
        <v>10212.040000000001</v>
      </c>
      <c r="Q66" s="86"/>
      <c r="R66" s="86"/>
      <c r="S66" s="86"/>
      <c r="T66" s="86"/>
      <c r="U66" s="86"/>
      <c r="V66" s="86"/>
    </row>
    <row r="67" spans="1:22">
      <c r="A67" s="22">
        <f t="shared" si="14"/>
        <v>67</v>
      </c>
      <c r="B67" s="155" t="s">
        <v>183</v>
      </c>
      <c r="C67" s="220"/>
      <c r="D67" s="208">
        <f>ROUND(D46*17.3%/3,2)*(D6="L")</f>
        <v>64.62</v>
      </c>
      <c r="E67" s="105">
        <f t="shared" ref="E67:O67" si="36">ROUND(E46*17.3%/3,2)*(E6="L")</f>
        <v>64.62</v>
      </c>
      <c r="F67" s="105">
        <f t="shared" si="36"/>
        <v>64.62</v>
      </c>
      <c r="G67" s="105">
        <f t="shared" si="36"/>
        <v>64.62</v>
      </c>
      <c r="H67" s="105">
        <f t="shared" si="36"/>
        <v>64.62</v>
      </c>
      <c r="I67" s="105">
        <f t="shared" si="36"/>
        <v>64.62</v>
      </c>
      <c r="J67" s="105">
        <f t="shared" si="36"/>
        <v>64.62</v>
      </c>
      <c r="K67" s="105">
        <f t="shared" si="36"/>
        <v>64.62</v>
      </c>
      <c r="L67" s="105">
        <f t="shared" si="36"/>
        <v>65.45</v>
      </c>
      <c r="M67" s="105">
        <f t="shared" si="36"/>
        <v>65.45</v>
      </c>
      <c r="N67" s="105">
        <f t="shared" si="36"/>
        <v>65.45</v>
      </c>
      <c r="O67" s="105">
        <f t="shared" si="36"/>
        <v>65.45</v>
      </c>
      <c r="P67" s="106">
        <f t="shared" si="12"/>
        <v>778.76000000000022</v>
      </c>
      <c r="Q67" s="86"/>
      <c r="R67" s="86"/>
      <c r="S67" s="86"/>
      <c r="T67" s="86"/>
      <c r="U67" s="86"/>
      <c r="V67" s="86"/>
    </row>
    <row r="68" spans="1:22">
      <c r="A68" s="22">
        <f t="shared" si="14"/>
        <v>68</v>
      </c>
      <c r="B68" s="155" t="s">
        <v>103</v>
      </c>
      <c r="C68" s="220"/>
      <c r="D68" s="208">
        <f>ROUND(D47*17.3%/3,2)</f>
        <v>0</v>
      </c>
      <c r="E68" s="105">
        <f t="shared" ref="E68:O68" si="37">ROUND(E47*17.3%/3,2)</f>
        <v>0</v>
      </c>
      <c r="F68" s="105">
        <f t="shared" si="37"/>
        <v>0</v>
      </c>
      <c r="G68" s="105">
        <f t="shared" si="37"/>
        <v>0</v>
      </c>
      <c r="H68" s="105">
        <f t="shared" si="37"/>
        <v>0</v>
      </c>
      <c r="I68" s="105">
        <f t="shared" si="37"/>
        <v>0</v>
      </c>
      <c r="J68" s="105">
        <f t="shared" si="37"/>
        <v>0</v>
      </c>
      <c r="K68" s="105">
        <f t="shared" si="37"/>
        <v>0</v>
      </c>
      <c r="L68" s="105">
        <f t="shared" si="37"/>
        <v>0</v>
      </c>
      <c r="M68" s="105">
        <f t="shared" si="37"/>
        <v>0</v>
      </c>
      <c r="N68" s="105">
        <f t="shared" si="37"/>
        <v>0</v>
      </c>
      <c r="O68" s="105">
        <f t="shared" si="37"/>
        <v>0</v>
      </c>
      <c r="P68" s="106">
        <f t="shared" si="12"/>
        <v>0</v>
      </c>
      <c r="Q68" s="86"/>
      <c r="R68" s="86"/>
      <c r="S68" s="86"/>
      <c r="T68" s="86"/>
      <c r="U68" s="86"/>
      <c r="V68" s="86"/>
    </row>
    <row r="69" spans="1:22">
      <c r="A69" s="22">
        <f t="shared" si="14"/>
        <v>69</v>
      </c>
      <c r="B69" s="155" t="s">
        <v>190</v>
      </c>
      <c r="C69" s="220"/>
      <c r="D69" s="208">
        <f>ROUND(D48*17.3%/3,2)*OR((D6="L"),(LEFT(D19)="J"))</f>
        <v>0</v>
      </c>
      <c r="E69" s="105">
        <f t="shared" ref="E69:O69" si="38">ROUND(E48*17.3%/3,2)*OR((E6="L"),(LEFT(E19)="J"))</f>
        <v>0</v>
      </c>
      <c r="F69" s="105">
        <f t="shared" si="38"/>
        <v>0</v>
      </c>
      <c r="G69" s="105">
        <f t="shared" si="38"/>
        <v>0</v>
      </c>
      <c r="H69" s="105">
        <f t="shared" si="38"/>
        <v>0</v>
      </c>
      <c r="I69" s="105">
        <f t="shared" si="38"/>
        <v>0</v>
      </c>
      <c r="J69" s="105">
        <f t="shared" si="38"/>
        <v>0</v>
      </c>
      <c r="K69" s="105">
        <f t="shared" si="38"/>
        <v>0</v>
      </c>
      <c r="L69" s="105">
        <f t="shared" si="38"/>
        <v>0</v>
      </c>
      <c r="M69" s="105">
        <f t="shared" si="38"/>
        <v>0</v>
      </c>
      <c r="N69" s="105">
        <f t="shared" si="38"/>
        <v>0</v>
      </c>
      <c r="O69" s="105">
        <f t="shared" si="38"/>
        <v>0</v>
      </c>
      <c r="P69" s="106">
        <f t="shared" si="12"/>
        <v>0</v>
      </c>
      <c r="Q69" s="86"/>
      <c r="R69" s="86"/>
      <c r="S69" s="86"/>
      <c r="T69" s="86"/>
      <c r="U69" s="86"/>
      <c r="V69" s="86"/>
    </row>
    <row r="70" spans="1:22">
      <c r="A70" s="22">
        <f t="shared" si="14"/>
        <v>70</v>
      </c>
      <c r="B70" s="155" t="s">
        <v>191</v>
      </c>
      <c r="C70" s="220"/>
      <c r="D70" s="208">
        <f>ROUND(D49*17.3%/3,2)*OR((D6="L"),(LEFT(D19)="J"))</f>
        <v>0</v>
      </c>
      <c r="E70" s="105">
        <f t="shared" ref="E70:O70" si="39">ROUND(E49*17.3%/3,2)*OR((E6="L"),(LEFT(E19)="J"))</f>
        <v>0</v>
      </c>
      <c r="F70" s="105">
        <f t="shared" si="39"/>
        <v>0</v>
      </c>
      <c r="G70" s="105">
        <f t="shared" si="39"/>
        <v>0</v>
      </c>
      <c r="H70" s="105">
        <f t="shared" si="39"/>
        <v>0</v>
      </c>
      <c r="I70" s="105">
        <f t="shared" si="39"/>
        <v>0</v>
      </c>
      <c r="J70" s="105">
        <f t="shared" si="39"/>
        <v>0</v>
      </c>
      <c r="K70" s="105">
        <f t="shared" si="39"/>
        <v>0</v>
      </c>
      <c r="L70" s="105">
        <f t="shared" si="39"/>
        <v>0</v>
      </c>
      <c r="M70" s="105">
        <f t="shared" si="39"/>
        <v>0</v>
      </c>
      <c r="N70" s="105">
        <f t="shared" si="39"/>
        <v>0</v>
      </c>
      <c r="O70" s="105">
        <f t="shared" si="39"/>
        <v>0</v>
      </c>
      <c r="P70" s="106">
        <f t="shared" si="12"/>
        <v>0</v>
      </c>
      <c r="Q70" s="86"/>
      <c r="R70" s="86"/>
      <c r="S70" s="86"/>
      <c r="T70" s="86"/>
      <c r="U70" s="86"/>
      <c r="V70" s="86"/>
    </row>
    <row r="71" spans="1:22">
      <c r="A71" s="22">
        <f t="shared" si="14"/>
        <v>71</v>
      </c>
      <c r="B71" s="155" t="s">
        <v>56</v>
      </c>
      <c r="C71" s="220"/>
      <c r="D71" s="208">
        <f>ROUND(D50*17.3%/3,2)*OR((D6="L"),(LEFT(D19)="J"))</f>
        <v>0</v>
      </c>
      <c r="E71" s="105">
        <f t="shared" ref="E71:O71" si="40">ROUND(E50*17.3%/3,2)*OR((E6="L"),(LEFT(E19)="J"))</f>
        <v>0</v>
      </c>
      <c r="F71" s="105">
        <f t="shared" si="40"/>
        <v>0</v>
      </c>
      <c r="G71" s="105">
        <f t="shared" si="40"/>
        <v>0</v>
      </c>
      <c r="H71" s="105">
        <f t="shared" si="40"/>
        <v>0</v>
      </c>
      <c r="I71" s="105">
        <f t="shared" si="40"/>
        <v>0</v>
      </c>
      <c r="J71" s="105">
        <f t="shared" si="40"/>
        <v>0</v>
      </c>
      <c r="K71" s="105">
        <f t="shared" si="40"/>
        <v>0</v>
      </c>
      <c r="L71" s="105">
        <f t="shared" si="40"/>
        <v>0</v>
      </c>
      <c r="M71" s="105">
        <f t="shared" si="40"/>
        <v>0</v>
      </c>
      <c r="N71" s="105">
        <f t="shared" si="40"/>
        <v>0</v>
      </c>
      <c r="O71" s="105">
        <f t="shared" si="40"/>
        <v>0</v>
      </c>
      <c r="P71" s="106">
        <f t="shared" si="12"/>
        <v>0</v>
      </c>
      <c r="Q71" s="86"/>
      <c r="R71" s="86"/>
      <c r="S71" s="86"/>
      <c r="T71" s="86"/>
      <c r="U71" s="86"/>
      <c r="V71" s="86"/>
    </row>
    <row r="72" spans="1:22">
      <c r="A72" s="22">
        <f t="shared" si="14"/>
        <v>72</v>
      </c>
      <c r="B72" s="155" t="s">
        <v>57</v>
      </c>
      <c r="C72" s="220"/>
      <c r="D72" s="208">
        <f>ROUND(D51*17.3%/3,2)*OR((D6="L"),(LEFT(D19)="J"))</f>
        <v>0</v>
      </c>
      <c r="E72" s="105">
        <f t="shared" ref="E72:O72" si="41">ROUND(E51*17.3%/3,2)*OR((E6="L"),(LEFT(E19)="J"))</f>
        <v>0</v>
      </c>
      <c r="F72" s="105">
        <f t="shared" si="41"/>
        <v>0</v>
      </c>
      <c r="G72" s="105">
        <f t="shared" si="41"/>
        <v>0</v>
      </c>
      <c r="H72" s="105">
        <f t="shared" si="41"/>
        <v>0</v>
      </c>
      <c r="I72" s="105">
        <f t="shared" si="41"/>
        <v>0</v>
      </c>
      <c r="J72" s="105">
        <f t="shared" si="41"/>
        <v>0</v>
      </c>
      <c r="K72" s="105">
        <f t="shared" si="41"/>
        <v>0</v>
      </c>
      <c r="L72" s="105">
        <f t="shared" si="41"/>
        <v>0</v>
      </c>
      <c r="M72" s="105">
        <f t="shared" si="41"/>
        <v>0</v>
      </c>
      <c r="N72" s="105">
        <f t="shared" si="41"/>
        <v>0</v>
      </c>
      <c r="O72" s="105">
        <f t="shared" si="41"/>
        <v>0</v>
      </c>
      <c r="P72" s="106">
        <f t="shared" si="12"/>
        <v>0</v>
      </c>
      <c r="Q72" s="86"/>
      <c r="R72" s="86"/>
      <c r="S72" s="86"/>
      <c r="T72" s="86"/>
      <c r="U72" s="86"/>
      <c r="V72" s="86"/>
    </row>
    <row r="73" spans="1:22">
      <c r="A73" s="22">
        <f t="shared" si="14"/>
        <v>73</v>
      </c>
      <c r="B73" s="155" t="s">
        <v>58</v>
      </c>
      <c r="C73" s="220"/>
      <c r="D73" s="208">
        <f>ROUND(D52*17.3%/3,2)*OR((D6="L"),(LEFT(D19)="J"))</f>
        <v>49.99</v>
      </c>
      <c r="E73" s="105">
        <f t="shared" ref="E73:O73" si="42">ROUND(E52*17.3%/3,2)*OR((E6="L"),(LEFT(E19)="J"))</f>
        <v>49.99</v>
      </c>
      <c r="F73" s="105">
        <f t="shared" si="42"/>
        <v>49.99</v>
      </c>
      <c r="G73" s="105">
        <f t="shared" si="42"/>
        <v>49.99</v>
      </c>
      <c r="H73" s="105">
        <f t="shared" si="42"/>
        <v>49.99</v>
      </c>
      <c r="I73" s="105">
        <f t="shared" si="42"/>
        <v>49.99</v>
      </c>
      <c r="J73" s="105">
        <f t="shared" si="42"/>
        <v>49.99</v>
      </c>
      <c r="K73" s="105">
        <f t="shared" si="42"/>
        <v>49.99</v>
      </c>
      <c r="L73" s="105">
        <f t="shared" si="42"/>
        <v>50.55</v>
      </c>
      <c r="M73" s="105">
        <f t="shared" si="42"/>
        <v>50.55</v>
      </c>
      <c r="N73" s="105">
        <f t="shared" si="42"/>
        <v>50.55</v>
      </c>
      <c r="O73" s="105">
        <f t="shared" si="42"/>
        <v>50.55</v>
      </c>
      <c r="P73" s="106">
        <f t="shared" si="12"/>
        <v>602.12</v>
      </c>
      <c r="Q73" s="86"/>
      <c r="R73" s="86"/>
      <c r="S73" s="86"/>
      <c r="T73" s="86"/>
      <c r="U73" s="86"/>
      <c r="V73" s="86"/>
    </row>
    <row r="74" spans="1:22">
      <c r="A74" s="22">
        <f t="shared" si="14"/>
        <v>74</v>
      </c>
      <c r="B74" s="155" t="s">
        <v>59</v>
      </c>
      <c r="C74" s="220"/>
      <c r="D74" s="208">
        <f t="shared" ref="D74:O75" si="43">ROUND(D53*17.3%/3,2)*OR((D6="L"),(LEFT(D19)="J"))</f>
        <v>0</v>
      </c>
      <c r="E74" s="105">
        <f t="shared" si="43"/>
        <v>0</v>
      </c>
      <c r="F74" s="105">
        <f t="shared" si="43"/>
        <v>0</v>
      </c>
      <c r="G74" s="105">
        <f t="shared" si="43"/>
        <v>0</v>
      </c>
      <c r="H74" s="105">
        <f t="shared" si="43"/>
        <v>0</v>
      </c>
      <c r="I74" s="105">
        <f t="shared" si="43"/>
        <v>0</v>
      </c>
      <c r="J74" s="105">
        <f t="shared" si="43"/>
        <v>0</v>
      </c>
      <c r="K74" s="105">
        <f t="shared" si="43"/>
        <v>0</v>
      </c>
      <c r="L74" s="105">
        <f t="shared" si="43"/>
        <v>0</v>
      </c>
      <c r="M74" s="105">
        <f t="shared" si="43"/>
        <v>0</v>
      </c>
      <c r="N74" s="105">
        <f t="shared" si="43"/>
        <v>0</v>
      </c>
      <c r="O74" s="105">
        <f t="shared" si="43"/>
        <v>0</v>
      </c>
      <c r="P74" s="106">
        <f t="shared" si="12"/>
        <v>0</v>
      </c>
      <c r="Q74" s="86"/>
      <c r="R74" s="86"/>
      <c r="S74" s="86"/>
      <c r="T74" s="86"/>
      <c r="U74" s="86"/>
      <c r="V74" s="86"/>
    </row>
    <row r="75" spans="1:22">
      <c r="A75" s="22">
        <f t="shared" si="14"/>
        <v>75</v>
      </c>
      <c r="B75" s="155" t="s">
        <v>14</v>
      </c>
      <c r="C75" s="220"/>
      <c r="D75" s="208">
        <f t="shared" si="43"/>
        <v>0</v>
      </c>
      <c r="E75" s="105">
        <f t="shared" si="43"/>
        <v>0</v>
      </c>
      <c r="F75" s="105">
        <f t="shared" si="43"/>
        <v>0</v>
      </c>
      <c r="G75" s="105">
        <f t="shared" si="43"/>
        <v>0</v>
      </c>
      <c r="H75" s="105">
        <f t="shared" si="43"/>
        <v>0</v>
      </c>
      <c r="I75" s="105">
        <f t="shared" si="43"/>
        <v>0</v>
      </c>
      <c r="J75" s="105">
        <f t="shared" si="43"/>
        <v>0</v>
      </c>
      <c r="K75" s="105">
        <f t="shared" si="43"/>
        <v>0</v>
      </c>
      <c r="L75" s="105">
        <f t="shared" si="43"/>
        <v>0</v>
      </c>
      <c r="M75" s="105">
        <f t="shared" si="43"/>
        <v>0</v>
      </c>
      <c r="N75" s="105">
        <f t="shared" si="43"/>
        <v>0</v>
      </c>
      <c r="O75" s="105">
        <f t="shared" si="43"/>
        <v>0</v>
      </c>
      <c r="P75" s="106">
        <f>SUM(D75:O75)</f>
        <v>0</v>
      </c>
      <c r="Q75" s="86"/>
      <c r="R75" s="86"/>
      <c r="S75" s="86"/>
      <c r="T75" s="86"/>
      <c r="U75" s="86"/>
      <c r="V75" s="86"/>
    </row>
    <row r="76" spans="1:22">
      <c r="A76" s="22">
        <f t="shared" si="14"/>
        <v>76</v>
      </c>
      <c r="B76" s="155" t="s">
        <v>60</v>
      </c>
      <c r="C76" s="220"/>
      <c r="D76" s="208">
        <f>ROUND(D55*17.3%/3,2)*(D6="L")</f>
        <v>0</v>
      </c>
      <c r="E76" s="105">
        <f t="shared" ref="E76:O76" si="44">ROUND(E55*17.3%/3,2)*(E6="L")</f>
        <v>0</v>
      </c>
      <c r="F76" s="105">
        <f t="shared" si="44"/>
        <v>0</v>
      </c>
      <c r="G76" s="105">
        <f t="shared" si="44"/>
        <v>0</v>
      </c>
      <c r="H76" s="105">
        <f t="shared" si="44"/>
        <v>0</v>
      </c>
      <c r="I76" s="105">
        <f t="shared" si="44"/>
        <v>0</v>
      </c>
      <c r="J76" s="105">
        <f t="shared" si="44"/>
        <v>0</v>
      </c>
      <c r="K76" s="105">
        <f t="shared" si="44"/>
        <v>0</v>
      </c>
      <c r="L76" s="105">
        <f t="shared" si="44"/>
        <v>0</v>
      </c>
      <c r="M76" s="105">
        <f t="shared" si="44"/>
        <v>0</v>
      </c>
      <c r="N76" s="105">
        <f t="shared" si="44"/>
        <v>0</v>
      </c>
      <c r="O76" s="105">
        <f t="shared" si="44"/>
        <v>0</v>
      </c>
      <c r="P76" s="106">
        <f t="shared" si="12"/>
        <v>0</v>
      </c>
      <c r="Q76" s="86"/>
      <c r="R76" s="86"/>
      <c r="S76" s="86"/>
      <c r="T76" s="86"/>
      <c r="U76" s="86"/>
      <c r="V76" s="86"/>
    </row>
    <row r="77" spans="1:22">
      <c r="A77" s="22">
        <f t="shared" si="14"/>
        <v>77</v>
      </c>
      <c r="B77" s="155" t="s">
        <v>61</v>
      </c>
      <c r="C77" s="220"/>
      <c r="D77" s="208">
        <f>ROUND(D57*17.3%/3,2)*(D6="L")</f>
        <v>0</v>
      </c>
      <c r="E77" s="105">
        <f t="shared" ref="E77:O77" si="45">ROUND(E57*17.3%/3,2)*(E6="L")</f>
        <v>0</v>
      </c>
      <c r="F77" s="105">
        <f t="shared" si="45"/>
        <v>0</v>
      </c>
      <c r="G77" s="105">
        <f t="shared" si="45"/>
        <v>0</v>
      </c>
      <c r="H77" s="105">
        <f t="shared" si="45"/>
        <v>0</v>
      </c>
      <c r="I77" s="105">
        <f t="shared" si="45"/>
        <v>0</v>
      </c>
      <c r="J77" s="105">
        <f t="shared" si="45"/>
        <v>0</v>
      </c>
      <c r="K77" s="105">
        <f t="shared" si="45"/>
        <v>0</v>
      </c>
      <c r="L77" s="105">
        <f t="shared" si="45"/>
        <v>0</v>
      </c>
      <c r="M77" s="105">
        <f t="shared" si="45"/>
        <v>0</v>
      </c>
      <c r="N77" s="105">
        <f t="shared" si="45"/>
        <v>0</v>
      </c>
      <c r="O77" s="105">
        <f t="shared" si="45"/>
        <v>0</v>
      </c>
      <c r="P77" s="106">
        <f t="shared" si="12"/>
        <v>0</v>
      </c>
      <c r="Q77" s="86"/>
      <c r="R77" s="86"/>
      <c r="S77" s="86"/>
      <c r="T77" s="86"/>
      <c r="U77" s="86"/>
      <c r="V77" s="86"/>
    </row>
    <row r="78" spans="1:22">
      <c r="A78" s="22">
        <f t="shared" si="14"/>
        <v>78</v>
      </c>
      <c r="B78" s="155" t="s">
        <v>108</v>
      </c>
      <c r="C78" s="220"/>
      <c r="D78" s="208">
        <f>((SUM(D44:D60)-230328.08*D7*D9/12)*0.7%/3*((D65-D61)&gt;230328.08/12*D7*D9)*(LEFT(D4)="B")+(SUM(D44:D60)-275936.7*D7*D9/12)*0.7%/3*(SUM(D44:D60)&gt;275936.7/12*D7*D9)*(LEFT(D4)="L"))*(LEFT(D6)&lt;&gt;"L")*(LEFT(D19)="J")</f>
        <v>0</v>
      </c>
      <c r="E78" s="105">
        <f t="shared" ref="E78:K78" si="46">((SUM(E44:E60)-230328.08*E7*E9/12)*0.7%/3*((E65-E61)&gt;230328.08/12*E7*E9)*(LEFT(E4)="B")+(SUM(E44:E60)-275936.7*E7*E9/12)*0.7%/3*(SUM(E44:E60)&gt;275936.7/12*E7*E9)*(LEFT(E4)="L"))*(LEFT(E6)&lt;&gt;"L")*(LEFT(E19)="J")</f>
        <v>0</v>
      </c>
      <c r="F78" s="105">
        <f t="shared" si="46"/>
        <v>0</v>
      </c>
      <c r="G78" s="105">
        <f t="shared" si="46"/>
        <v>0</v>
      </c>
      <c r="H78" s="105">
        <f t="shared" si="46"/>
        <v>0</v>
      </c>
      <c r="I78" s="105">
        <f t="shared" si="46"/>
        <v>0</v>
      </c>
      <c r="J78" s="105">
        <f t="shared" si="46"/>
        <v>0</v>
      </c>
      <c r="K78" s="105">
        <f t="shared" si="46"/>
        <v>0</v>
      </c>
      <c r="L78" s="105">
        <f>((SUM(L44:L60)-301881.8*L7*L9/12)*0.7%/3*((L65-L61)&gt;301881.8/12*L7*L9)*(LEFT(L4)="B")+(SUM(L44:L60)-361659.2*L7*L9/12)*0.7%/3*(SUM(L44:L60)&gt;361659.2/12*L7*L9)*(LEFT(L4)="L"))*(LEFT(L6)&lt;&gt;"L")*(LEFT(L19)="J")</f>
        <v>0</v>
      </c>
      <c r="M78" s="105">
        <f>((SUM(M44:M60)-301881.8*M7*M9/12)*0.7%/3*((M65-M61)&gt;301881.8/12*M7*M9)*(LEFT(M4)="B")+(SUM(M44:M60)-361659.2*M7*M9/12)*0.7%/3*(SUM(M44:M60)&gt;361659.2/12*M7*M9)*(LEFT(M4)="L"))*(LEFT(M6)&lt;&gt;"L")*(LEFT(M19)="J")</f>
        <v>0</v>
      </c>
      <c r="N78" s="105">
        <f>((SUM(N44:N60)-301881.8*N7*N9/12)*0.7%/3*((N65-N61)&gt;301881.8/12*N7*N9)*(LEFT(N4)="B")+(SUM(N44:N60)-361659.2*N7*N9/12)*0.7%/3*(SUM(N44:N60)&gt;361659.2/12*N7*N9)*(LEFT(N4)="L"))*(LEFT(N6)&lt;&gt;"L")*(LEFT(N19)="J")</f>
        <v>0</v>
      </c>
      <c r="O78" s="105">
        <f>((SUM(O44:O60)-301881.8*O7*O9/12)*0.7%/3*((O65-O61)&gt;301881.8/12*O7*O9)*(LEFT(O4)="B")+(SUM(O44:O60)-361659.2*O7*O9/12)*0.7%/3*(SUM(O44:O60)&gt;361659.2/12*O7*O9)*(LEFT(O4)="L"))*(LEFT(O6)&lt;&gt;"L")*(LEFT(O19)="J")</f>
        <v>0</v>
      </c>
      <c r="P78" s="106">
        <f t="shared" si="12"/>
        <v>0</v>
      </c>
      <c r="Q78" s="86"/>
      <c r="R78" s="86"/>
      <c r="S78" s="86"/>
      <c r="T78" s="86"/>
      <c r="U78" s="86"/>
      <c r="V78" s="86"/>
    </row>
    <row r="79" spans="1:22">
      <c r="A79" s="22">
        <f t="shared" si="14"/>
        <v>79</v>
      </c>
      <c r="B79" s="155" t="s">
        <v>247</v>
      </c>
      <c r="C79" s="220"/>
      <c r="D79" s="208">
        <f t="shared" ref="D79:O79" si="47">ROUND(-(D22+D25)*4.62%*SUM(D66:D78),2)</f>
        <v>0</v>
      </c>
      <c r="E79" s="208">
        <f t="shared" si="47"/>
        <v>0</v>
      </c>
      <c r="F79" s="208">
        <f t="shared" si="47"/>
        <v>0</v>
      </c>
      <c r="G79" s="208">
        <f t="shared" si="47"/>
        <v>0</v>
      </c>
      <c r="H79" s="208">
        <f t="shared" si="47"/>
        <v>0</v>
      </c>
      <c r="I79" s="208">
        <f t="shared" si="47"/>
        <v>0</v>
      </c>
      <c r="J79" s="208">
        <f t="shared" si="47"/>
        <v>0</v>
      </c>
      <c r="K79" s="208">
        <f t="shared" si="47"/>
        <v>0</v>
      </c>
      <c r="L79" s="208">
        <f t="shared" si="47"/>
        <v>0</v>
      </c>
      <c r="M79" s="208">
        <f t="shared" si="47"/>
        <v>0</v>
      </c>
      <c r="N79" s="208">
        <f t="shared" si="47"/>
        <v>0</v>
      </c>
      <c r="O79" s="208">
        <f t="shared" si="47"/>
        <v>0</v>
      </c>
      <c r="P79" s="106">
        <f t="shared" si="12"/>
        <v>0</v>
      </c>
      <c r="Q79" s="86"/>
      <c r="R79" s="86"/>
      <c r="S79" s="86"/>
      <c r="T79" s="86"/>
      <c r="U79" s="86"/>
      <c r="V79" s="86"/>
    </row>
    <row r="80" spans="1:22">
      <c r="A80" s="22">
        <f t="shared" si="14"/>
        <v>80</v>
      </c>
      <c r="B80" s="156" t="s">
        <v>35</v>
      </c>
      <c r="C80" s="220"/>
      <c r="D80" s="211">
        <f>IF(OR(D62=0,D9=0),0,(D66+D73+D74+D76+D77)/D9*4.62%*(D23-D9)*(D21-D22))</f>
        <v>2.8832222739643139</v>
      </c>
      <c r="E80" s="211">
        <f t="shared" ref="E80:L80" si="48">IF(OR(E62=0,E9=0),0,(E66+E73+E74+E76+E77)/E9*4.62%*(E23-E9)*(E21-E22))</f>
        <v>0</v>
      </c>
      <c r="F80" s="211">
        <f t="shared" si="48"/>
        <v>0</v>
      </c>
      <c r="G80" s="211">
        <f t="shared" si="48"/>
        <v>0</v>
      </c>
      <c r="H80" s="211">
        <f t="shared" si="48"/>
        <v>0</v>
      </c>
      <c r="I80" s="211">
        <f t="shared" si="48"/>
        <v>0</v>
      </c>
      <c r="J80" s="211">
        <f t="shared" si="48"/>
        <v>0</v>
      </c>
      <c r="K80" s="211">
        <f t="shared" si="48"/>
        <v>0</v>
      </c>
      <c r="L80" s="211">
        <f t="shared" si="48"/>
        <v>0</v>
      </c>
      <c r="M80" s="211">
        <f>IF(OR(M62=0,M9=0),0,(M66+M73+M74+M76+M77)/M9*4.62%*(M24-M9)*(M21-M22))</f>
        <v>0</v>
      </c>
      <c r="N80" s="211">
        <f>IF(OR(N62=0,N9=0),0,(N66+N73+N74+N76+N77)/N9*4.62%*(N24-N9)*(N21-N22))</f>
        <v>0</v>
      </c>
      <c r="O80" s="211">
        <f>IF(OR(O62=0,O9=0),0,(O66+O73+O74+O76+O77)/O9*4.62%*(O24-O9)*(O21-O22))</f>
        <v>0</v>
      </c>
      <c r="P80" s="123">
        <f t="shared" si="12"/>
        <v>2.8832222739643139</v>
      </c>
      <c r="Q80" s="86"/>
      <c r="R80" s="86"/>
      <c r="S80" s="86"/>
      <c r="T80" s="86"/>
      <c r="U80" s="86"/>
      <c r="V80" s="86"/>
    </row>
    <row r="81" spans="1:22" ht="14" thickBot="1">
      <c r="A81" s="150">
        <f t="shared" si="14"/>
        <v>81</v>
      </c>
      <c r="B81" s="151" t="s">
        <v>181</v>
      </c>
      <c r="C81" s="221"/>
      <c r="D81" s="212">
        <f>SUM(D66:D80)</f>
        <v>964.81322227396436</v>
      </c>
      <c r="E81" s="152">
        <f t="shared" ref="E81:O81" si="49">SUM(E66:E80)</f>
        <v>961.93000000000006</v>
      </c>
      <c r="F81" s="152">
        <f t="shared" si="49"/>
        <v>961.93000000000006</v>
      </c>
      <c r="G81" s="152">
        <f t="shared" si="49"/>
        <v>961.93000000000006</v>
      </c>
      <c r="H81" s="152">
        <f t="shared" si="49"/>
        <v>961.93000000000006</v>
      </c>
      <c r="I81" s="152">
        <f t="shared" si="49"/>
        <v>961.93000000000006</v>
      </c>
      <c r="J81" s="152">
        <f t="shared" si="49"/>
        <v>961.93000000000006</v>
      </c>
      <c r="K81" s="152">
        <f t="shared" si="49"/>
        <v>961.93000000000006</v>
      </c>
      <c r="L81" s="152">
        <f t="shared" si="49"/>
        <v>974.37</v>
      </c>
      <c r="M81" s="152">
        <f t="shared" si="49"/>
        <v>974.37</v>
      </c>
      <c r="N81" s="152">
        <f t="shared" si="49"/>
        <v>974.37</v>
      </c>
      <c r="O81" s="152">
        <f t="shared" si="49"/>
        <v>974.37</v>
      </c>
      <c r="P81" s="153">
        <f t="shared" si="12"/>
        <v>11595.803222273969</v>
      </c>
      <c r="Q81" s="86"/>
      <c r="R81" s="86"/>
      <c r="S81" s="86"/>
      <c r="T81" s="86"/>
      <c r="U81" s="86"/>
      <c r="V81" s="86"/>
    </row>
    <row r="82" spans="1:22" ht="14" thickTop="1">
      <c r="A82" s="22">
        <f>A81+1</f>
        <v>82</v>
      </c>
      <c r="B82" s="182" t="s">
        <v>96</v>
      </c>
      <c r="C82" s="222"/>
      <c r="D82" s="213">
        <f>D94/3</f>
        <v>60</v>
      </c>
      <c r="E82" s="108">
        <f t="shared" ref="E82:O82" si="50">E94/3</f>
        <v>60</v>
      </c>
      <c r="F82" s="108">
        <f t="shared" si="50"/>
        <v>60</v>
      </c>
      <c r="G82" s="108">
        <f t="shared" si="50"/>
        <v>60</v>
      </c>
      <c r="H82" s="108">
        <f t="shared" si="50"/>
        <v>60</v>
      </c>
      <c r="I82" s="108">
        <f t="shared" si="50"/>
        <v>60</v>
      </c>
      <c r="J82" s="108">
        <f t="shared" si="50"/>
        <v>60</v>
      </c>
      <c r="K82" s="108">
        <f t="shared" si="50"/>
        <v>60</v>
      </c>
      <c r="L82" s="108">
        <f t="shared" si="50"/>
        <v>60</v>
      </c>
      <c r="M82" s="108">
        <f t="shared" si="50"/>
        <v>60</v>
      </c>
      <c r="N82" s="108">
        <f t="shared" si="50"/>
        <v>60</v>
      </c>
      <c r="O82" s="108">
        <f t="shared" si="50"/>
        <v>60</v>
      </c>
      <c r="P82" s="104">
        <f>SUM(D82:O82)</f>
        <v>720</v>
      </c>
      <c r="Q82" s="86"/>
      <c r="R82" s="86"/>
      <c r="S82" s="86"/>
      <c r="T82" s="86"/>
      <c r="U82" s="86"/>
      <c r="V82" s="86"/>
    </row>
    <row r="83" spans="1:22">
      <c r="A83" s="22">
        <f>A82+1</f>
        <v>83</v>
      </c>
      <c r="B83" s="182" t="s">
        <v>91</v>
      </c>
      <c r="C83" s="222"/>
      <c r="D83" s="213">
        <f t="shared" ref="D83:O83" si="51">SUM(D44:D63)-D82</f>
        <v>17376.853589295431</v>
      </c>
      <c r="E83" s="108">
        <f t="shared" si="51"/>
        <v>17325.129999999997</v>
      </c>
      <c r="F83" s="108">
        <f t="shared" si="51"/>
        <v>17325.129999999997</v>
      </c>
      <c r="G83" s="108">
        <f t="shared" si="51"/>
        <v>17325.129999999997</v>
      </c>
      <c r="H83" s="108">
        <f t="shared" si="51"/>
        <v>17325.129999999997</v>
      </c>
      <c r="I83" s="108">
        <f t="shared" si="51"/>
        <v>17325.129999999997</v>
      </c>
      <c r="J83" s="108">
        <f t="shared" si="51"/>
        <v>17325.129999999997</v>
      </c>
      <c r="K83" s="108">
        <f t="shared" si="51"/>
        <v>17325.129999999997</v>
      </c>
      <c r="L83" s="108">
        <f t="shared" si="51"/>
        <v>17543.14</v>
      </c>
      <c r="M83" s="108">
        <f t="shared" si="51"/>
        <v>20676.339999991869</v>
      </c>
      <c r="N83" s="108">
        <f t="shared" si="51"/>
        <v>17543.14</v>
      </c>
      <c r="O83" s="108">
        <f t="shared" si="51"/>
        <v>17543.14</v>
      </c>
      <c r="P83" s="104">
        <f t="shared" ref="P83:P99" si="52">SUM(D83:O83)</f>
        <v>211958.52358928736</v>
      </c>
      <c r="Q83" s="86"/>
      <c r="R83" s="86"/>
      <c r="S83" s="86"/>
      <c r="T83" s="86"/>
      <c r="U83" s="86"/>
      <c r="V83" s="86"/>
    </row>
    <row r="84" spans="1:22">
      <c r="A84" s="22">
        <f t="shared" ref="A84:A100" si="53">A83+1</f>
        <v>84</v>
      </c>
      <c r="B84" s="183" t="s">
        <v>92</v>
      </c>
      <c r="C84" s="222"/>
      <c r="D84" s="214">
        <f>ROUND(D83*8%,0)</f>
        <v>1390</v>
      </c>
      <c r="E84" s="109">
        <f t="shared" ref="E84:O84" si="54">ROUND(E83*8%,0)</f>
        <v>1386</v>
      </c>
      <c r="F84" s="109">
        <f t="shared" si="54"/>
        <v>1386</v>
      </c>
      <c r="G84" s="109">
        <f t="shared" si="54"/>
        <v>1386</v>
      </c>
      <c r="H84" s="109">
        <f t="shared" si="54"/>
        <v>1386</v>
      </c>
      <c r="I84" s="109">
        <f t="shared" si="54"/>
        <v>1386</v>
      </c>
      <c r="J84" s="109">
        <f t="shared" si="54"/>
        <v>1386</v>
      </c>
      <c r="K84" s="109">
        <f t="shared" si="54"/>
        <v>1386</v>
      </c>
      <c r="L84" s="109">
        <f t="shared" si="54"/>
        <v>1403</v>
      </c>
      <c r="M84" s="109">
        <f t="shared" si="54"/>
        <v>1654</v>
      </c>
      <c r="N84" s="109">
        <f t="shared" si="54"/>
        <v>1403</v>
      </c>
      <c r="O84" s="109">
        <f t="shared" si="54"/>
        <v>1403</v>
      </c>
      <c r="P84" s="106">
        <f t="shared" si="52"/>
        <v>16955</v>
      </c>
      <c r="Q84" s="86"/>
      <c r="R84" s="86"/>
      <c r="S84" s="86"/>
      <c r="T84" s="86"/>
      <c r="U84" s="86"/>
      <c r="V84" s="86"/>
    </row>
    <row r="85" spans="1:22">
      <c r="A85" s="22">
        <f t="shared" si="53"/>
        <v>85</v>
      </c>
      <c r="B85" s="183" t="s">
        <v>93</v>
      </c>
      <c r="C85" s="222"/>
      <c r="D85" s="214">
        <f>D83-D84</f>
        <v>15986.853589295431</v>
      </c>
      <c r="E85" s="109">
        <f t="shared" ref="E85:O85" si="55">E83-E84</f>
        <v>15939.129999999997</v>
      </c>
      <c r="F85" s="109">
        <f t="shared" si="55"/>
        <v>15939.129999999997</v>
      </c>
      <c r="G85" s="109">
        <f t="shared" si="55"/>
        <v>15939.129999999997</v>
      </c>
      <c r="H85" s="109">
        <f t="shared" si="55"/>
        <v>15939.129999999997</v>
      </c>
      <c r="I85" s="109">
        <f t="shared" si="55"/>
        <v>15939.129999999997</v>
      </c>
      <c r="J85" s="109">
        <f t="shared" si="55"/>
        <v>15939.129999999997</v>
      </c>
      <c r="K85" s="109">
        <f t="shared" si="55"/>
        <v>15939.129999999997</v>
      </c>
      <c r="L85" s="109">
        <f t="shared" si="55"/>
        <v>16140.14</v>
      </c>
      <c r="M85" s="109">
        <f t="shared" si="55"/>
        <v>19022.339999991869</v>
      </c>
      <c r="N85" s="109">
        <f t="shared" si="55"/>
        <v>16140.14</v>
      </c>
      <c r="O85" s="109">
        <f t="shared" si="55"/>
        <v>16140.14</v>
      </c>
      <c r="P85" s="106">
        <f t="shared" si="52"/>
        <v>195003.52358928736</v>
      </c>
      <c r="Q85" s="86"/>
      <c r="R85" s="86"/>
      <c r="S85" s="86"/>
      <c r="T85" s="86"/>
      <c r="U85" s="86"/>
      <c r="V85" s="86"/>
    </row>
    <row r="86" spans="1:22">
      <c r="A86" s="22">
        <f t="shared" si="53"/>
        <v>86</v>
      </c>
      <c r="B86" s="183" t="s">
        <v>105</v>
      </c>
      <c r="C86" s="222"/>
      <c r="D86" s="214">
        <f t="shared" ref="D86:O86" si="56">ROUND(D85-D27,-1)</f>
        <v>10870</v>
      </c>
      <c r="E86" s="109">
        <f t="shared" si="56"/>
        <v>10820</v>
      </c>
      <c r="F86" s="109">
        <f t="shared" si="56"/>
        <v>10820</v>
      </c>
      <c r="G86" s="109">
        <f t="shared" si="56"/>
        <v>10820</v>
      </c>
      <c r="H86" s="109">
        <f t="shared" si="56"/>
        <v>10820</v>
      </c>
      <c r="I86" s="109">
        <f t="shared" si="56"/>
        <v>10820</v>
      </c>
      <c r="J86" s="109">
        <f t="shared" si="56"/>
        <v>10820</v>
      </c>
      <c r="K86" s="109">
        <f t="shared" si="56"/>
        <v>10820</v>
      </c>
      <c r="L86" s="109">
        <f t="shared" si="56"/>
        <v>11020</v>
      </c>
      <c r="M86" s="109">
        <f t="shared" si="56"/>
        <v>13900</v>
      </c>
      <c r="N86" s="109">
        <f t="shared" si="56"/>
        <v>11020</v>
      </c>
      <c r="O86" s="109">
        <f t="shared" si="56"/>
        <v>11020</v>
      </c>
      <c r="P86" s="106"/>
      <c r="Q86" s="86"/>
      <c r="R86" s="86"/>
      <c r="S86" s="86"/>
      <c r="T86" s="86"/>
      <c r="U86" s="86"/>
      <c r="V86" s="86"/>
    </row>
    <row r="87" spans="1:22">
      <c r="A87" s="22">
        <f t="shared" si="53"/>
        <v>87</v>
      </c>
      <c r="B87" s="183" t="s">
        <v>94</v>
      </c>
      <c r="C87" s="222"/>
      <c r="D87" s="214">
        <f t="shared" ref="D87:O87" si="57">ROUND(D86*D26/100,0)</f>
        <v>4457</v>
      </c>
      <c r="E87" s="109">
        <f t="shared" si="57"/>
        <v>4436</v>
      </c>
      <c r="F87" s="109">
        <f t="shared" si="57"/>
        <v>4436</v>
      </c>
      <c r="G87" s="109">
        <f t="shared" si="57"/>
        <v>4436</v>
      </c>
      <c r="H87" s="109">
        <f t="shared" si="57"/>
        <v>4436</v>
      </c>
      <c r="I87" s="109">
        <f t="shared" si="57"/>
        <v>4436</v>
      </c>
      <c r="J87" s="109">
        <f t="shared" si="57"/>
        <v>4436</v>
      </c>
      <c r="K87" s="109">
        <f t="shared" si="57"/>
        <v>4436</v>
      </c>
      <c r="L87" s="109">
        <f t="shared" si="57"/>
        <v>4518</v>
      </c>
      <c r="M87" s="109">
        <f t="shared" si="57"/>
        <v>5699</v>
      </c>
      <c r="N87" s="109">
        <f t="shared" si="57"/>
        <v>4518</v>
      </c>
      <c r="O87" s="109">
        <f t="shared" si="57"/>
        <v>4518</v>
      </c>
      <c r="P87" s="106">
        <f t="shared" si="52"/>
        <v>54762</v>
      </c>
      <c r="Q87" s="86"/>
      <c r="R87" s="86"/>
      <c r="S87" s="86"/>
      <c r="T87" s="86"/>
      <c r="U87" s="86"/>
      <c r="V87" s="86"/>
    </row>
    <row r="88" spans="1:22">
      <c r="A88" s="22">
        <f t="shared" si="53"/>
        <v>88</v>
      </c>
      <c r="B88" s="183" t="s">
        <v>260</v>
      </c>
      <c r="C88" s="235">
        <f>Ex10_11!P89</f>
        <v>121902.80427789691</v>
      </c>
      <c r="D88" s="214">
        <f>SUM(D44:D63)</f>
        <v>17436.853589295431</v>
      </c>
      <c r="E88" s="109">
        <f>SUM(E44:E63)</f>
        <v>17385.129999999997</v>
      </c>
      <c r="F88" s="109">
        <f>SUM(F44:F63)</f>
        <v>17385.129999999997</v>
      </c>
      <c r="G88" s="109">
        <f>SUM(G44:G63)</f>
        <v>17385.129999999997</v>
      </c>
      <c r="H88" s="109">
        <f>SUM(H44:H63)</f>
        <v>17385.129999999997</v>
      </c>
      <c r="I88" s="135" t="s">
        <v>207</v>
      </c>
      <c r="J88" s="157"/>
      <c r="K88" s="157"/>
      <c r="L88" s="157"/>
      <c r="M88" s="157"/>
      <c r="N88" s="157"/>
      <c r="O88" s="157"/>
      <c r="P88" s="106">
        <f>SUM(C88:H88)</f>
        <v>208880.17786719237</v>
      </c>
      <c r="Q88" s="86"/>
      <c r="R88" s="86"/>
      <c r="S88" s="86"/>
      <c r="T88" s="86"/>
      <c r="U88" s="86"/>
      <c r="V88" s="86"/>
    </row>
    <row r="89" spans="1:22">
      <c r="A89" s="22">
        <f t="shared" si="53"/>
        <v>89</v>
      </c>
      <c r="B89" s="183" t="s">
        <v>261</v>
      </c>
      <c r="C89" s="225"/>
      <c r="D89" s="136" t="s">
        <v>207</v>
      </c>
      <c r="E89" s="157"/>
      <c r="F89" s="157"/>
      <c r="G89" s="157"/>
      <c r="H89" s="157"/>
      <c r="I89" s="109">
        <f>SUM(I44:I63)</f>
        <v>17385.129999999997</v>
      </c>
      <c r="J89" s="109">
        <f>SUM(J44:J63)</f>
        <v>17385.129999999997</v>
      </c>
      <c r="K89" s="109">
        <f>SUM(K44:K63)</f>
        <v>17385.129999999997</v>
      </c>
      <c r="L89" s="109">
        <f>SUM(L44:L63)</f>
        <v>17603.14</v>
      </c>
      <c r="M89" s="109">
        <f>SUM(M44:M63)-M37</f>
        <v>17603.139999991869</v>
      </c>
      <c r="N89" s="109">
        <f>SUM(N44:N63)-N37</f>
        <v>17603.14</v>
      </c>
      <c r="O89" s="109">
        <f>SUM(O44:O63)-O37</f>
        <v>17603.14</v>
      </c>
      <c r="P89" s="106">
        <f t="shared" si="52"/>
        <v>122567.94999999186</v>
      </c>
      <c r="Q89" s="86"/>
      <c r="R89" s="86"/>
      <c r="S89" s="86"/>
      <c r="T89" s="86"/>
      <c r="U89" s="86"/>
      <c r="V89" s="86"/>
    </row>
    <row r="90" spans="1:22">
      <c r="A90" s="22">
        <f t="shared" si="53"/>
        <v>90</v>
      </c>
      <c r="B90" s="183" t="s">
        <v>180</v>
      </c>
      <c r="C90" s="222"/>
      <c r="D90" s="214">
        <f>D81</f>
        <v>964.81322227396436</v>
      </c>
      <c r="E90" s="109">
        <f t="shared" ref="E90:O90" si="58">E81</f>
        <v>961.93000000000006</v>
      </c>
      <c r="F90" s="109">
        <f t="shared" si="58"/>
        <v>961.93000000000006</v>
      </c>
      <c r="G90" s="109">
        <f t="shared" si="58"/>
        <v>961.93000000000006</v>
      </c>
      <c r="H90" s="109">
        <f t="shared" si="58"/>
        <v>961.93000000000006</v>
      </c>
      <c r="I90" s="109">
        <f t="shared" si="58"/>
        <v>961.93000000000006</v>
      </c>
      <c r="J90" s="109">
        <f t="shared" si="58"/>
        <v>961.93000000000006</v>
      </c>
      <c r="K90" s="109">
        <f t="shared" si="58"/>
        <v>961.93000000000006</v>
      </c>
      <c r="L90" s="109">
        <f t="shared" si="58"/>
        <v>974.37</v>
      </c>
      <c r="M90" s="109">
        <f t="shared" si="58"/>
        <v>974.37</v>
      </c>
      <c r="N90" s="109">
        <f t="shared" si="58"/>
        <v>974.37</v>
      </c>
      <c r="O90" s="109">
        <f t="shared" si="58"/>
        <v>974.37</v>
      </c>
      <c r="P90" s="106">
        <f t="shared" si="52"/>
        <v>11595.803222273969</v>
      </c>
      <c r="Q90" s="86"/>
      <c r="R90" s="86"/>
      <c r="S90" s="86"/>
      <c r="T90" s="86"/>
      <c r="U90" s="86"/>
      <c r="V90" s="86"/>
    </row>
    <row r="91" spans="1:22">
      <c r="A91" s="22">
        <f t="shared" si="53"/>
        <v>91</v>
      </c>
      <c r="B91" s="183" t="s">
        <v>184</v>
      </c>
      <c r="C91" s="222"/>
      <c r="D91" s="214">
        <f>D90*2</f>
        <v>1929.6264445479287</v>
      </c>
      <c r="E91" s="109">
        <f t="shared" ref="E91:O91" si="59">E90*2</f>
        <v>1923.8600000000001</v>
      </c>
      <c r="F91" s="109">
        <f t="shared" si="59"/>
        <v>1923.8600000000001</v>
      </c>
      <c r="G91" s="109">
        <f t="shared" si="59"/>
        <v>1923.8600000000001</v>
      </c>
      <c r="H91" s="109">
        <f t="shared" si="59"/>
        <v>1923.8600000000001</v>
      </c>
      <c r="I91" s="109">
        <f t="shared" si="59"/>
        <v>1923.8600000000001</v>
      </c>
      <c r="J91" s="109">
        <f t="shared" si="59"/>
        <v>1923.8600000000001</v>
      </c>
      <c r="K91" s="109">
        <f t="shared" si="59"/>
        <v>1923.8600000000001</v>
      </c>
      <c r="L91" s="109">
        <f t="shared" si="59"/>
        <v>1948.74</v>
      </c>
      <c r="M91" s="109">
        <f t="shared" si="59"/>
        <v>1948.74</v>
      </c>
      <c r="N91" s="109">
        <f t="shared" si="59"/>
        <v>1948.74</v>
      </c>
      <c r="O91" s="109">
        <f t="shared" si="59"/>
        <v>1948.74</v>
      </c>
      <c r="P91" s="106">
        <f t="shared" si="52"/>
        <v>23191.606444547939</v>
      </c>
      <c r="Q91" s="86"/>
      <c r="R91" s="86"/>
      <c r="S91" s="86"/>
      <c r="T91" s="86"/>
      <c r="U91" s="86"/>
      <c r="V91" s="86"/>
    </row>
    <row r="92" spans="1:22">
      <c r="A92" s="22">
        <f t="shared" si="53"/>
        <v>92</v>
      </c>
      <c r="B92" s="183" t="s">
        <v>38</v>
      </c>
      <c r="C92" s="222"/>
      <c r="D92" s="214">
        <f>D94*2/3</f>
        <v>120</v>
      </c>
      <c r="E92" s="109">
        <f t="shared" ref="E92:O92" si="60">E94*2/3</f>
        <v>120</v>
      </c>
      <c r="F92" s="109">
        <f t="shared" si="60"/>
        <v>120</v>
      </c>
      <c r="G92" s="109">
        <f t="shared" si="60"/>
        <v>120</v>
      </c>
      <c r="H92" s="109">
        <f t="shared" si="60"/>
        <v>120</v>
      </c>
      <c r="I92" s="109">
        <f t="shared" si="60"/>
        <v>120</v>
      </c>
      <c r="J92" s="109">
        <f t="shared" si="60"/>
        <v>120</v>
      </c>
      <c r="K92" s="109">
        <f t="shared" si="60"/>
        <v>120</v>
      </c>
      <c r="L92" s="109">
        <f t="shared" si="60"/>
        <v>120</v>
      </c>
      <c r="M92" s="109">
        <f t="shared" si="60"/>
        <v>120</v>
      </c>
      <c r="N92" s="109">
        <f t="shared" si="60"/>
        <v>120</v>
      </c>
      <c r="O92" s="109">
        <f t="shared" si="60"/>
        <v>120</v>
      </c>
      <c r="P92" s="106">
        <f t="shared" si="52"/>
        <v>1440</v>
      </c>
      <c r="Q92" s="86"/>
      <c r="R92" s="86"/>
      <c r="S92" s="86"/>
      <c r="T92" s="86"/>
      <c r="U92" s="86"/>
      <c r="V92" s="86"/>
    </row>
    <row r="93" spans="1:22">
      <c r="A93" s="22">
        <f t="shared" si="53"/>
        <v>93</v>
      </c>
      <c r="B93" s="183" t="s">
        <v>109</v>
      </c>
      <c r="C93" s="222"/>
      <c r="D93" s="214">
        <f>D90+D91</f>
        <v>2894.4396668218933</v>
      </c>
      <c r="E93" s="109">
        <f t="shared" ref="E93:O93" si="61">E90+E91</f>
        <v>2885.79</v>
      </c>
      <c r="F93" s="109">
        <f t="shared" si="61"/>
        <v>2885.79</v>
      </c>
      <c r="G93" s="109">
        <f t="shared" si="61"/>
        <v>2885.79</v>
      </c>
      <c r="H93" s="109">
        <f t="shared" si="61"/>
        <v>2885.79</v>
      </c>
      <c r="I93" s="109">
        <f t="shared" si="61"/>
        <v>2885.79</v>
      </c>
      <c r="J93" s="109">
        <f t="shared" si="61"/>
        <v>2885.79</v>
      </c>
      <c r="K93" s="109">
        <f t="shared" si="61"/>
        <v>2885.79</v>
      </c>
      <c r="L93" s="109">
        <f t="shared" si="61"/>
        <v>2923.11</v>
      </c>
      <c r="M93" s="109">
        <f t="shared" si="61"/>
        <v>2923.11</v>
      </c>
      <c r="N93" s="109">
        <f t="shared" si="61"/>
        <v>2923.11</v>
      </c>
      <c r="O93" s="109">
        <f t="shared" si="61"/>
        <v>2923.11</v>
      </c>
      <c r="P93" s="106">
        <f t="shared" si="52"/>
        <v>34787.409666821899</v>
      </c>
      <c r="Q93" s="86"/>
      <c r="R93" s="86"/>
      <c r="S93" s="86"/>
      <c r="T93" s="86"/>
      <c r="U93" s="86"/>
      <c r="V93" s="86"/>
    </row>
    <row r="94" spans="1:22">
      <c r="A94" s="22">
        <f t="shared" si="53"/>
        <v>94</v>
      </c>
      <c r="B94" s="183" t="s">
        <v>110</v>
      </c>
      <c r="C94" s="222"/>
      <c r="D94" s="214">
        <f t="shared" ref="D94:O94" si="62">90*(((D9*D3)&gt;=9/37)+((D9*D3)&gt;=18/37)+((D9*D3)&gt;=27/37))</f>
        <v>180</v>
      </c>
      <c r="E94" s="214">
        <f t="shared" si="62"/>
        <v>180</v>
      </c>
      <c r="F94" s="214">
        <f t="shared" si="62"/>
        <v>180</v>
      </c>
      <c r="G94" s="214">
        <f t="shared" si="62"/>
        <v>180</v>
      </c>
      <c r="H94" s="214">
        <f t="shared" si="62"/>
        <v>180</v>
      </c>
      <c r="I94" s="109">
        <f t="shared" si="62"/>
        <v>180</v>
      </c>
      <c r="J94" s="109">
        <f t="shared" si="62"/>
        <v>180</v>
      </c>
      <c r="K94" s="109">
        <f t="shared" si="62"/>
        <v>180</v>
      </c>
      <c r="L94" s="109">
        <f t="shared" si="62"/>
        <v>180</v>
      </c>
      <c r="M94" s="109">
        <f t="shared" si="62"/>
        <v>180</v>
      </c>
      <c r="N94" s="109">
        <f t="shared" si="62"/>
        <v>180</v>
      </c>
      <c r="O94" s="109">
        <f t="shared" si="62"/>
        <v>180</v>
      </c>
      <c r="P94" s="106">
        <f t="shared" si="52"/>
        <v>2160</v>
      </c>
      <c r="Q94" s="86"/>
      <c r="R94" s="86"/>
      <c r="S94" s="86"/>
      <c r="T94" s="86"/>
      <c r="U94" s="86"/>
      <c r="V94" s="86"/>
    </row>
    <row r="95" spans="1:22">
      <c r="A95" s="22">
        <f t="shared" si="53"/>
        <v>95</v>
      </c>
      <c r="B95" s="183" t="s">
        <v>132</v>
      </c>
      <c r="C95" s="222"/>
      <c r="D95" s="214">
        <f t="shared" ref="D95:O95" si="63">IF(OR(LEFT(D6)="P",LEFT(D6)="E"),VLOOKUP(VALUE(MID(D6,2,2)),Skalalontabel,7,0)*D9*D7/12*15%*MIN(1,D9)*D3,0)</f>
        <v>0</v>
      </c>
      <c r="E95" s="214">
        <f t="shared" si="63"/>
        <v>0</v>
      </c>
      <c r="F95" s="214">
        <f t="shared" si="63"/>
        <v>0</v>
      </c>
      <c r="G95" s="214">
        <f t="shared" si="63"/>
        <v>0</v>
      </c>
      <c r="H95" s="214">
        <f t="shared" si="63"/>
        <v>0</v>
      </c>
      <c r="I95" s="214">
        <f t="shared" si="63"/>
        <v>0</v>
      </c>
      <c r="J95" s="214">
        <f t="shared" si="63"/>
        <v>0</v>
      </c>
      <c r="K95" s="214">
        <f t="shared" si="63"/>
        <v>0</v>
      </c>
      <c r="L95" s="214">
        <f t="shared" si="63"/>
        <v>0</v>
      </c>
      <c r="M95" s="214">
        <f t="shared" si="63"/>
        <v>0</v>
      </c>
      <c r="N95" s="214">
        <f t="shared" si="63"/>
        <v>0</v>
      </c>
      <c r="O95" s="214">
        <f t="shared" si="63"/>
        <v>0</v>
      </c>
      <c r="P95" s="106">
        <f t="shared" si="52"/>
        <v>0</v>
      </c>
      <c r="Q95" s="86"/>
      <c r="R95" s="86"/>
      <c r="S95" s="86"/>
      <c r="T95" s="86"/>
      <c r="U95" s="86"/>
      <c r="V95" s="86"/>
    </row>
    <row r="96" spans="1:22">
      <c r="A96" s="22">
        <f t="shared" si="53"/>
        <v>96</v>
      </c>
      <c r="B96" s="183" t="s">
        <v>95</v>
      </c>
      <c r="C96" s="222"/>
      <c r="D96" s="214">
        <f>108.35*(D9&gt;=0.4054)</f>
        <v>108.35</v>
      </c>
      <c r="E96" s="109">
        <f t="shared" ref="E96:K96" si="64">108.35*(E9&gt;=0.4054)</f>
        <v>108.35</v>
      </c>
      <c r="F96" s="109">
        <f t="shared" si="64"/>
        <v>108.35</v>
      </c>
      <c r="G96" s="109">
        <f t="shared" si="64"/>
        <v>108.35</v>
      </c>
      <c r="H96" s="109">
        <f t="shared" si="64"/>
        <v>108.35</v>
      </c>
      <c r="I96" s="109">
        <f t="shared" si="64"/>
        <v>108.35</v>
      </c>
      <c r="J96" s="109">
        <f t="shared" si="64"/>
        <v>108.35</v>
      </c>
      <c r="K96" s="109">
        <f t="shared" si="64"/>
        <v>108.35</v>
      </c>
      <c r="L96" s="109">
        <f>108.35*(L9&gt;0)</f>
        <v>108.35</v>
      </c>
      <c r="M96" s="109">
        <f>108.35*(M9&gt;0)</f>
        <v>108.35</v>
      </c>
      <c r="N96" s="109">
        <f>108.35*(N9&gt;0)</f>
        <v>108.35</v>
      </c>
      <c r="O96" s="109">
        <f>108.35*(O9&gt;0)</f>
        <v>108.35</v>
      </c>
      <c r="P96" s="106">
        <f t="shared" si="52"/>
        <v>1300.1999999999998</v>
      </c>
      <c r="Q96" s="86"/>
      <c r="R96" s="86"/>
      <c r="S96" s="86"/>
      <c r="T96" s="86"/>
      <c r="U96" s="86"/>
      <c r="V96" s="86"/>
    </row>
    <row r="97" spans="1:22">
      <c r="A97" s="22">
        <f t="shared" si="53"/>
        <v>97</v>
      </c>
      <c r="B97" s="184" t="s">
        <v>215</v>
      </c>
      <c r="C97" s="222"/>
      <c r="D97" s="215">
        <f>D65-(D87+D82+D84+D96)</f>
        <v>11421.503589295431</v>
      </c>
      <c r="E97" s="215">
        <f t="shared" ref="E97:O97" si="65">E65-(E87+E82+E84+E96)</f>
        <v>11394.779999999997</v>
      </c>
      <c r="F97" s="215">
        <f t="shared" si="65"/>
        <v>11394.779999999997</v>
      </c>
      <c r="G97" s="215">
        <f t="shared" si="65"/>
        <v>11394.779999999997</v>
      </c>
      <c r="H97" s="215">
        <f t="shared" si="65"/>
        <v>11394.779999999997</v>
      </c>
      <c r="I97" s="215">
        <f t="shared" si="65"/>
        <v>11394.779999999997</v>
      </c>
      <c r="J97" s="215">
        <f t="shared" si="65"/>
        <v>11394.779999999997</v>
      </c>
      <c r="K97" s="215">
        <f t="shared" si="65"/>
        <v>11394.779999999997</v>
      </c>
      <c r="L97" s="215">
        <f t="shared" si="65"/>
        <v>11513.789999999999</v>
      </c>
      <c r="M97" s="215">
        <f t="shared" si="65"/>
        <v>13214.989999991869</v>
      </c>
      <c r="N97" s="215">
        <f t="shared" si="65"/>
        <v>11513.789999999999</v>
      </c>
      <c r="O97" s="215">
        <f t="shared" si="65"/>
        <v>11513.789999999999</v>
      </c>
      <c r="P97" s="114">
        <f>SUM(C97:O97)</f>
        <v>138941.32358928726</v>
      </c>
      <c r="Q97" s="87"/>
      <c r="R97" s="87"/>
      <c r="S97" s="86"/>
      <c r="T97" s="86"/>
      <c r="U97" s="86"/>
      <c r="V97" s="86"/>
    </row>
    <row r="98" spans="1:22" ht="14">
      <c r="A98" s="22">
        <f t="shared" si="53"/>
        <v>98</v>
      </c>
      <c r="B98" s="116" t="s">
        <v>262</v>
      </c>
      <c r="C98" s="236">
        <f>Ex10_11!P99</f>
        <v>111510.47423965389</v>
      </c>
      <c r="D98" s="134">
        <f>(SUM(D44:D63)+D81)*(1-12/260*D21)</f>
        <v>14155.128316591843</v>
      </c>
      <c r="E98" s="132">
        <f>(SUM(E44:E63)+E81)*(1-12/260*E21)</f>
        <v>18347.059999999998</v>
      </c>
      <c r="F98" s="132">
        <f>(SUM(F44:F63)+F81)*(1-12/260*F21)</f>
        <v>18347.059999999998</v>
      </c>
      <c r="G98" s="132">
        <f>(SUM(G44:G63)+G81)*(1-12/260*G21)</f>
        <v>18347.059999999998</v>
      </c>
      <c r="H98" s="138">
        <f>(SUM(H44:H63)+H81)*(1-12/260*H21)</f>
        <v>18347.059999999998</v>
      </c>
      <c r="I98" s="135" t="s">
        <v>220</v>
      </c>
      <c r="J98" s="118"/>
      <c r="K98" s="118"/>
      <c r="L98" s="118"/>
      <c r="M98" s="118"/>
      <c r="N98" s="118"/>
      <c r="O98" s="118"/>
      <c r="P98" s="106">
        <f>SUM(C98:H98)</f>
        <v>199053.84255624574</v>
      </c>
      <c r="Q98" s="122"/>
      <c r="R98" s="122"/>
      <c r="S98" s="86"/>
      <c r="T98" s="86"/>
      <c r="U98" s="86"/>
      <c r="V98" s="86"/>
    </row>
    <row r="99" spans="1:22" ht="14">
      <c r="A99" s="22">
        <f t="shared" si="53"/>
        <v>99</v>
      </c>
      <c r="B99" s="185" t="s">
        <v>263</v>
      </c>
      <c r="C99" s="225"/>
      <c r="D99" s="136" t="s">
        <v>220</v>
      </c>
      <c r="E99" s="131"/>
      <c r="F99" s="131"/>
      <c r="G99" s="131"/>
      <c r="H99" s="133"/>
      <c r="I99" s="134">
        <f>(SUM(I$44:I$63)+I$81)*(1-12/260*I$21)</f>
        <v>18347.059999999998</v>
      </c>
      <c r="J99" s="132">
        <f>(SUM(J$44:J$63)+J$81)*(1-12/260*J$21)</f>
        <v>18347.059999999998</v>
      </c>
      <c r="K99" s="132">
        <f>(SUM(K$44:K$63)+K$81)*(1-12/260*K$21)</f>
        <v>18347.059999999998</v>
      </c>
      <c r="L99" s="132">
        <f>(SUM(L$44:L$63)+L$81)*(1-12/260*L$21)</f>
        <v>18577.509999999998</v>
      </c>
      <c r="M99" s="132">
        <f>(SUM(M$44:M$63)-M37+M$81)*(1-12/260*M$21)</f>
        <v>18577.509999983293</v>
      </c>
      <c r="N99" s="132">
        <f>(SUM(N$44:N$63)-N37+N$81)*(1-12/260*N$21)</f>
        <v>18577.509999999998</v>
      </c>
      <c r="O99" s="132">
        <f>(SUM(O$44:O$63)-O37+O$81)*(1-12/260*O$21)</f>
        <v>1429.0392307692298</v>
      </c>
      <c r="P99" s="137">
        <f t="shared" si="52"/>
        <v>112202.7492307525</v>
      </c>
      <c r="Q99" s="122"/>
      <c r="R99" s="122"/>
      <c r="S99" s="86"/>
      <c r="T99" s="86"/>
      <c r="U99" s="86"/>
      <c r="V99" s="86"/>
    </row>
    <row r="100" spans="1:22" s="119" customFormat="1">
      <c r="A100" s="22">
        <f t="shared" si="53"/>
        <v>100</v>
      </c>
      <c r="B100" s="128" t="s">
        <v>221</v>
      </c>
      <c r="C100" s="223"/>
      <c r="D100" s="216">
        <f>IF(D9&gt;0,(D44+D45+D52+D53+D54+D55+D56+D57)/D9,0)</f>
        <v>24338.221953432116</v>
      </c>
      <c r="E100" s="129">
        <f t="shared" ref="E100:O100" si="66">IF(E9&gt;0,(E44+E45+E52+E53+E54+E55+E56+E57)/E9,0)</f>
        <v>24338.221953432116</v>
      </c>
      <c r="F100" s="129">
        <f t="shared" si="66"/>
        <v>24338.221953432116</v>
      </c>
      <c r="G100" s="129">
        <f t="shared" si="66"/>
        <v>24338.221953432116</v>
      </c>
      <c r="H100" s="129">
        <f t="shared" si="66"/>
        <v>24338.221953432116</v>
      </c>
      <c r="I100" s="129">
        <f t="shared" si="66"/>
        <v>24338.221953432116</v>
      </c>
      <c r="J100" s="129">
        <f t="shared" si="66"/>
        <v>24338.221953432116</v>
      </c>
      <c r="K100" s="129">
        <f t="shared" si="66"/>
        <v>24338.221953432116</v>
      </c>
      <c r="L100" s="129">
        <f t="shared" si="66"/>
        <v>24644.723314182043</v>
      </c>
      <c r="M100" s="129">
        <f t="shared" si="66"/>
        <v>24644.723314182043</v>
      </c>
      <c r="N100" s="129">
        <f t="shared" si="66"/>
        <v>24644.723314182043</v>
      </c>
      <c r="O100" s="129">
        <f t="shared" si="66"/>
        <v>24644.723314182043</v>
      </c>
      <c r="P100" s="130"/>
      <c r="Q100" s="86"/>
      <c r="R100" s="86"/>
      <c r="S100" s="86"/>
      <c r="T100" s="86"/>
      <c r="U100" s="86"/>
      <c r="V100" s="86"/>
    </row>
    <row r="101" spans="1:22" s="119" customFormat="1" ht="14" thickBot="1">
      <c r="A101" s="22">
        <f>A100+1</f>
        <v>101</v>
      </c>
      <c r="B101" s="119" t="s">
        <v>252</v>
      </c>
      <c r="C101" s="223"/>
      <c r="D101" s="120">
        <f>IF(D9&gt;0,(D66+D73+D74+D76+D77)/D9,0)</f>
        <v>1356.6827940731782</v>
      </c>
      <c r="E101" s="120">
        <f t="shared" ref="E101:O101" si="67">IF(E9&gt;0,(E66+E73+E74+E76+E77)/E9,0)</f>
        <v>1356.6827940731782</v>
      </c>
      <c r="F101" s="120">
        <f t="shared" si="67"/>
        <v>1356.6827940731782</v>
      </c>
      <c r="G101" s="120">
        <f t="shared" si="67"/>
        <v>1356.6827940731782</v>
      </c>
      <c r="H101" s="120">
        <f t="shared" si="67"/>
        <v>1356.6827940731782</v>
      </c>
      <c r="I101" s="120">
        <f t="shared" si="67"/>
        <v>1356.6827940731782</v>
      </c>
      <c r="J101" s="120">
        <f t="shared" si="67"/>
        <v>1356.6827940731782</v>
      </c>
      <c r="K101" s="120">
        <f t="shared" si="67"/>
        <v>1356.6827940731782</v>
      </c>
      <c r="L101" s="120">
        <f t="shared" si="67"/>
        <v>1374.236468097974</v>
      </c>
      <c r="M101" s="120">
        <f t="shared" si="67"/>
        <v>1374.236468097974</v>
      </c>
      <c r="N101" s="120">
        <f t="shared" si="67"/>
        <v>1374.236468097974</v>
      </c>
      <c r="O101" s="120">
        <f t="shared" si="67"/>
        <v>1374.236468097974</v>
      </c>
      <c r="Q101" s="86"/>
      <c r="R101" s="86"/>
      <c r="S101" s="86"/>
      <c r="T101" s="86"/>
      <c r="U101" s="86"/>
      <c r="V101" s="86"/>
    </row>
    <row r="102" spans="1:22" ht="14" thickTop="1">
      <c r="A102" s="124">
        <f>A101+1</f>
        <v>102</v>
      </c>
      <c r="B102" s="125" t="s">
        <v>88</v>
      </c>
      <c r="C102" s="224"/>
      <c r="D102" s="217">
        <f t="shared" ref="D102:K102" si="68">IF(LEFT(D$4)&lt;&gt;"b",IF(D$10&gt;=650,650*ROUND(12.5*D$7,2)/12,D$10*ROUND(12.5*D$7,2)/12),IF(D$10&gt;=750,750*ROUND(17.1*D$7,2)/12,D$10*ROUND(17.1*D$7,2)/12))</f>
        <v>1120.5</v>
      </c>
      <c r="E102" s="149">
        <f t="shared" si="68"/>
        <v>1120.5</v>
      </c>
      <c r="F102" s="149">
        <f t="shared" si="68"/>
        <v>1120.5</v>
      </c>
      <c r="G102" s="149">
        <f t="shared" si="68"/>
        <v>1120.5</v>
      </c>
      <c r="H102" s="149">
        <f t="shared" si="68"/>
        <v>1120.5</v>
      </c>
      <c r="I102" s="149">
        <f t="shared" si="68"/>
        <v>1120.5</v>
      </c>
      <c r="J102" s="149">
        <f t="shared" si="68"/>
        <v>1120.5</v>
      </c>
      <c r="K102" s="149">
        <f t="shared" si="68"/>
        <v>1120.5</v>
      </c>
      <c r="L102" s="149">
        <f>IF(LEFT(L$4)&lt;&gt;"b",IF(L$10&gt;=650,650*ROUND(16.38*L$7,2)/12,L$10*ROUND(16.38*L$7,2)/12),IF(L$10&gt;=750,750*ROUND(22.41*L$7,2)/12,L$10*ROUND(22.41*L$7,2)/12))</f>
        <v>1135</v>
      </c>
      <c r="M102" s="149">
        <f>IF(LEFT(M$4)&lt;&gt;"b",IF(M$10&gt;=650,650*ROUND(16.38*M$7,2)/12,M$10*ROUND(16.38*M$7,2)/12),IF(M$10&gt;=750,750*ROUND(22.41*M$7,2)/12,M$10*ROUND(22.41*M$7,2)/12))</f>
        <v>1135</v>
      </c>
      <c r="N102" s="149">
        <f>IF(LEFT(N$4)&lt;&gt;"b",IF(N$10&gt;=650,650*ROUND(16.38*N$7,2)/12,N$10*ROUND(16.38*N$7,2)/12),IF(N$10&gt;=750,750*ROUND(22.41*N$7,2)/12,N$10*ROUND(22.41*N$7,2)/12))</f>
        <v>1135</v>
      </c>
      <c r="O102" s="149">
        <f>IF(LEFT(O$4)&lt;&gt;"b",IF(O$10&gt;=650,650*ROUND(16.38*O$7,2)/12,O$10*ROUND(16.38*O$7,2)/12),IF(O$10&gt;=750,750*ROUND(22.41*O$7,2)/12,O$10*ROUND(22.41*O$7,2)/12))</f>
        <v>1135</v>
      </c>
      <c r="P102" s="126" t="s">
        <v>186</v>
      </c>
      <c r="Q102" s="86"/>
      <c r="R102" s="86"/>
      <c r="S102" s="86"/>
      <c r="T102" s="86"/>
      <c r="U102" s="86"/>
      <c r="V102" s="86"/>
    </row>
    <row r="103" spans="1:22">
      <c r="A103" s="22">
        <f>A102+1</f>
        <v>103</v>
      </c>
      <c r="B103" s="186" t="s">
        <v>89</v>
      </c>
      <c r="C103" s="224"/>
      <c r="D103" s="218">
        <f t="shared" ref="D103:K103" si="69">IF(LEFT(D$4)&lt;&gt;"b",IF(D$10&gt;650,IF(D$10&gt;=700,50*ROUND(75*D$7,2)/12,(D$10-650)*ROUND(75*D$7,2)/12),0),IF(D$10&gt;750,IF(D$10&gt;=800,50*ROUND(50*D$7,2)/12,(D$10-750)*ROUND(50*D$7,2)/12),0))</f>
        <v>0</v>
      </c>
      <c r="E103" s="110">
        <f t="shared" si="69"/>
        <v>0</v>
      </c>
      <c r="F103" s="110">
        <f t="shared" si="69"/>
        <v>0</v>
      </c>
      <c r="G103" s="110">
        <f t="shared" si="69"/>
        <v>0</v>
      </c>
      <c r="H103" s="110">
        <f t="shared" si="69"/>
        <v>0</v>
      </c>
      <c r="I103" s="110">
        <f t="shared" si="69"/>
        <v>0</v>
      </c>
      <c r="J103" s="110">
        <f t="shared" si="69"/>
        <v>0</v>
      </c>
      <c r="K103" s="110">
        <f t="shared" si="69"/>
        <v>0</v>
      </c>
      <c r="L103" s="110">
        <f t="array" ref="L103:O103">IF(LEFT(L$4)&lt;&gt;"b",IF(L$10&gt;650,IF(L$10&gt;=700,50*ROUND(98.3*L$7,2)/12,(L$10-650)*ROUND(98.3*L$7,2)/12),0),IF(L$10&gt;750,IF(L$10&gt;=800,65.53*ROUND(65.53*L$7,2)/12,(L$10-750)*ROUND(65.53*L$7,2)/12),0))</f>
        <v>0</v>
      </c>
      <c r="M103" s="110">
        <v>0</v>
      </c>
      <c r="N103" s="110">
        <v>0</v>
      </c>
      <c r="O103" s="110">
        <v>0</v>
      </c>
      <c r="P103" s="111" t="s">
        <v>186</v>
      </c>
      <c r="Q103" s="86"/>
      <c r="R103" s="86"/>
      <c r="S103" s="86"/>
      <c r="T103" s="86"/>
      <c r="U103" s="86"/>
      <c r="V103" s="86"/>
    </row>
    <row r="104" spans="1:22">
      <c r="A104" s="22">
        <f>A103+1</f>
        <v>104</v>
      </c>
      <c r="B104" s="186" t="s">
        <v>166</v>
      </c>
      <c r="C104" s="224"/>
      <c r="D104" s="218">
        <f t="shared" ref="D104:K104" si="70">IF(LEFT(D$4)&lt;&gt;"b",IF(D$10&gt;700,IF(D$10&gt;=750,50*ROUND(100*D$7,2)/12,(D$10-700)*ROUND(100*D$7,2)/12),0),IF(D$10&gt;800,IF(D$10&gt;=835,35*ROUND(100*D$7,2)/12,(D$10-800)*ROUND(100*D$7,2)/12),0))</f>
        <v>0</v>
      </c>
      <c r="E104" s="110">
        <f t="shared" si="70"/>
        <v>0</v>
      </c>
      <c r="F104" s="110">
        <f t="shared" si="70"/>
        <v>0</v>
      </c>
      <c r="G104" s="110">
        <f t="shared" si="70"/>
        <v>0</v>
      </c>
      <c r="H104" s="110">
        <f t="shared" si="70"/>
        <v>0</v>
      </c>
      <c r="I104" s="110">
        <f t="shared" si="70"/>
        <v>0</v>
      </c>
      <c r="J104" s="110">
        <f t="shared" si="70"/>
        <v>0</v>
      </c>
      <c r="K104" s="110">
        <f t="shared" si="70"/>
        <v>0</v>
      </c>
      <c r="L104" s="110">
        <f>IF(LEFT(L$4)&lt;&gt;"b",IF(L$10&gt;700,IF(L$10&gt;=750,50*ROUND(131.07*L$7,2)/12,(L$10-700)*ROUND(131.07*L$7,2)/12),0),IF(L$10&gt;800,IF(L$10&gt;=835,35*ROUND(131.07*L$7,2)/12,(L$10-800)*ROUND(131.07*L$7,2)/12),0))</f>
        <v>0</v>
      </c>
      <c r="M104" s="110">
        <f>IF(LEFT(M$4)&lt;&gt;"b",IF(M$10&gt;700,IF(M$10&gt;=750,50*ROUND(131.07*M$7,2)/12,(M$10-700)*ROUND(131.07*M$7,2)/12),0),IF(M$10&gt;800,IF(M$10&gt;=835,35*ROUND(131.07*M$7,2)/12,(M$10-800)*ROUND(131.07*M$7,2)/12),0))</f>
        <v>0</v>
      </c>
      <c r="N104" s="110">
        <f>IF(LEFT(N$4)&lt;&gt;"b",IF(N$10&gt;700,IF(N$10&gt;=750,50*ROUND(131.07*N$7,2)/12,(N$10-700)*ROUND(131.07*N$7,2)/12),0),IF(N$10&gt;800,IF(N$10&gt;=835,35*ROUND(131.07*N$7,2)/12,(N$10-800)*ROUND(131.07*N$7,2)/12),0))</f>
        <v>0</v>
      </c>
      <c r="O104" s="110">
        <f>IF(LEFT(O$4)&lt;&gt;"b",IF(O$10&gt;700,IF(O$10&gt;=750,50*ROUND(131.07*O$7,2)/12,(O$10-700)*ROUND(131.07*O$7,2)/12),0),IF(O$10&gt;800,IF(O$10&gt;=835,35*ROUND(131.07*O$7,2)/12,(O$10-800)*ROUND(131.07*O$7,2)/12),0))</f>
        <v>0</v>
      </c>
      <c r="P104" s="111" t="s">
        <v>186</v>
      </c>
      <c r="Q104" s="86"/>
      <c r="R104" s="86"/>
      <c r="S104" s="86"/>
      <c r="T104" s="86"/>
      <c r="U104" s="86"/>
      <c r="V104" s="86"/>
    </row>
    <row r="105" spans="1:22">
      <c r="A105" s="22">
        <f>A104+1</f>
        <v>105</v>
      </c>
      <c r="B105" s="187" t="s">
        <v>167</v>
      </c>
      <c r="C105" s="224"/>
      <c r="D105" s="219">
        <f t="shared" ref="D105:K105" si="71">IF(LEFT(D$4)&lt;&gt;"b",IF(D$10&gt;750,(D$10-750)*ROUND(125*D$7,2)/12,0),IF(D$10&gt;835,(D$10-835)*ROUND(125*D$7,2)/12,0))</f>
        <v>0</v>
      </c>
      <c r="E105" s="112">
        <f t="shared" si="71"/>
        <v>0</v>
      </c>
      <c r="F105" s="112">
        <f t="shared" si="71"/>
        <v>0</v>
      </c>
      <c r="G105" s="112">
        <f t="shared" si="71"/>
        <v>0</v>
      </c>
      <c r="H105" s="112">
        <f t="shared" si="71"/>
        <v>0</v>
      </c>
      <c r="I105" s="112">
        <f t="shared" si="71"/>
        <v>0</v>
      </c>
      <c r="J105" s="112">
        <f t="shared" si="71"/>
        <v>0</v>
      </c>
      <c r="K105" s="112">
        <f t="shared" si="71"/>
        <v>0</v>
      </c>
      <c r="L105" s="112">
        <f>IF(LEFT(L$4)&lt;&gt;"b",IF(L$10&gt;750,(L$10-750)*ROUND(163.83*L$7,2)/12,0),IF(L$10&gt;835,(L$10-835)*ROUND(163.83*L$7,2)/12,0))</f>
        <v>0</v>
      </c>
      <c r="M105" s="112">
        <f>IF(LEFT(M$4)&lt;&gt;"b",IF(M$10&gt;750,(M$10-750)*ROUND(163.83*M$7,2)/12,0),IF(M$10&gt;835,(M$10-835)*ROUND(163.83*M$7,2)/12,0))</f>
        <v>0</v>
      </c>
      <c r="N105" s="112">
        <f>IF(LEFT(N$4)&lt;&gt;"b",IF(N$10&gt;750,(N$10-750)*ROUND(163.83*N$7,2)/12,0),IF(N$10&gt;835,(N$10-835)*ROUND(163.83*N$7,2)/12,0))</f>
        <v>0</v>
      </c>
      <c r="O105" s="112">
        <f>IF(LEFT(O$4)&lt;&gt;"b",IF(O$10&gt;750,(O$10-750)*ROUND(163.83*O$7,2)/12,0),IF(O$10&gt;835,(O$10-835)*ROUND(163.83*O$7,2)/12,0))</f>
        <v>0</v>
      </c>
      <c r="P105" s="113" t="s">
        <v>186</v>
      </c>
      <c r="Q105" s="86"/>
      <c r="R105" s="86"/>
      <c r="S105" s="86"/>
      <c r="T105" s="86"/>
      <c r="U105" s="86"/>
      <c r="V105" s="86"/>
    </row>
    <row r="106" spans="1:22">
      <c r="Q106" s="86"/>
      <c r="R106" s="86"/>
      <c r="S106" s="86"/>
      <c r="T106" s="86"/>
      <c r="U106" s="86"/>
      <c r="V106" s="86"/>
    </row>
    <row r="107" spans="1:22" s="3" customFormat="1">
      <c r="A107" s="87"/>
      <c r="B107" s="86"/>
      <c r="C107" s="86"/>
      <c r="D107" s="115"/>
      <c r="E107" s="115"/>
      <c r="F107" s="115"/>
      <c r="G107" s="115"/>
      <c r="H107" s="115"/>
      <c r="I107" s="115"/>
      <c r="J107" s="115"/>
      <c r="K107" s="115"/>
      <c r="L107" s="115"/>
      <c r="M107" s="115"/>
      <c r="N107" s="115"/>
      <c r="O107" s="115"/>
      <c r="P107" s="86"/>
      <c r="Q107" s="86"/>
      <c r="R107" s="86"/>
      <c r="S107" s="86"/>
      <c r="T107" s="86"/>
      <c r="U107" s="86"/>
      <c r="V107" s="86"/>
    </row>
    <row r="108" spans="1:22" s="3" customFormat="1">
      <c r="A108" s="87"/>
      <c r="B108" s="86"/>
      <c r="C108" s="86"/>
      <c r="D108" s="115"/>
      <c r="E108" s="88"/>
      <c r="F108" s="88"/>
      <c r="G108" s="88"/>
      <c r="H108" s="88"/>
      <c r="I108" s="88"/>
      <c r="J108" s="88"/>
      <c r="K108" s="88"/>
      <c r="L108" s="88"/>
      <c r="M108" s="88"/>
      <c r="N108" s="88"/>
      <c r="O108" s="88"/>
      <c r="P108" s="86"/>
      <c r="Q108" s="86"/>
      <c r="R108" s="86"/>
      <c r="S108" s="86"/>
      <c r="T108" s="86"/>
      <c r="U108" s="86"/>
      <c r="V108" s="86"/>
    </row>
    <row r="109" spans="1:22" s="3" customFormat="1">
      <c r="A109" s="87"/>
      <c r="B109" s="86"/>
      <c r="C109" s="86"/>
      <c r="D109" s="88"/>
      <c r="E109" s="88"/>
      <c r="F109" s="88"/>
      <c r="G109" s="88"/>
      <c r="H109" s="88"/>
      <c r="I109" s="88"/>
      <c r="J109" s="88"/>
      <c r="K109" s="88"/>
      <c r="L109" s="88"/>
      <c r="M109" s="88"/>
      <c r="N109" s="88"/>
      <c r="O109" s="88"/>
      <c r="P109" s="86"/>
      <c r="Q109" s="86"/>
      <c r="R109" s="86"/>
      <c r="S109" s="86"/>
      <c r="T109" s="86"/>
      <c r="U109" s="86"/>
      <c r="V109" s="86"/>
    </row>
    <row r="110" spans="1:22" s="3" customFormat="1">
      <c r="A110" s="87"/>
      <c r="B110" s="86"/>
      <c r="C110" s="86"/>
      <c r="D110" s="88"/>
      <c r="E110" s="88"/>
      <c r="F110" s="88"/>
      <c r="G110" s="88"/>
      <c r="H110" s="88"/>
      <c r="I110" s="88"/>
      <c r="J110" s="88"/>
      <c r="K110" s="88"/>
      <c r="L110" s="88"/>
      <c r="M110" s="88"/>
      <c r="N110" s="88"/>
      <c r="O110" s="88"/>
      <c r="P110" s="86"/>
      <c r="Q110" s="86"/>
      <c r="R110" s="86"/>
      <c r="S110" s="86"/>
      <c r="T110" s="86"/>
      <c r="U110" s="86"/>
      <c r="V110" s="86"/>
    </row>
    <row r="111" spans="1:22" s="3" customFormat="1">
      <c r="A111" s="87"/>
      <c r="B111" s="86"/>
      <c r="C111" s="86"/>
      <c r="D111" s="88"/>
      <c r="E111" s="88"/>
      <c r="F111" s="88"/>
      <c r="G111" s="88"/>
      <c r="H111" s="88"/>
      <c r="I111" s="88"/>
      <c r="J111" s="88"/>
      <c r="K111" s="88"/>
      <c r="L111" s="88"/>
      <c r="M111" s="88"/>
      <c r="N111" s="88"/>
      <c r="O111" s="88"/>
      <c r="P111" s="86"/>
      <c r="Q111" s="86"/>
      <c r="R111" s="86"/>
      <c r="S111" s="86"/>
      <c r="T111" s="86"/>
      <c r="U111" s="86"/>
      <c r="V111" s="86"/>
    </row>
    <row r="112" spans="1:22">
      <c r="A112" s="82"/>
      <c r="B112" s="83"/>
      <c r="C112" s="83"/>
      <c r="D112" s="84"/>
      <c r="E112" s="84"/>
      <c r="F112" s="84"/>
      <c r="G112" s="84"/>
      <c r="H112" s="84"/>
      <c r="I112" s="84"/>
      <c r="J112" s="84"/>
      <c r="K112" s="84"/>
      <c r="L112" s="84"/>
      <c r="M112" s="84"/>
      <c r="N112" s="84"/>
      <c r="O112" s="84"/>
      <c r="P112" s="83"/>
    </row>
    <row r="113" spans="1:16">
      <c r="A113" s="82"/>
      <c r="B113" s="83"/>
      <c r="C113" s="83"/>
      <c r="D113" s="84"/>
      <c r="E113" s="84"/>
      <c r="F113" s="84"/>
      <c r="G113" s="84"/>
      <c r="H113" s="84"/>
      <c r="I113" s="84"/>
      <c r="J113" s="84"/>
      <c r="K113" s="84"/>
      <c r="L113" s="84"/>
      <c r="M113" s="84"/>
      <c r="N113" s="84"/>
      <c r="O113" s="84"/>
      <c r="P113" s="83"/>
    </row>
    <row r="114" spans="1:16">
      <c r="A114" s="82"/>
      <c r="B114" s="83"/>
      <c r="C114" s="83"/>
      <c r="D114" s="84"/>
      <c r="E114" s="84"/>
      <c r="F114" s="84"/>
      <c r="G114" s="84"/>
      <c r="H114" s="84"/>
      <c r="I114" s="84"/>
      <c r="J114" s="84"/>
      <c r="K114" s="84"/>
      <c r="L114" s="84"/>
      <c r="M114" s="84"/>
      <c r="N114" s="84"/>
      <c r="O114" s="84"/>
      <c r="P114" s="83"/>
    </row>
    <row r="115" spans="1:16">
      <c r="A115" s="82"/>
      <c r="B115" s="83"/>
      <c r="C115" s="83"/>
      <c r="D115" s="84"/>
      <c r="E115" s="84"/>
      <c r="F115" s="84"/>
      <c r="G115" s="84"/>
      <c r="H115" s="84"/>
      <c r="I115" s="84"/>
      <c r="J115" s="84"/>
      <c r="K115" s="84"/>
      <c r="L115" s="84"/>
      <c r="M115" s="84"/>
      <c r="N115" s="84"/>
      <c r="O115" s="84"/>
      <c r="P115" s="83"/>
    </row>
    <row r="116" spans="1:16">
      <c r="A116" s="82"/>
      <c r="B116" s="83"/>
      <c r="C116" s="83"/>
      <c r="D116" s="84"/>
      <c r="E116" s="84"/>
      <c r="F116" s="84"/>
      <c r="G116" s="84"/>
      <c r="H116" s="84"/>
      <c r="I116" s="84"/>
      <c r="J116" s="84"/>
      <c r="K116" s="84"/>
      <c r="L116" s="84"/>
      <c r="M116" s="84"/>
      <c r="N116" s="84"/>
      <c r="O116" s="84"/>
      <c r="P116" s="83"/>
    </row>
    <row r="117" spans="1:16">
      <c r="A117" s="82"/>
      <c r="B117" s="83"/>
      <c r="C117" s="83"/>
      <c r="D117" s="84"/>
      <c r="E117" s="84"/>
      <c r="F117" s="84"/>
      <c r="G117" s="84"/>
      <c r="H117" s="84"/>
      <c r="I117" s="84"/>
      <c r="J117" s="84"/>
      <c r="K117" s="84"/>
      <c r="L117" s="84"/>
      <c r="M117" s="84"/>
      <c r="N117" s="84"/>
      <c r="O117" s="84"/>
      <c r="P117" s="83"/>
    </row>
    <row r="118" spans="1:16">
      <c r="A118" s="82"/>
      <c r="B118" s="83"/>
      <c r="C118" s="83"/>
      <c r="D118" s="84"/>
      <c r="E118" s="84"/>
      <c r="F118" s="84"/>
      <c r="G118" s="84"/>
      <c r="H118" s="84"/>
      <c r="I118" s="84"/>
      <c r="J118" s="84"/>
      <c r="K118" s="84"/>
      <c r="L118" s="84"/>
      <c r="M118" s="84"/>
      <c r="N118" s="84"/>
      <c r="O118" s="84"/>
      <c r="P118" s="83"/>
    </row>
    <row r="119" spans="1:16">
      <c r="A119" s="82"/>
      <c r="B119" s="83"/>
      <c r="C119" s="83"/>
      <c r="D119" s="84"/>
      <c r="E119" s="84"/>
      <c r="F119" s="84"/>
      <c r="G119" s="84"/>
      <c r="H119" s="84"/>
      <c r="I119" s="84"/>
      <c r="J119" s="84"/>
      <c r="K119" s="84"/>
      <c r="L119" s="84"/>
      <c r="M119" s="84"/>
      <c r="N119" s="84"/>
      <c r="O119" s="84"/>
      <c r="P119" s="83"/>
    </row>
    <row r="120" spans="1:16">
      <c r="A120" s="82"/>
      <c r="B120" s="83"/>
      <c r="C120" s="83"/>
      <c r="D120" s="84"/>
      <c r="E120" s="84"/>
      <c r="F120" s="84"/>
      <c r="G120" s="84"/>
      <c r="H120" s="84"/>
      <c r="I120" s="84"/>
      <c r="J120" s="84"/>
      <c r="K120" s="84"/>
      <c r="L120" s="84"/>
      <c r="M120" s="84"/>
      <c r="N120" s="84"/>
      <c r="O120" s="84"/>
      <c r="P120" s="83"/>
    </row>
    <row r="121" spans="1:16">
      <c r="A121" s="82"/>
      <c r="B121" s="83"/>
      <c r="C121" s="83"/>
      <c r="D121" s="84"/>
      <c r="E121" s="84"/>
      <c r="F121" s="84"/>
      <c r="G121" s="84"/>
      <c r="H121" s="84"/>
      <c r="I121" s="84"/>
      <c r="J121" s="84"/>
      <c r="K121" s="84"/>
      <c r="L121" s="84"/>
      <c r="M121" s="84"/>
      <c r="N121" s="84"/>
      <c r="O121" s="84"/>
      <c r="P121" s="83"/>
    </row>
    <row r="122" spans="1:16">
      <c r="A122" s="82"/>
      <c r="B122" s="83"/>
      <c r="C122" s="83"/>
      <c r="D122" s="84"/>
      <c r="E122" s="84"/>
      <c r="F122" s="84"/>
      <c r="G122" s="84"/>
      <c r="H122" s="84"/>
      <c r="I122" s="84"/>
      <c r="J122" s="84"/>
      <c r="K122" s="84"/>
      <c r="L122" s="84"/>
      <c r="M122" s="84"/>
      <c r="N122" s="84"/>
      <c r="O122" s="84"/>
      <c r="P122" s="83"/>
    </row>
    <row r="123" spans="1:16">
      <c r="A123" s="82"/>
      <c r="B123" s="83"/>
      <c r="C123" s="83"/>
      <c r="D123" s="84"/>
      <c r="E123" s="84"/>
      <c r="F123" s="84"/>
      <c r="G123" s="84"/>
      <c r="H123" s="84"/>
      <c r="I123" s="84"/>
      <c r="J123" s="84"/>
      <c r="K123" s="84"/>
      <c r="L123" s="84"/>
      <c r="M123" s="84"/>
      <c r="N123" s="84"/>
      <c r="O123" s="84"/>
      <c r="P123" s="83"/>
    </row>
    <row r="124" spans="1:16">
      <c r="A124" s="82"/>
      <c r="B124" s="83"/>
      <c r="C124" s="83"/>
      <c r="D124" s="84"/>
      <c r="E124" s="84"/>
      <c r="F124" s="84"/>
      <c r="G124" s="84"/>
      <c r="H124" s="84"/>
      <c r="I124" s="84"/>
      <c r="J124" s="84"/>
      <c r="K124" s="84"/>
      <c r="L124" s="84"/>
      <c r="M124" s="84"/>
      <c r="N124" s="84"/>
      <c r="O124" s="84"/>
      <c r="P124" s="83"/>
    </row>
    <row r="125" spans="1:16">
      <c r="A125" s="82"/>
      <c r="B125" s="83"/>
      <c r="C125" s="83"/>
      <c r="D125" s="84"/>
      <c r="E125" s="84"/>
      <c r="F125" s="84"/>
      <c r="G125" s="84"/>
      <c r="H125" s="84"/>
      <c r="I125" s="84"/>
      <c r="J125" s="84"/>
      <c r="K125" s="84"/>
      <c r="L125" s="84"/>
      <c r="M125" s="84"/>
      <c r="N125" s="84"/>
      <c r="O125" s="84"/>
      <c r="P125" s="83"/>
    </row>
    <row r="126" spans="1:16">
      <c r="A126" s="82"/>
      <c r="B126" s="83"/>
      <c r="C126" s="83"/>
      <c r="D126" s="84"/>
      <c r="E126" s="84"/>
      <c r="F126" s="84"/>
      <c r="G126" s="84"/>
      <c r="H126" s="84"/>
      <c r="I126" s="84"/>
      <c r="J126" s="84"/>
      <c r="K126" s="84"/>
      <c r="L126" s="84"/>
      <c r="M126" s="84"/>
      <c r="N126" s="84"/>
      <c r="O126" s="84"/>
      <c r="P126" s="83"/>
    </row>
    <row r="127" spans="1:16">
      <c r="A127" s="82"/>
      <c r="B127" s="83"/>
      <c r="C127" s="83"/>
      <c r="D127" s="84"/>
      <c r="E127" s="84"/>
      <c r="F127" s="84"/>
      <c r="G127" s="84"/>
      <c r="H127" s="84"/>
      <c r="I127" s="84"/>
      <c r="J127" s="84"/>
      <c r="K127" s="84"/>
      <c r="L127" s="84"/>
      <c r="M127" s="84"/>
      <c r="N127" s="84"/>
      <c r="O127" s="84"/>
      <c r="P127" s="83"/>
    </row>
    <row r="128" spans="1:16">
      <c r="A128" s="82"/>
      <c r="B128" s="83"/>
      <c r="C128" s="83"/>
      <c r="D128" s="84"/>
      <c r="E128" s="84"/>
      <c r="F128" s="84"/>
      <c r="G128" s="84"/>
      <c r="H128" s="84"/>
      <c r="I128" s="84"/>
      <c r="J128" s="84"/>
      <c r="K128" s="84"/>
      <c r="L128" s="84"/>
      <c r="M128" s="84"/>
      <c r="N128" s="84"/>
      <c r="O128" s="84"/>
      <c r="P128" s="83"/>
    </row>
    <row r="129" spans="1:16">
      <c r="A129" s="82"/>
      <c r="B129" s="83"/>
      <c r="C129" s="83"/>
      <c r="D129" s="84"/>
      <c r="E129" s="84"/>
      <c r="F129" s="84"/>
      <c r="G129" s="84"/>
      <c r="H129" s="84"/>
      <c r="I129" s="84"/>
      <c r="J129" s="84"/>
      <c r="K129" s="84"/>
      <c r="L129" s="84"/>
      <c r="M129" s="84"/>
      <c r="N129" s="84"/>
      <c r="O129" s="84"/>
      <c r="P129" s="83"/>
    </row>
    <row r="130" spans="1:16">
      <c r="A130" s="82"/>
      <c r="B130" s="83"/>
      <c r="C130" s="83"/>
      <c r="D130" s="84"/>
      <c r="E130" s="84"/>
      <c r="F130" s="84"/>
      <c r="G130" s="84"/>
      <c r="H130" s="84"/>
      <c r="I130" s="84"/>
      <c r="J130" s="84"/>
      <c r="K130" s="84"/>
      <c r="L130" s="84"/>
      <c r="M130" s="84"/>
      <c r="N130" s="84"/>
      <c r="O130" s="84"/>
      <c r="P130" s="83"/>
    </row>
    <row r="131" spans="1:16">
      <c r="A131" s="82"/>
      <c r="B131" s="83"/>
      <c r="C131" s="83"/>
      <c r="D131" s="84"/>
      <c r="E131" s="84"/>
      <c r="F131" s="84"/>
      <c r="G131" s="84"/>
      <c r="H131" s="84"/>
      <c r="I131" s="84"/>
      <c r="J131" s="84"/>
      <c r="K131" s="84"/>
      <c r="L131" s="84"/>
      <c r="M131" s="84"/>
      <c r="N131" s="84"/>
      <c r="O131" s="84"/>
      <c r="P131" s="83"/>
    </row>
    <row r="132" spans="1:16">
      <c r="A132" s="82"/>
      <c r="B132" s="83"/>
      <c r="C132" s="83"/>
      <c r="D132" s="84"/>
      <c r="E132" s="84"/>
      <c r="F132" s="84"/>
      <c r="G132" s="84"/>
      <c r="H132" s="84"/>
      <c r="I132" s="84"/>
      <c r="J132" s="84"/>
      <c r="K132" s="84"/>
      <c r="L132" s="84"/>
      <c r="M132" s="84"/>
      <c r="N132" s="84"/>
      <c r="O132" s="84"/>
      <c r="P132" s="83"/>
    </row>
    <row r="133" spans="1:16">
      <c r="A133" s="82"/>
      <c r="B133" s="83"/>
      <c r="C133" s="83"/>
      <c r="D133" s="84"/>
      <c r="E133" s="84"/>
      <c r="F133" s="84"/>
      <c r="G133" s="84"/>
      <c r="H133" s="84"/>
      <c r="I133" s="84"/>
      <c r="J133" s="84"/>
      <c r="K133" s="84"/>
      <c r="L133" s="84"/>
      <c r="M133" s="84"/>
      <c r="N133" s="84"/>
      <c r="O133" s="84"/>
      <c r="P133" s="83"/>
    </row>
    <row r="134" spans="1:16">
      <c r="A134" s="82"/>
      <c r="B134" s="83"/>
      <c r="C134" s="83"/>
      <c r="D134" s="84"/>
      <c r="E134" s="84"/>
      <c r="F134" s="84"/>
      <c r="G134" s="84"/>
      <c r="H134" s="84"/>
      <c r="I134" s="84"/>
      <c r="J134" s="84"/>
      <c r="K134" s="84"/>
      <c r="L134" s="84"/>
      <c r="M134" s="84"/>
      <c r="N134" s="84"/>
      <c r="O134" s="84"/>
      <c r="P134" s="83"/>
    </row>
    <row r="135" spans="1:16">
      <c r="A135" s="82"/>
      <c r="B135" s="83"/>
      <c r="C135" s="83"/>
      <c r="D135" s="84"/>
      <c r="E135" s="84"/>
      <c r="F135" s="84"/>
      <c r="G135" s="84"/>
      <c r="H135" s="84"/>
      <c r="I135" s="84"/>
      <c r="J135" s="84"/>
      <c r="K135" s="84"/>
      <c r="L135" s="84"/>
      <c r="M135" s="84"/>
      <c r="N135" s="84"/>
      <c r="O135" s="84"/>
      <c r="P135" s="83"/>
    </row>
    <row r="136" spans="1:16">
      <c r="A136" s="82"/>
      <c r="B136" s="83"/>
      <c r="C136" s="83"/>
      <c r="D136" s="84"/>
      <c r="E136" s="84"/>
      <c r="F136" s="84"/>
      <c r="G136" s="84"/>
      <c r="H136" s="84"/>
      <c r="I136" s="84"/>
      <c r="J136" s="84"/>
      <c r="K136" s="84"/>
      <c r="L136" s="84"/>
      <c r="M136" s="84"/>
      <c r="N136" s="84"/>
      <c r="O136" s="84"/>
      <c r="P136" s="83"/>
    </row>
    <row r="137" spans="1:16">
      <c r="A137" s="82"/>
      <c r="B137" s="83"/>
      <c r="C137" s="83"/>
      <c r="D137" s="84"/>
      <c r="E137" s="84"/>
      <c r="F137" s="84"/>
      <c r="G137" s="84"/>
      <c r="H137" s="84"/>
      <c r="I137" s="84"/>
      <c r="J137" s="84"/>
      <c r="K137" s="84"/>
      <c r="L137" s="84"/>
      <c r="M137" s="84"/>
      <c r="N137" s="84"/>
      <c r="O137" s="84"/>
      <c r="P137" s="83"/>
    </row>
    <row r="138" spans="1:16">
      <c r="A138" s="82"/>
      <c r="B138" s="83"/>
      <c r="C138" s="83"/>
      <c r="D138" s="84"/>
      <c r="E138" s="84"/>
      <c r="F138" s="84"/>
      <c r="G138" s="84"/>
      <c r="H138" s="84"/>
      <c r="I138" s="84"/>
      <c r="J138" s="84"/>
      <c r="K138" s="84"/>
      <c r="L138" s="84"/>
      <c r="M138" s="84"/>
      <c r="N138" s="84"/>
      <c r="O138" s="84"/>
      <c r="P138" s="83"/>
    </row>
    <row r="139" spans="1:16">
      <c r="A139" s="82"/>
      <c r="B139" s="83"/>
      <c r="C139" s="83"/>
      <c r="D139" s="84"/>
      <c r="E139" s="84"/>
      <c r="F139" s="84"/>
      <c r="G139" s="84"/>
      <c r="H139" s="84"/>
      <c r="I139" s="84"/>
      <c r="J139" s="84"/>
      <c r="K139" s="84"/>
      <c r="L139" s="84"/>
      <c r="M139" s="84"/>
      <c r="N139" s="84"/>
      <c r="O139" s="84"/>
      <c r="P139" s="83"/>
    </row>
    <row r="140" spans="1:16">
      <c r="A140" s="82"/>
      <c r="B140" s="83"/>
      <c r="C140" s="83"/>
      <c r="D140" s="84"/>
      <c r="E140" s="84"/>
      <c r="F140" s="84"/>
      <c r="G140" s="84"/>
      <c r="H140" s="84"/>
      <c r="I140" s="84"/>
      <c r="J140" s="84"/>
      <c r="K140" s="84"/>
      <c r="L140" s="84"/>
      <c r="M140" s="84"/>
      <c r="N140" s="84"/>
      <c r="O140" s="84"/>
      <c r="P140" s="83"/>
    </row>
    <row r="141" spans="1:16">
      <c r="A141" s="82"/>
      <c r="B141" s="83"/>
      <c r="C141" s="83"/>
      <c r="D141" s="84"/>
      <c r="E141" s="84"/>
      <c r="F141" s="84"/>
      <c r="G141" s="84"/>
      <c r="H141" s="84"/>
      <c r="I141" s="84"/>
      <c r="J141" s="84"/>
      <c r="K141" s="84"/>
      <c r="L141" s="84"/>
      <c r="M141" s="84"/>
      <c r="N141" s="84"/>
      <c r="O141" s="84"/>
      <c r="P141" s="83"/>
    </row>
    <row r="142" spans="1:16">
      <c r="A142" s="82"/>
      <c r="B142" s="83"/>
      <c r="C142" s="83"/>
      <c r="D142" s="84"/>
      <c r="E142" s="84"/>
      <c r="F142" s="84"/>
      <c r="G142" s="84"/>
      <c r="H142" s="84"/>
      <c r="I142" s="84"/>
      <c r="J142" s="84"/>
      <c r="K142" s="84"/>
      <c r="L142" s="84"/>
      <c r="M142" s="84"/>
      <c r="N142" s="84"/>
      <c r="O142" s="84"/>
      <c r="P142" s="83"/>
    </row>
    <row r="143" spans="1:16">
      <c r="A143" s="82"/>
      <c r="B143" s="83"/>
      <c r="C143" s="83"/>
      <c r="D143" s="84"/>
      <c r="E143" s="84"/>
      <c r="F143" s="84"/>
      <c r="G143" s="84"/>
      <c r="H143" s="84"/>
      <c r="I143" s="84"/>
      <c r="J143" s="84"/>
      <c r="K143" s="84"/>
      <c r="L143" s="84"/>
      <c r="M143" s="84"/>
      <c r="N143" s="84"/>
      <c r="O143" s="84"/>
      <c r="P143" s="83"/>
    </row>
    <row r="144" spans="1:16">
      <c r="A144" s="82"/>
      <c r="B144" s="83"/>
      <c r="C144" s="83"/>
      <c r="D144" s="84"/>
      <c r="E144" s="84"/>
      <c r="F144" s="84"/>
      <c r="G144" s="84"/>
      <c r="H144" s="84"/>
      <c r="I144" s="84"/>
      <c r="J144" s="84"/>
      <c r="K144" s="84"/>
      <c r="L144" s="84"/>
      <c r="M144" s="84"/>
      <c r="N144" s="84"/>
      <c r="O144" s="84"/>
      <c r="P144" s="83"/>
    </row>
    <row r="145" spans="1:16">
      <c r="A145" s="82"/>
      <c r="B145" s="83"/>
      <c r="C145" s="83"/>
      <c r="D145" s="84"/>
      <c r="E145" s="84"/>
      <c r="F145" s="84"/>
      <c r="G145" s="84"/>
      <c r="H145" s="84"/>
      <c r="I145" s="84"/>
      <c r="J145" s="84"/>
      <c r="K145" s="84"/>
      <c r="L145" s="84"/>
      <c r="M145" s="84"/>
      <c r="N145" s="84"/>
      <c r="O145" s="84"/>
      <c r="P145" s="83"/>
    </row>
    <row r="146" spans="1:16">
      <c r="A146" s="82"/>
      <c r="B146" s="83"/>
      <c r="C146" s="83"/>
      <c r="D146" s="84"/>
      <c r="E146" s="84"/>
      <c r="F146" s="84"/>
      <c r="G146" s="84"/>
      <c r="H146" s="84"/>
      <c r="I146" s="84"/>
      <c r="J146" s="84"/>
      <c r="K146" s="84"/>
      <c r="L146" s="84"/>
      <c r="M146" s="84"/>
      <c r="N146" s="84"/>
      <c r="O146" s="84"/>
      <c r="P146" s="83"/>
    </row>
    <row r="147" spans="1:16">
      <c r="A147" s="82"/>
      <c r="B147" s="83"/>
      <c r="C147" s="83"/>
      <c r="D147" s="84"/>
      <c r="E147" s="84"/>
      <c r="F147" s="84"/>
      <c r="G147" s="84"/>
      <c r="H147" s="84"/>
      <c r="I147" s="84"/>
      <c r="J147" s="84"/>
      <c r="K147" s="84"/>
      <c r="L147" s="84"/>
      <c r="M147" s="84"/>
      <c r="N147" s="84"/>
      <c r="O147" s="84"/>
      <c r="P147" s="83"/>
    </row>
    <row r="148" spans="1:16">
      <c r="A148" s="82"/>
      <c r="B148" s="83"/>
      <c r="C148" s="83"/>
      <c r="D148" s="84"/>
      <c r="E148" s="84"/>
      <c r="F148" s="84"/>
      <c r="G148" s="84"/>
      <c r="H148" s="84"/>
      <c r="I148" s="84"/>
      <c r="J148" s="84"/>
      <c r="K148" s="84"/>
      <c r="L148" s="84"/>
      <c r="M148" s="84"/>
      <c r="N148" s="84"/>
      <c r="O148" s="84"/>
      <c r="P148" s="83"/>
    </row>
    <row r="149" spans="1:16">
      <c r="A149" s="82"/>
      <c r="B149" s="83"/>
      <c r="C149" s="83"/>
      <c r="D149" s="84"/>
      <c r="E149" s="84"/>
      <c r="F149" s="84"/>
      <c r="G149" s="84"/>
      <c r="H149" s="84"/>
      <c r="I149" s="84"/>
      <c r="J149" s="84"/>
      <c r="K149" s="84"/>
      <c r="L149" s="84"/>
      <c r="M149" s="84"/>
      <c r="N149" s="84"/>
      <c r="O149" s="84"/>
      <c r="P149" s="83"/>
    </row>
    <row r="150" spans="1:16">
      <c r="A150" s="82"/>
      <c r="B150" s="83"/>
      <c r="C150" s="83"/>
      <c r="D150" s="84"/>
      <c r="E150" s="84"/>
      <c r="F150" s="84"/>
      <c r="G150" s="84"/>
      <c r="H150" s="84"/>
      <c r="I150" s="84"/>
      <c r="J150" s="84"/>
      <c r="K150" s="84"/>
      <c r="L150" s="84"/>
      <c r="M150" s="84"/>
      <c r="N150" s="84"/>
      <c r="O150" s="84"/>
      <c r="P150" s="83"/>
    </row>
    <row r="151" spans="1:16">
      <c r="A151" s="82"/>
      <c r="B151" s="83"/>
      <c r="C151" s="83"/>
      <c r="D151" s="84"/>
      <c r="E151" s="84"/>
      <c r="F151" s="84"/>
      <c r="G151" s="84"/>
      <c r="H151" s="84"/>
      <c r="I151" s="84"/>
      <c r="J151" s="84"/>
      <c r="K151" s="84"/>
      <c r="L151" s="84"/>
      <c r="M151" s="84"/>
      <c r="N151" s="84"/>
      <c r="O151" s="84"/>
      <c r="P151" s="83"/>
    </row>
    <row r="152" spans="1:16">
      <c r="A152" s="82"/>
      <c r="B152" s="83"/>
      <c r="C152" s="83"/>
      <c r="D152" s="84"/>
      <c r="E152" s="84"/>
      <c r="F152" s="84"/>
      <c r="G152" s="84"/>
      <c r="H152" s="84"/>
      <c r="I152" s="84"/>
      <c r="J152" s="84"/>
      <c r="K152" s="84"/>
      <c r="L152" s="84"/>
      <c r="M152" s="84"/>
      <c r="N152" s="84"/>
      <c r="O152" s="84"/>
      <c r="P152" s="83"/>
    </row>
    <row r="153" spans="1:16">
      <c r="A153" s="82"/>
      <c r="B153" s="83"/>
      <c r="C153" s="83"/>
      <c r="D153" s="84"/>
      <c r="E153" s="84"/>
      <c r="F153" s="84"/>
      <c r="G153" s="84"/>
      <c r="H153" s="84"/>
      <c r="I153" s="84"/>
      <c r="J153" s="84"/>
      <c r="K153" s="84"/>
      <c r="L153" s="84"/>
      <c r="M153" s="84"/>
      <c r="N153" s="84"/>
      <c r="O153" s="84"/>
      <c r="P153" s="83"/>
    </row>
    <row r="154" spans="1:16">
      <c r="A154" s="82"/>
      <c r="B154" s="83"/>
      <c r="C154" s="83"/>
      <c r="D154" s="84"/>
      <c r="E154" s="84"/>
      <c r="F154" s="84"/>
      <c r="G154" s="84"/>
      <c r="H154" s="84"/>
      <c r="I154" s="84"/>
      <c r="J154" s="84"/>
      <c r="K154" s="84"/>
      <c r="L154" s="84"/>
      <c r="M154" s="84"/>
      <c r="N154" s="84"/>
      <c r="O154" s="84"/>
      <c r="P154" s="83"/>
    </row>
    <row r="155" spans="1:16">
      <c r="A155" s="82"/>
      <c r="B155" s="83"/>
      <c r="C155" s="83"/>
      <c r="D155" s="84"/>
      <c r="E155" s="84"/>
      <c r="F155" s="84"/>
      <c r="G155" s="84"/>
      <c r="H155" s="84"/>
      <c r="I155" s="84"/>
      <c r="J155" s="84"/>
      <c r="K155" s="84"/>
      <c r="L155" s="84"/>
      <c r="M155" s="84"/>
      <c r="N155" s="84"/>
      <c r="O155" s="84"/>
      <c r="P155" s="83"/>
    </row>
    <row r="156" spans="1:16">
      <c r="A156" s="82"/>
      <c r="B156" s="83"/>
      <c r="C156" s="83"/>
      <c r="D156" s="84"/>
      <c r="E156" s="84"/>
      <c r="F156" s="84"/>
      <c r="G156" s="84"/>
      <c r="H156" s="84"/>
      <c r="I156" s="84"/>
      <c r="J156" s="84"/>
      <c r="K156" s="84"/>
      <c r="L156" s="84"/>
      <c r="M156" s="84"/>
      <c r="N156" s="84"/>
      <c r="O156" s="84"/>
      <c r="P156" s="83"/>
    </row>
    <row r="157" spans="1:16">
      <c r="A157" s="82"/>
      <c r="B157" s="83"/>
      <c r="C157" s="83"/>
      <c r="D157" s="84"/>
      <c r="E157" s="84"/>
      <c r="F157" s="84"/>
      <c r="G157" s="84"/>
      <c r="H157" s="84"/>
      <c r="I157" s="84"/>
      <c r="J157" s="84"/>
      <c r="K157" s="84"/>
      <c r="L157" s="84"/>
      <c r="M157" s="84"/>
      <c r="N157" s="84"/>
      <c r="O157" s="84"/>
      <c r="P157" s="83"/>
    </row>
    <row r="158" spans="1:16">
      <c r="A158" s="82"/>
      <c r="B158" s="83"/>
      <c r="C158" s="83"/>
      <c r="D158" s="84"/>
      <c r="E158" s="84"/>
      <c r="F158" s="84"/>
      <c r="G158" s="84"/>
      <c r="H158" s="84"/>
      <c r="I158" s="84"/>
      <c r="J158" s="84"/>
      <c r="K158" s="84"/>
      <c r="L158" s="84"/>
      <c r="M158" s="84"/>
      <c r="N158" s="84"/>
      <c r="O158" s="84"/>
      <c r="P158" s="83"/>
    </row>
    <row r="159" spans="1:16">
      <c r="A159" s="82"/>
      <c r="B159" s="83"/>
      <c r="C159" s="83"/>
      <c r="D159" s="84"/>
      <c r="E159" s="84"/>
      <c r="F159" s="84"/>
      <c r="G159" s="84"/>
      <c r="H159" s="84"/>
      <c r="I159" s="84"/>
      <c r="J159" s="84"/>
      <c r="K159" s="84"/>
      <c r="L159" s="84"/>
      <c r="M159" s="84"/>
      <c r="N159" s="84"/>
      <c r="O159" s="84"/>
      <c r="P159" s="83"/>
    </row>
    <row r="160" spans="1:16">
      <c r="A160" s="82"/>
      <c r="B160" s="83"/>
      <c r="C160" s="83"/>
      <c r="D160" s="84"/>
      <c r="E160" s="84"/>
      <c r="F160" s="84"/>
      <c r="G160" s="84"/>
      <c r="H160" s="84"/>
      <c r="I160" s="84"/>
      <c r="J160" s="84"/>
      <c r="K160" s="84"/>
      <c r="L160" s="84"/>
      <c r="M160" s="84"/>
      <c r="N160" s="84"/>
      <c r="O160" s="84"/>
      <c r="P160" s="83"/>
    </row>
    <row r="161" spans="1:16">
      <c r="A161" s="82"/>
      <c r="B161" s="83"/>
      <c r="C161" s="83"/>
      <c r="D161" s="84"/>
      <c r="E161" s="84"/>
      <c r="F161" s="84"/>
      <c r="G161" s="84"/>
      <c r="H161" s="84"/>
      <c r="I161" s="84"/>
      <c r="J161" s="84"/>
      <c r="K161" s="84"/>
      <c r="L161" s="84"/>
      <c r="M161" s="84"/>
      <c r="N161" s="84"/>
      <c r="O161" s="84"/>
      <c r="P161" s="83"/>
    </row>
    <row r="162" spans="1:16">
      <c r="A162" s="82"/>
      <c r="B162" s="83"/>
      <c r="C162" s="83"/>
      <c r="D162" s="84"/>
      <c r="E162" s="84"/>
      <c r="F162" s="84"/>
      <c r="G162" s="84"/>
      <c r="H162" s="84"/>
      <c r="I162" s="84"/>
      <c r="J162" s="84"/>
      <c r="K162" s="84"/>
      <c r="L162" s="84"/>
      <c r="M162" s="84"/>
      <c r="N162" s="84"/>
      <c r="O162" s="84"/>
      <c r="P162" s="83"/>
    </row>
    <row r="163" spans="1:16">
      <c r="A163" s="82"/>
      <c r="B163" s="83"/>
      <c r="C163" s="83"/>
      <c r="D163" s="84"/>
      <c r="E163" s="84"/>
      <c r="F163" s="84"/>
      <c r="G163" s="84"/>
      <c r="H163" s="84"/>
      <c r="I163" s="84"/>
      <c r="J163" s="84"/>
      <c r="K163" s="84"/>
      <c r="L163" s="84"/>
      <c r="M163" s="84"/>
      <c r="N163" s="84"/>
      <c r="O163" s="84"/>
      <c r="P163" s="83"/>
    </row>
    <row r="164" spans="1:16">
      <c r="A164" s="82"/>
      <c r="B164" s="83"/>
      <c r="C164" s="83"/>
      <c r="D164" s="84"/>
      <c r="E164" s="84"/>
      <c r="F164" s="84"/>
      <c r="G164" s="84"/>
      <c r="H164" s="84"/>
      <c r="I164" s="84"/>
      <c r="J164" s="84"/>
      <c r="K164" s="84"/>
      <c r="L164" s="84"/>
      <c r="M164" s="84"/>
      <c r="N164" s="84"/>
      <c r="O164" s="84"/>
      <c r="P164" s="83"/>
    </row>
    <row r="165" spans="1:16">
      <c r="A165" s="82"/>
      <c r="B165" s="83"/>
      <c r="C165" s="83"/>
      <c r="D165" s="84"/>
      <c r="E165" s="84"/>
      <c r="F165" s="84"/>
      <c r="G165" s="84"/>
      <c r="H165" s="84"/>
      <c r="I165" s="84"/>
      <c r="J165" s="84"/>
      <c r="K165" s="84"/>
      <c r="L165" s="84"/>
      <c r="M165" s="84"/>
      <c r="N165" s="84"/>
      <c r="O165" s="84"/>
      <c r="P165" s="83"/>
    </row>
    <row r="166" spans="1:16">
      <c r="A166" s="82"/>
      <c r="B166" s="83"/>
      <c r="C166" s="83"/>
      <c r="D166" s="84"/>
      <c r="E166" s="84"/>
      <c r="F166" s="84"/>
      <c r="G166" s="84"/>
      <c r="H166" s="84"/>
      <c r="I166" s="84"/>
      <c r="J166" s="84"/>
      <c r="K166" s="84"/>
      <c r="L166" s="84"/>
      <c r="M166" s="84"/>
      <c r="N166" s="84"/>
      <c r="O166" s="84"/>
      <c r="P166" s="83"/>
    </row>
    <row r="167" spans="1:16">
      <c r="A167" s="82"/>
      <c r="B167" s="83"/>
      <c r="C167" s="83"/>
      <c r="D167" s="84"/>
      <c r="E167" s="84"/>
      <c r="F167" s="84"/>
      <c r="G167" s="84"/>
      <c r="H167" s="84"/>
      <c r="I167" s="84"/>
      <c r="J167" s="84"/>
      <c r="K167" s="84"/>
      <c r="L167" s="84"/>
      <c r="M167" s="84"/>
      <c r="N167" s="84"/>
      <c r="O167" s="84"/>
      <c r="P167" s="83"/>
    </row>
    <row r="168" spans="1:16">
      <c r="A168" s="82"/>
      <c r="B168" s="83"/>
      <c r="C168" s="83"/>
      <c r="D168" s="84"/>
      <c r="E168" s="84"/>
      <c r="F168" s="84"/>
      <c r="G168" s="84"/>
      <c r="H168" s="84"/>
      <c r="I168" s="84"/>
      <c r="J168" s="84"/>
      <c r="K168" s="84"/>
      <c r="L168" s="84"/>
      <c r="M168" s="84"/>
      <c r="N168" s="84"/>
      <c r="O168" s="84"/>
      <c r="P168" s="83"/>
    </row>
    <row r="169" spans="1:16">
      <c r="A169" s="82"/>
      <c r="B169" s="83"/>
      <c r="C169" s="83"/>
      <c r="D169" s="84"/>
      <c r="E169" s="84"/>
      <c r="F169" s="84"/>
      <c r="G169" s="84"/>
      <c r="H169" s="84"/>
      <c r="I169" s="84"/>
      <c r="J169" s="84"/>
      <c r="K169" s="84"/>
      <c r="L169" s="84"/>
      <c r="M169" s="84"/>
      <c r="N169" s="84"/>
      <c r="O169" s="84"/>
      <c r="P169" s="83"/>
    </row>
    <row r="170" spans="1:16">
      <c r="A170" s="82"/>
      <c r="B170" s="83"/>
      <c r="C170" s="83"/>
      <c r="D170" s="84"/>
      <c r="E170" s="84"/>
      <c r="F170" s="84"/>
      <c r="G170" s="84"/>
      <c r="H170" s="84"/>
      <c r="I170" s="84"/>
      <c r="J170" s="84"/>
      <c r="K170" s="84"/>
      <c r="L170" s="84"/>
      <c r="M170" s="84"/>
      <c r="N170" s="84"/>
      <c r="O170" s="84"/>
      <c r="P170" s="83"/>
    </row>
    <row r="171" spans="1:16">
      <c r="A171" s="82"/>
      <c r="B171" s="83"/>
      <c r="C171" s="83"/>
      <c r="D171" s="84"/>
      <c r="E171" s="84"/>
      <c r="F171" s="84"/>
      <c r="G171" s="84"/>
      <c r="H171" s="84"/>
      <c r="I171" s="84"/>
      <c r="J171" s="84"/>
      <c r="K171" s="84"/>
      <c r="L171" s="84"/>
      <c r="M171" s="84"/>
      <c r="N171" s="84"/>
      <c r="O171" s="84"/>
      <c r="P171" s="83"/>
    </row>
    <row r="172" spans="1:16">
      <c r="A172" s="82"/>
      <c r="B172" s="83"/>
      <c r="C172" s="83"/>
      <c r="D172" s="84"/>
      <c r="E172" s="84"/>
      <c r="F172" s="84"/>
      <c r="G172" s="84"/>
      <c r="H172" s="84"/>
      <c r="I172" s="84"/>
      <c r="J172" s="84"/>
      <c r="K172" s="84"/>
      <c r="L172" s="84"/>
      <c r="M172" s="84"/>
      <c r="N172" s="84"/>
      <c r="O172" s="84"/>
      <c r="P172" s="83"/>
    </row>
    <row r="173" spans="1:16">
      <c r="A173" s="82"/>
      <c r="B173" s="83"/>
      <c r="C173" s="83"/>
      <c r="D173" s="84"/>
      <c r="E173" s="84"/>
      <c r="F173" s="84"/>
      <c r="G173" s="84"/>
      <c r="H173" s="84"/>
      <c r="I173" s="84"/>
      <c r="J173" s="84"/>
      <c r="K173" s="84"/>
      <c r="L173" s="84"/>
      <c r="M173" s="84"/>
      <c r="N173" s="84"/>
      <c r="O173" s="84"/>
      <c r="P173" s="83"/>
    </row>
    <row r="174" spans="1:16">
      <c r="A174" s="82"/>
      <c r="B174" s="83"/>
      <c r="C174" s="83"/>
      <c r="D174" s="84"/>
      <c r="E174" s="84"/>
      <c r="F174" s="84"/>
      <c r="G174" s="84"/>
      <c r="H174" s="84"/>
      <c r="I174" s="84"/>
      <c r="J174" s="84"/>
      <c r="K174" s="84"/>
      <c r="L174" s="84"/>
      <c r="M174" s="84"/>
      <c r="N174" s="84"/>
      <c r="O174" s="84"/>
      <c r="P174" s="83"/>
    </row>
    <row r="175" spans="1:16">
      <c r="A175" s="82"/>
      <c r="B175" s="83"/>
      <c r="C175" s="83"/>
      <c r="D175" s="84"/>
      <c r="E175" s="84"/>
      <c r="F175" s="84"/>
      <c r="G175" s="84"/>
      <c r="H175" s="84"/>
      <c r="I175" s="84"/>
      <c r="J175" s="84"/>
      <c r="K175" s="84"/>
      <c r="L175" s="84"/>
      <c r="M175" s="84"/>
      <c r="N175" s="84"/>
      <c r="O175" s="84"/>
      <c r="P175" s="83"/>
    </row>
    <row r="176" spans="1:16">
      <c r="A176" s="82"/>
      <c r="B176" s="83"/>
      <c r="C176" s="83"/>
      <c r="D176" s="84"/>
      <c r="E176" s="84"/>
      <c r="F176" s="84"/>
      <c r="G176" s="84"/>
      <c r="H176" s="84"/>
      <c r="I176" s="84"/>
      <c r="J176" s="84"/>
      <c r="K176" s="84"/>
      <c r="L176" s="84"/>
      <c r="M176" s="84"/>
      <c r="N176" s="84"/>
      <c r="O176" s="84"/>
      <c r="P176" s="83"/>
    </row>
    <row r="177" spans="1:16">
      <c r="A177" s="82"/>
      <c r="B177" s="83"/>
      <c r="C177" s="83"/>
      <c r="D177" s="84"/>
      <c r="E177" s="84"/>
      <c r="F177" s="84"/>
      <c r="G177" s="84"/>
      <c r="H177" s="84"/>
      <c r="I177" s="84"/>
      <c r="J177" s="84"/>
      <c r="K177" s="84"/>
      <c r="L177" s="84"/>
      <c r="M177" s="84"/>
      <c r="N177" s="84"/>
      <c r="O177" s="84"/>
      <c r="P177" s="83"/>
    </row>
    <row r="178" spans="1:16">
      <c r="A178" s="82"/>
      <c r="B178" s="83"/>
      <c r="C178" s="83"/>
      <c r="D178" s="84"/>
      <c r="E178" s="84"/>
      <c r="F178" s="84"/>
      <c r="G178" s="84"/>
      <c r="H178" s="84"/>
      <c r="I178" s="84"/>
      <c r="J178" s="84"/>
      <c r="K178" s="84"/>
      <c r="L178" s="84"/>
      <c r="M178" s="84"/>
      <c r="N178" s="84"/>
      <c r="O178" s="84"/>
      <c r="P178" s="83"/>
    </row>
    <row r="179" spans="1:16">
      <c r="A179" s="82"/>
      <c r="B179" s="83"/>
      <c r="C179" s="83"/>
      <c r="D179" s="84"/>
      <c r="E179" s="84"/>
      <c r="F179" s="84"/>
      <c r="G179" s="84"/>
      <c r="H179" s="84"/>
      <c r="I179" s="84"/>
      <c r="J179" s="84"/>
      <c r="K179" s="84"/>
      <c r="L179" s="84"/>
      <c r="M179" s="84"/>
      <c r="N179" s="84"/>
      <c r="O179" s="84"/>
      <c r="P179" s="83"/>
    </row>
    <row r="180" spans="1:16">
      <c r="A180" s="82"/>
      <c r="B180" s="83"/>
      <c r="C180" s="83"/>
      <c r="D180" s="84"/>
      <c r="E180" s="84"/>
      <c r="F180" s="84"/>
      <c r="G180" s="84"/>
      <c r="H180" s="84"/>
      <c r="I180" s="84"/>
      <c r="J180" s="84"/>
      <c r="K180" s="84"/>
      <c r="L180" s="84"/>
      <c r="M180" s="84"/>
      <c r="N180" s="84"/>
      <c r="O180" s="84"/>
      <c r="P180" s="83"/>
    </row>
    <row r="181" spans="1:16">
      <c r="A181" s="82"/>
      <c r="B181" s="83"/>
      <c r="C181" s="83"/>
      <c r="D181" s="84"/>
      <c r="E181" s="84"/>
      <c r="F181" s="84"/>
      <c r="G181" s="84"/>
      <c r="H181" s="84"/>
      <c r="I181" s="84"/>
      <c r="J181" s="84"/>
      <c r="K181" s="84"/>
      <c r="L181" s="84"/>
      <c r="M181" s="84"/>
      <c r="N181" s="84"/>
      <c r="O181" s="84"/>
      <c r="P181" s="83"/>
    </row>
    <row r="182" spans="1:16">
      <c r="A182" s="82"/>
      <c r="B182" s="83"/>
      <c r="C182" s="83"/>
      <c r="D182" s="84"/>
      <c r="E182" s="84"/>
      <c r="F182" s="84"/>
      <c r="G182" s="84"/>
      <c r="H182" s="84"/>
      <c r="I182" s="84"/>
      <c r="J182" s="84"/>
      <c r="K182" s="84"/>
      <c r="L182" s="84"/>
      <c r="M182" s="84"/>
      <c r="N182" s="84"/>
      <c r="O182" s="84"/>
      <c r="P182" s="83"/>
    </row>
    <row r="183" spans="1:16">
      <c r="A183" s="82"/>
      <c r="B183" s="83"/>
      <c r="C183" s="83"/>
      <c r="D183" s="84"/>
      <c r="E183" s="84"/>
      <c r="F183" s="84"/>
      <c r="G183" s="84"/>
      <c r="H183" s="84"/>
      <c r="I183" s="84"/>
      <c r="J183" s="84"/>
      <c r="K183" s="84"/>
      <c r="L183" s="84"/>
      <c r="M183" s="84"/>
      <c r="N183" s="84"/>
      <c r="O183" s="84"/>
      <c r="P183" s="83"/>
    </row>
    <row r="184" spans="1:16">
      <c r="A184" s="82"/>
      <c r="B184" s="83"/>
      <c r="C184" s="83"/>
      <c r="D184" s="84"/>
      <c r="E184" s="84"/>
      <c r="F184" s="84"/>
      <c r="G184" s="84"/>
      <c r="H184" s="84"/>
      <c r="I184" s="84"/>
      <c r="J184" s="84"/>
      <c r="K184" s="84"/>
      <c r="L184" s="84"/>
      <c r="M184" s="84"/>
      <c r="N184" s="84"/>
      <c r="O184" s="84"/>
      <c r="P184" s="83"/>
    </row>
    <row r="185" spans="1:16">
      <c r="A185" s="82"/>
      <c r="B185" s="83"/>
      <c r="C185" s="83"/>
      <c r="D185" s="84"/>
      <c r="E185" s="84"/>
      <c r="F185" s="84"/>
      <c r="G185" s="84"/>
      <c r="H185" s="84"/>
      <c r="I185" s="84"/>
      <c r="J185" s="84"/>
      <c r="K185" s="84"/>
      <c r="L185" s="84"/>
      <c r="M185" s="84"/>
      <c r="N185" s="84"/>
      <c r="O185" s="84"/>
      <c r="P185" s="83"/>
    </row>
    <row r="186" spans="1:16">
      <c r="A186" s="82"/>
      <c r="B186" s="83"/>
      <c r="C186" s="83"/>
      <c r="D186" s="84"/>
      <c r="E186" s="84"/>
      <c r="F186" s="84"/>
      <c r="G186" s="84"/>
      <c r="H186" s="84"/>
      <c r="I186" s="84"/>
      <c r="J186" s="84"/>
      <c r="K186" s="84"/>
      <c r="L186" s="84"/>
      <c r="M186" s="84"/>
      <c r="N186" s="84"/>
      <c r="O186" s="84"/>
      <c r="P186" s="83"/>
    </row>
    <row r="187" spans="1:16">
      <c r="A187" s="82"/>
      <c r="B187" s="83"/>
      <c r="C187" s="83"/>
      <c r="D187" s="84"/>
      <c r="E187" s="84"/>
      <c r="F187" s="84"/>
      <c r="G187" s="84"/>
      <c r="H187" s="84"/>
      <c r="I187" s="84"/>
      <c r="J187" s="84"/>
      <c r="K187" s="84"/>
      <c r="L187" s="84"/>
      <c r="M187" s="84"/>
      <c r="N187" s="84"/>
      <c r="O187" s="84"/>
      <c r="P187" s="83"/>
    </row>
    <row r="188" spans="1:16">
      <c r="A188" s="82"/>
      <c r="B188" s="83"/>
      <c r="C188" s="83"/>
      <c r="D188" s="84"/>
      <c r="E188" s="84"/>
      <c r="F188" s="84"/>
      <c r="G188" s="84"/>
      <c r="H188" s="84"/>
      <c r="I188" s="84"/>
      <c r="J188" s="84"/>
      <c r="K188" s="84"/>
      <c r="L188" s="84"/>
      <c r="M188" s="84"/>
      <c r="N188" s="84"/>
      <c r="O188" s="84"/>
      <c r="P188" s="83"/>
    </row>
    <row r="189" spans="1:16">
      <c r="A189" s="82"/>
      <c r="B189" s="83"/>
      <c r="C189" s="83"/>
      <c r="D189" s="84"/>
      <c r="E189" s="84"/>
      <c r="F189" s="84"/>
      <c r="G189" s="84"/>
      <c r="H189" s="84"/>
      <c r="I189" s="84"/>
      <c r="J189" s="84"/>
      <c r="K189" s="84"/>
      <c r="L189" s="84"/>
      <c r="M189" s="84"/>
      <c r="N189" s="84"/>
      <c r="O189" s="84"/>
      <c r="P189" s="83"/>
    </row>
    <row r="190" spans="1:16">
      <c r="A190" s="82"/>
      <c r="B190" s="83"/>
      <c r="C190" s="83"/>
      <c r="D190" s="84"/>
      <c r="E190" s="84"/>
      <c r="F190" s="84"/>
      <c r="G190" s="84"/>
      <c r="H190" s="84"/>
      <c r="I190" s="84"/>
      <c r="J190" s="84"/>
      <c r="K190" s="84"/>
      <c r="L190" s="84"/>
      <c r="M190" s="84"/>
      <c r="N190" s="84"/>
      <c r="O190" s="84"/>
      <c r="P190" s="83"/>
    </row>
    <row r="191" spans="1:16">
      <c r="A191" s="82"/>
      <c r="B191" s="83"/>
      <c r="C191" s="83"/>
      <c r="D191" s="84"/>
      <c r="E191" s="84"/>
      <c r="F191" s="84"/>
      <c r="G191" s="84"/>
      <c r="H191" s="84"/>
      <c r="I191" s="84"/>
      <c r="J191" s="84"/>
      <c r="K191" s="84"/>
      <c r="L191" s="84"/>
      <c r="M191" s="84"/>
      <c r="N191" s="84"/>
      <c r="O191" s="84"/>
      <c r="P191" s="83"/>
    </row>
    <row r="192" spans="1:16">
      <c r="A192" s="82"/>
      <c r="B192" s="83"/>
      <c r="C192" s="83"/>
      <c r="D192" s="84"/>
      <c r="E192" s="84"/>
      <c r="F192" s="84"/>
      <c r="G192" s="84"/>
      <c r="H192" s="84"/>
      <c r="I192" s="84"/>
      <c r="J192" s="84"/>
      <c r="K192" s="84"/>
      <c r="L192" s="84"/>
      <c r="M192" s="84"/>
      <c r="N192" s="84"/>
      <c r="O192" s="84"/>
      <c r="P192" s="83"/>
    </row>
    <row r="193" spans="1:16">
      <c r="A193" s="82"/>
      <c r="B193" s="83"/>
      <c r="C193" s="83"/>
      <c r="D193" s="84"/>
      <c r="E193" s="84"/>
      <c r="F193" s="84"/>
      <c r="G193" s="84"/>
      <c r="H193" s="84"/>
      <c r="I193" s="84"/>
      <c r="J193" s="84"/>
      <c r="K193" s="84"/>
      <c r="L193" s="84"/>
      <c r="M193" s="84"/>
      <c r="N193" s="84"/>
      <c r="O193" s="84"/>
      <c r="P193" s="83"/>
    </row>
    <row r="194" spans="1:16">
      <c r="A194" s="82"/>
      <c r="B194" s="83"/>
      <c r="C194" s="83"/>
      <c r="D194" s="84"/>
      <c r="E194" s="84"/>
      <c r="F194" s="84"/>
      <c r="G194" s="84"/>
      <c r="H194" s="84"/>
      <c r="I194" s="84"/>
      <c r="J194" s="84"/>
      <c r="K194" s="84"/>
      <c r="L194" s="84"/>
      <c r="M194" s="84"/>
      <c r="N194" s="84"/>
      <c r="O194" s="84"/>
      <c r="P194" s="83"/>
    </row>
    <row r="195" spans="1:16">
      <c r="A195" s="82"/>
      <c r="B195" s="83"/>
      <c r="C195" s="83"/>
      <c r="D195" s="84"/>
      <c r="E195" s="84"/>
      <c r="F195" s="84"/>
      <c r="G195" s="84"/>
      <c r="H195" s="84"/>
      <c r="I195" s="84"/>
      <c r="J195" s="84"/>
      <c r="K195" s="84"/>
      <c r="L195" s="84"/>
      <c r="M195" s="84"/>
      <c r="N195" s="84"/>
      <c r="O195" s="84"/>
      <c r="P195" s="83"/>
    </row>
    <row r="196" spans="1:16">
      <c r="A196" s="82"/>
      <c r="B196" s="83"/>
      <c r="C196" s="83"/>
      <c r="D196" s="84"/>
      <c r="E196" s="84"/>
      <c r="F196" s="84"/>
      <c r="G196" s="84"/>
      <c r="H196" s="84"/>
      <c r="I196" s="84"/>
      <c r="J196" s="84"/>
      <c r="K196" s="84"/>
      <c r="L196" s="84"/>
      <c r="M196" s="84"/>
      <c r="N196" s="84"/>
      <c r="O196" s="84"/>
      <c r="P196" s="83"/>
    </row>
    <row r="197" spans="1:16">
      <c r="A197" s="82"/>
      <c r="B197" s="83"/>
      <c r="C197" s="83"/>
      <c r="D197" s="84"/>
      <c r="E197" s="84"/>
      <c r="F197" s="84"/>
      <c r="G197" s="84"/>
      <c r="H197" s="84"/>
      <c r="I197" s="84"/>
      <c r="J197" s="84"/>
      <c r="K197" s="84"/>
      <c r="L197" s="84"/>
      <c r="M197" s="84"/>
      <c r="N197" s="84"/>
      <c r="O197" s="84"/>
      <c r="P197" s="83"/>
    </row>
    <row r="198" spans="1:16">
      <c r="A198" s="82"/>
      <c r="B198" s="83"/>
      <c r="C198" s="83"/>
      <c r="D198" s="84"/>
      <c r="E198" s="84"/>
      <c r="F198" s="84"/>
      <c r="G198" s="84"/>
      <c r="H198" s="84"/>
      <c r="I198" s="84"/>
      <c r="J198" s="84"/>
      <c r="K198" s="84"/>
      <c r="L198" s="84"/>
      <c r="M198" s="84"/>
      <c r="N198" s="84"/>
      <c r="O198" s="84"/>
      <c r="P198" s="83"/>
    </row>
    <row r="199" spans="1:16">
      <c r="A199" s="82"/>
      <c r="B199" s="83"/>
      <c r="C199" s="83"/>
      <c r="D199" s="84"/>
      <c r="E199" s="84"/>
      <c r="F199" s="84"/>
      <c r="G199" s="84"/>
      <c r="H199" s="84"/>
      <c r="I199" s="84"/>
      <c r="J199" s="84"/>
      <c r="K199" s="84"/>
      <c r="L199" s="84"/>
      <c r="M199" s="84"/>
      <c r="N199" s="84"/>
      <c r="O199" s="84"/>
      <c r="P199" s="83"/>
    </row>
    <row r="200" spans="1:16">
      <c r="A200" s="82"/>
      <c r="B200" s="83"/>
      <c r="C200" s="83"/>
      <c r="D200" s="84"/>
      <c r="E200" s="84"/>
      <c r="F200" s="84"/>
      <c r="G200" s="84"/>
      <c r="H200" s="84"/>
      <c r="I200" s="84"/>
      <c r="J200" s="84"/>
      <c r="K200" s="84"/>
      <c r="L200" s="84"/>
      <c r="M200" s="84"/>
      <c r="N200" s="84"/>
      <c r="O200" s="84"/>
      <c r="P200" s="83"/>
    </row>
    <row r="201" spans="1:16">
      <c r="A201" s="82"/>
      <c r="B201" s="83"/>
      <c r="C201" s="83"/>
      <c r="D201" s="84"/>
      <c r="E201" s="84"/>
      <c r="F201" s="84"/>
      <c r="G201" s="84"/>
      <c r="H201" s="84"/>
      <c r="I201" s="84"/>
      <c r="J201" s="84"/>
      <c r="K201" s="84"/>
      <c r="L201" s="84"/>
      <c r="M201" s="84"/>
      <c r="N201" s="84"/>
      <c r="O201" s="84"/>
      <c r="P201" s="83"/>
    </row>
    <row r="202" spans="1:16">
      <c r="A202" s="82"/>
      <c r="B202" s="83"/>
      <c r="C202" s="83"/>
      <c r="D202" s="84"/>
      <c r="E202" s="84"/>
      <c r="F202" s="84"/>
      <c r="G202" s="84"/>
      <c r="H202" s="84"/>
      <c r="I202" s="84"/>
      <c r="J202" s="84"/>
      <c r="K202" s="84"/>
      <c r="L202" s="84"/>
      <c r="M202" s="84"/>
      <c r="N202" s="84"/>
      <c r="O202" s="84"/>
      <c r="P202" s="83"/>
    </row>
    <row r="203" spans="1:16">
      <c r="A203" s="82"/>
      <c r="B203" s="83"/>
      <c r="C203" s="83"/>
      <c r="D203" s="84"/>
      <c r="E203" s="84"/>
      <c r="F203" s="84"/>
      <c r="G203" s="84"/>
      <c r="H203" s="84"/>
      <c r="I203" s="84"/>
      <c r="J203" s="84"/>
      <c r="K203" s="84"/>
      <c r="L203" s="84"/>
      <c r="M203" s="84"/>
      <c r="N203" s="84"/>
      <c r="O203" s="84"/>
      <c r="P203" s="83"/>
    </row>
    <row r="204" spans="1:16">
      <c r="A204" s="82"/>
      <c r="B204" s="83"/>
      <c r="C204" s="83"/>
      <c r="D204" s="84"/>
      <c r="E204" s="84"/>
      <c r="F204" s="84"/>
      <c r="G204" s="84"/>
      <c r="H204" s="84"/>
      <c r="I204" s="84"/>
      <c r="J204" s="84"/>
      <c r="K204" s="84"/>
      <c r="L204" s="84"/>
      <c r="M204" s="84"/>
      <c r="N204" s="84"/>
      <c r="O204" s="84"/>
      <c r="P204" s="83"/>
    </row>
    <row r="205" spans="1:16">
      <c r="A205" s="82"/>
      <c r="B205" s="83"/>
      <c r="C205" s="83"/>
      <c r="D205" s="84"/>
      <c r="E205" s="84"/>
      <c r="F205" s="84"/>
      <c r="G205" s="84"/>
      <c r="H205" s="84"/>
      <c r="I205" s="84"/>
      <c r="J205" s="84"/>
      <c r="K205" s="84"/>
      <c r="L205" s="84"/>
      <c r="M205" s="84"/>
      <c r="N205" s="84"/>
      <c r="O205" s="84"/>
      <c r="P205" s="83"/>
    </row>
    <row r="206" spans="1:16">
      <c r="A206" s="82"/>
      <c r="B206" s="83"/>
      <c r="C206" s="83"/>
      <c r="D206" s="84"/>
      <c r="E206" s="84"/>
      <c r="F206" s="84"/>
      <c r="G206" s="84"/>
      <c r="H206" s="84"/>
      <c r="I206" s="84"/>
      <c r="J206" s="84"/>
      <c r="K206" s="84"/>
      <c r="L206" s="84"/>
      <c r="M206" s="84"/>
      <c r="N206" s="84"/>
      <c r="O206" s="84"/>
      <c r="P206" s="83"/>
    </row>
    <row r="207" spans="1:16">
      <c r="A207" s="82"/>
      <c r="B207" s="83"/>
      <c r="C207" s="83"/>
      <c r="D207" s="84"/>
      <c r="E207" s="84"/>
      <c r="F207" s="84"/>
      <c r="G207" s="84"/>
      <c r="H207" s="84"/>
      <c r="I207" s="84"/>
      <c r="J207" s="84"/>
      <c r="K207" s="84"/>
      <c r="L207" s="84"/>
      <c r="M207" s="84"/>
      <c r="N207" s="84"/>
      <c r="O207" s="84"/>
      <c r="P207" s="83"/>
    </row>
    <row r="208" spans="1:16">
      <c r="A208" s="82"/>
      <c r="B208" s="83"/>
      <c r="C208" s="83"/>
      <c r="D208" s="84"/>
      <c r="E208" s="84"/>
      <c r="F208" s="84"/>
      <c r="G208" s="84"/>
      <c r="H208" s="84"/>
      <c r="I208" s="84"/>
      <c r="J208" s="84"/>
      <c r="K208" s="84"/>
      <c r="L208" s="84"/>
      <c r="M208" s="84"/>
      <c r="N208" s="84"/>
      <c r="O208" s="84"/>
      <c r="P208" s="83"/>
    </row>
    <row r="209" spans="1:16">
      <c r="A209" s="82"/>
      <c r="B209" s="83"/>
      <c r="C209" s="83"/>
      <c r="D209" s="84"/>
      <c r="E209" s="84"/>
      <c r="F209" s="84"/>
      <c r="G209" s="84"/>
      <c r="H209" s="84"/>
      <c r="I209" s="84"/>
      <c r="J209" s="84"/>
      <c r="K209" s="84"/>
      <c r="L209" s="84"/>
      <c r="M209" s="84"/>
      <c r="N209" s="84"/>
      <c r="O209" s="84"/>
      <c r="P209" s="83"/>
    </row>
    <row r="210" spans="1:16">
      <c r="A210" s="82"/>
      <c r="B210" s="83"/>
      <c r="C210" s="83"/>
      <c r="D210" s="84"/>
      <c r="E210" s="84"/>
      <c r="F210" s="84"/>
      <c r="G210" s="84"/>
      <c r="H210" s="84"/>
      <c r="I210" s="84"/>
      <c r="J210" s="84"/>
      <c r="K210" s="84"/>
      <c r="L210" s="84"/>
      <c r="M210" s="84"/>
      <c r="N210" s="84"/>
      <c r="O210" s="84"/>
      <c r="P210" s="83"/>
    </row>
    <row r="211" spans="1:16">
      <c r="A211" s="82"/>
      <c r="B211" s="83"/>
      <c r="C211" s="83"/>
      <c r="D211" s="84"/>
      <c r="E211" s="84"/>
      <c r="F211" s="84"/>
      <c r="G211" s="84"/>
      <c r="H211" s="84"/>
      <c r="I211" s="84"/>
      <c r="J211" s="84"/>
      <c r="K211" s="84"/>
      <c r="L211" s="84"/>
      <c r="M211" s="84"/>
      <c r="N211" s="84"/>
      <c r="O211" s="84"/>
      <c r="P211" s="83"/>
    </row>
    <row r="212" spans="1:16">
      <c r="A212" s="82"/>
      <c r="B212" s="83"/>
      <c r="C212" s="83"/>
      <c r="D212" s="84"/>
      <c r="E212" s="84"/>
      <c r="F212" s="84"/>
      <c r="G212" s="84"/>
      <c r="H212" s="84"/>
      <c r="I212" s="84"/>
      <c r="J212" s="84"/>
      <c r="K212" s="84"/>
      <c r="L212" s="84"/>
      <c r="M212" s="84"/>
      <c r="N212" s="84"/>
      <c r="O212" s="84"/>
      <c r="P212" s="83"/>
    </row>
    <row r="213" spans="1:16">
      <c r="A213" s="82"/>
      <c r="B213" s="83"/>
      <c r="C213" s="83"/>
      <c r="D213" s="84"/>
      <c r="E213" s="84"/>
      <c r="F213" s="84"/>
      <c r="G213" s="84"/>
      <c r="H213" s="84"/>
      <c r="I213" s="84"/>
      <c r="J213" s="84"/>
      <c r="K213" s="84"/>
      <c r="L213" s="84"/>
      <c r="M213" s="84"/>
      <c r="N213" s="84"/>
      <c r="O213" s="84"/>
      <c r="P213" s="83"/>
    </row>
    <row r="214" spans="1:16">
      <c r="A214" s="82"/>
      <c r="B214" s="83"/>
      <c r="C214" s="83"/>
      <c r="D214" s="84"/>
      <c r="E214" s="84"/>
      <c r="F214" s="84"/>
      <c r="G214" s="84"/>
      <c r="H214" s="84"/>
      <c r="I214" s="84"/>
      <c r="J214" s="84"/>
      <c r="K214" s="84"/>
      <c r="L214" s="84"/>
      <c r="M214" s="84"/>
      <c r="N214" s="84"/>
      <c r="O214" s="84"/>
      <c r="P214" s="83"/>
    </row>
    <row r="215" spans="1:16">
      <c r="A215" s="82"/>
      <c r="B215" s="83"/>
      <c r="C215" s="83"/>
      <c r="D215" s="84"/>
      <c r="E215" s="84"/>
      <c r="F215" s="84"/>
      <c r="G215" s="84"/>
      <c r="H215" s="84"/>
      <c r="I215" s="84"/>
      <c r="J215" s="84"/>
      <c r="K215" s="84"/>
      <c r="L215" s="84"/>
      <c r="M215" s="84"/>
      <c r="N215" s="84"/>
      <c r="O215" s="84"/>
      <c r="P215" s="83"/>
    </row>
    <row r="216" spans="1:16">
      <c r="A216" s="82"/>
      <c r="B216" s="83"/>
      <c r="C216" s="83"/>
      <c r="D216" s="84"/>
      <c r="E216" s="84"/>
      <c r="F216" s="84"/>
      <c r="G216" s="84"/>
      <c r="H216" s="84"/>
      <c r="I216" s="84"/>
      <c r="J216" s="84"/>
      <c r="K216" s="84"/>
      <c r="L216" s="84"/>
      <c r="M216" s="84"/>
      <c r="N216" s="84"/>
      <c r="O216" s="84"/>
      <c r="P216" s="83"/>
    </row>
    <row r="217" spans="1:16">
      <c r="A217" s="82"/>
      <c r="B217" s="83"/>
      <c r="C217" s="83"/>
      <c r="D217" s="84"/>
      <c r="E217" s="84"/>
      <c r="F217" s="84"/>
      <c r="G217" s="84"/>
      <c r="H217" s="84"/>
      <c r="I217" s="84"/>
      <c r="J217" s="84"/>
      <c r="K217" s="84"/>
      <c r="L217" s="84"/>
      <c r="M217" s="84"/>
      <c r="N217" s="84"/>
      <c r="O217" s="84"/>
      <c r="P217" s="83"/>
    </row>
    <row r="218" spans="1:16">
      <c r="A218" s="82"/>
      <c r="B218" s="83"/>
      <c r="C218" s="83"/>
      <c r="D218" s="84"/>
      <c r="E218" s="84"/>
      <c r="F218" s="84"/>
      <c r="G218" s="84"/>
      <c r="H218" s="84"/>
      <c r="I218" s="84"/>
      <c r="J218" s="84"/>
      <c r="K218" s="84"/>
      <c r="L218" s="84"/>
      <c r="M218" s="84"/>
      <c r="N218" s="84"/>
      <c r="O218" s="84"/>
      <c r="P218" s="83"/>
    </row>
    <row r="219" spans="1:16">
      <c r="A219" s="82"/>
      <c r="B219" s="83"/>
      <c r="C219" s="83"/>
      <c r="D219" s="84"/>
      <c r="E219" s="84"/>
      <c r="F219" s="84"/>
      <c r="G219" s="84"/>
      <c r="H219" s="84"/>
      <c r="I219" s="84"/>
      <c r="J219" s="84"/>
      <c r="K219" s="84"/>
      <c r="L219" s="84"/>
      <c r="M219" s="84"/>
      <c r="N219" s="84"/>
      <c r="O219" s="84"/>
      <c r="P219" s="83"/>
    </row>
    <row r="220" spans="1:16">
      <c r="A220" s="82"/>
      <c r="B220" s="83"/>
      <c r="C220" s="83"/>
      <c r="D220" s="84"/>
      <c r="E220" s="84"/>
      <c r="F220" s="84"/>
      <c r="G220" s="84"/>
      <c r="H220" s="84"/>
      <c r="I220" s="84"/>
      <c r="J220" s="84"/>
      <c r="K220" s="84"/>
      <c r="L220" s="84"/>
      <c r="M220" s="84"/>
      <c r="N220" s="84"/>
      <c r="O220" s="84"/>
      <c r="P220" s="83"/>
    </row>
    <row r="221" spans="1:16">
      <c r="A221" s="82"/>
      <c r="B221" s="83"/>
      <c r="C221" s="83"/>
      <c r="D221" s="84"/>
      <c r="E221" s="84"/>
      <c r="F221" s="84"/>
      <c r="G221" s="84"/>
      <c r="H221" s="84"/>
      <c r="I221" s="84"/>
      <c r="J221" s="84"/>
      <c r="K221" s="84"/>
      <c r="L221" s="84"/>
      <c r="M221" s="84"/>
      <c r="N221" s="84"/>
      <c r="O221" s="84"/>
      <c r="P221" s="83"/>
    </row>
    <row r="222" spans="1:16">
      <c r="A222" s="82"/>
      <c r="B222" s="83"/>
      <c r="C222" s="83"/>
      <c r="D222" s="84"/>
      <c r="E222" s="84"/>
      <c r="F222" s="84"/>
      <c r="G222" s="84"/>
      <c r="H222" s="84"/>
      <c r="I222" s="84"/>
      <c r="J222" s="84"/>
      <c r="K222" s="84"/>
      <c r="L222" s="84"/>
      <c r="M222" s="84"/>
      <c r="N222" s="84"/>
      <c r="O222" s="84"/>
      <c r="P222" s="83"/>
    </row>
    <row r="223" spans="1:16">
      <c r="A223" s="82"/>
      <c r="B223" s="83"/>
      <c r="C223" s="83"/>
      <c r="D223" s="84"/>
      <c r="E223" s="84"/>
      <c r="F223" s="84"/>
      <c r="G223" s="84"/>
      <c r="H223" s="84"/>
      <c r="I223" s="84"/>
      <c r="J223" s="84"/>
      <c r="K223" s="84"/>
      <c r="L223" s="84"/>
      <c r="M223" s="84"/>
      <c r="N223" s="84"/>
      <c r="O223" s="84"/>
      <c r="P223" s="83"/>
    </row>
    <row r="224" spans="1:16">
      <c r="A224" s="82"/>
      <c r="B224" s="83"/>
      <c r="C224" s="83"/>
      <c r="D224" s="84"/>
      <c r="E224" s="84"/>
      <c r="F224" s="84"/>
      <c r="G224" s="84"/>
      <c r="H224" s="84"/>
      <c r="I224" s="84"/>
      <c r="J224" s="84"/>
      <c r="K224" s="84"/>
      <c r="L224" s="84"/>
      <c r="M224" s="84"/>
      <c r="N224" s="84"/>
      <c r="O224" s="84"/>
      <c r="P224" s="83"/>
    </row>
    <row r="225" spans="1:16">
      <c r="A225" s="82"/>
      <c r="B225" s="83"/>
      <c r="C225" s="83"/>
      <c r="D225" s="84"/>
      <c r="E225" s="84"/>
      <c r="F225" s="84"/>
      <c r="G225" s="84"/>
      <c r="H225" s="84"/>
      <c r="I225" s="84"/>
      <c r="J225" s="84"/>
      <c r="K225" s="84"/>
      <c r="L225" s="84"/>
      <c r="M225" s="84"/>
      <c r="N225" s="84"/>
      <c r="O225" s="84"/>
      <c r="P225" s="83"/>
    </row>
    <row r="226" spans="1:16">
      <c r="A226" s="82"/>
      <c r="B226" s="83"/>
      <c r="C226" s="83"/>
      <c r="D226" s="84"/>
      <c r="E226" s="84"/>
      <c r="F226" s="84"/>
      <c r="G226" s="84"/>
      <c r="H226" s="84"/>
      <c r="I226" s="84"/>
      <c r="J226" s="84"/>
      <c r="K226" s="84"/>
      <c r="L226" s="84"/>
      <c r="M226" s="84"/>
      <c r="N226" s="84"/>
      <c r="O226" s="84"/>
      <c r="P226" s="83"/>
    </row>
    <row r="227" spans="1:16">
      <c r="A227" s="82"/>
      <c r="B227" s="83"/>
      <c r="C227" s="83"/>
      <c r="D227" s="84"/>
      <c r="E227" s="84"/>
      <c r="F227" s="84"/>
      <c r="G227" s="84"/>
      <c r="H227" s="84"/>
      <c r="I227" s="84"/>
      <c r="J227" s="84"/>
      <c r="K227" s="84"/>
      <c r="L227" s="84"/>
      <c r="M227" s="84"/>
      <c r="N227" s="84"/>
      <c r="O227" s="84"/>
      <c r="P227" s="83"/>
    </row>
    <row r="228" spans="1:16">
      <c r="A228" s="82"/>
      <c r="B228" s="83"/>
      <c r="C228" s="83"/>
      <c r="D228" s="84"/>
      <c r="E228" s="84"/>
      <c r="F228" s="84"/>
      <c r="G228" s="84"/>
      <c r="H228" s="84"/>
      <c r="I228" s="84"/>
      <c r="J228" s="84"/>
      <c r="K228" s="84"/>
      <c r="L228" s="84"/>
      <c r="M228" s="84"/>
      <c r="N228" s="84"/>
      <c r="O228" s="84"/>
      <c r="P228" s="83"/>
    </row>
    <row r="229" spans="1:16">
      <c r="A229" s="82"/>
      <c r="B229" s="83"/>
      <c r="C229" s="83"/>
      <c r="D229" s="84"/>
      <c r="E229" s="84"/>
      <c r="F229" s="84"/>
      <c r="G229" s="84"/>
      <c r="H229" s="84"/>
      <c r="I229" s="84"/>
      <c r="J229" s="84"/>
      <c r="K229" s="84"/>
      <c r="L229" s="84"/>
      <c r="M229" s="84"/>
      <c r="N229" s="84"/>
      <c r="O229" s="84"/>
      <c r="P229" s="83"/>
    </row>
    <row r="230" spans="1:16">
      <c r="A230" s="82"/>
      <c r="B230" s="83"/>
      <c r="C230" s="83"/>
      <c r="D230" s="84"/>
      <c r="E230" s="84"/>
      <c r="F230" s="84"/>
      <c r="G230" s="84"/>
      <c r="H230" s="84"/>
      <c r="I230" s="84"/>
      <c r="J230" s="84"/>
      <c r="K230" s="84"/>
      <c r="L230" s="84"/>
      <c r="M230" s="84"/>
      <c r="N230" s="84"/>
      <c r="O230" s="84"/>
      <c r="P230" s="83"/>
    </row>
    <row r="231" spans="1:16">
      <c r="A231" s="82"/>
      <c r="B231" s="83"/>
      <c r="C231" s="83"/>
      <c r="D231" s="84"/>
      <c r="E231" s="84"/>
      <c r="F231" s="84"/>
      <c r="G231" s="84"/>
      <c r="H231" s="84"/>
      <c r="I231" s="84"/>
      <c r="J231" s="84"/>
      <c r="K231" s="84"/>
      <c r="L231" s="84"/>
      <c r="M231" s="84"/>
      <c r="N231" s="84"/>
      <c r="O231" s="84"/>
      <c r="P231" s="83"/>
    </row>
    <row r="232" spans="1:16">
      <c r="A232" s="82"/>
      <c r="B232" s="83"/>
      <c r="C232" s="83"/>
      <c r="D232" s="84"/>
      <c r="E232" s="84"/>
      <c r="F232" s="84"/>
      <c r="G232" s="84"/>
      <c r="H232" s="84"/>
      <c r="I232" s="84"/>
      <c r="J232" s="84"/>
      <c r="K232" s="84"/>
      <c r="L232" s="84"/>
      <c r="M232" s="84"/>
      <c r="N232" s="84"/>
      <c r="O232" s="84"/>
      <c r="P232" s="83"/>
    </row>
    <row r="233" spans="1:16">
      <c r="A233" s="82"/>
      <c r="B233" s="83"/>
      <c r="C233" s="83"/>
      <c r="D233" s="84"/>
      <c r="E233" s="84"/>
      <c r="F233" s="84"/>
      <c r="G233" s="84"/>
      <c r="H233" s="84"/>
      <c r="I233" s="84"/>
      <c r="J233" s="84"/>
      <c r="K233" s="84"/>
      <c r="L233" s="84"/>
      <c r="M233" s="84"/>
      <c r="N233" s="84"/>
      <c r="O233" s="84"/>
      <c r="P233" s="83"/>
    </row>
    <row r="234" spans="1:16">
      <c r="A234" s="82"/>
      <c r="B234" s="83"/>
      <c r="C234" s="83"/>
      <c r="D234" s="84"/>
      <c r="E234" s="84"/>
      <c r="F234" s="84"/>
      <c r="G234" s="84"/>
      <c r="H234" s="84"/>
      <c r="I234" s="84"/>
      <c r="J234" s="84"/>
      <c r="K234" s="84"/>
      <c r="L234" s="84"/>
      <c r="M234" s="84"/>
      <c r="N234" s="84"/>
      <c r="O234" s="84"/>
      <c r="P234" s="83"/>
    </row>
    <row r="235" spans="1:16">
      <c r="A235" s="82"/>
      <c r="B235" s="83"/>
      <c r="C235" s="83"/>
      <c r="D235" s="84"/>
      <c r="E235" s="84"/>
      <c r="F235" s="84"/>
      <c r="G235" s="84"/>
      <c r="H235" s="84"/>
      <c r="I235" s="84"/>
      <c r="J235" s="84"/>
      <c r="K235" s="84"/>
      <c r="L235" s="84"/>
      <c r="M235" s="84"/>
      <c r="N235" s="84"/>
      <c r="O235" s="84"/>
      <c r="P235" s="83"/>
    </row>
    <row r="236" spans="1:16">
      <c r="A236" s="82"/>
      <c r="B236" s="83"/>
      <c r="C236" s="83"/>
      <c r="D236" s="84"/>
      <c r="E236" s="84"/>
      <c r="F236" s="84"/>
      <c r="G236" s="84"/>
      <c r="H236" s="84"/>
      <c r="I236" s="84"/>
      <c r="J236" s="84"/>
      <c r="K236" s="84"/>
      <c r="L236" s="84"/>
      <c r="M236" s="84"/>
      <c r="N236" s="84"/>
      <c r="O236" s="84"/>
      <c r="P236" s="83"/>
    </row>
    <row r="237" spans="1:16">
      <c r="A237" s="82"/>
      <c r="B237" s="83"/>
      <c r="C237" s="83"/>
      <c r="D237" s="84"/>
      <c r="E237" s="84"/>
      <c r="F237" s="84"/>
      <c r="G237" s="84"/>
      <c r="H237" s="84"/>
      <c r="I237" s="84"/>
      <c r="J237" s="84"/>
      <c r="K237" s="84"/>
      <c r="L237" s="84"/>
      <c r="M237" s="84"/>
      <c r="N237" s="84"/>
      <c r="O237" s="84"/>
      <c r="P237" s="83"/>
    </row>
    <row r="238" spans="1:16">
      <c r="A238" s="82"/>
      <c r="B238" s="83"/>
      <c r="C238" s="83"/>
      <c r="D238" s="84"/>
      <c r="E238" s="84"/>
      <c r="F238" s="84"/>
      <c r="G238" s="84"/>
      <c r="H238" s="84"/>
      <c r="I238" s="84"/>
      <c r="J238" s="84"/>
      <c r="K238" s="84"/>
      <c r="L238" s="84"/>
      <c r="M238" s="84"/>
      <c r="N238" s="84"/>
      <c r="O238" s="84"/>
      <c r="P238" s="83"/>
    </row>
    <row r="239" spans="1:16">
      <c r="A239" s="82"/>
      <c r="B239" s="83"/>
      <c r="C239" s="83"/>
      <c r="D239" s="84"/>
      <c r="E239" s="84"/>
      <c r="F239" s="84"/>
      <c r="G239" s="84"/>
      <c r="H239" s="84"/>
      <c r="I239" s="84"/>
      <c r="J239" s="84"/>
      <c r="K239" s="84"/>
      <c r="L239" s="84"/>
      <c r="M239" s="84"/>
      <c r="N239" s="84"/>
      <c r="O239" s="84"/>
      <c r="P239" s="83"/>
    </row>
    <row r="240" spans="1:16">
      <c r="A240" s="82"/>
      <c r="B240" s="83"/>
      <c r="C240" s="83"/>
      <c r="D240" s="84"/>
      <c r="E240" s="84"/>
      <c r="F240" s="84"/>
      <c r="G240" s="84"/>
      <c r="H240" s="84"/>
      <c r="I240" s="84"/>
      <c r="J240" s="84"/>
      <c r="K240" s="84"/>
      <c r="L240" s="84"/>
      <c r="M240" s="84"/>
      <c r="N240" s="84"/>
      <c r="O240" s="84"/>
      <c r="P240" s="83"/>
    </row>
    <row r="241" spans="1:16">
      <c r="A241" s="82"/>
      <c r="B241" s="83"/>
      <c r="C241" s="83"/>
      <c r="D241" s="84"/>
      <c r="E241" s="84"/>
      <c r="F241" s="84"/>
      <c r="G241" s="84"/>
      <c r="H241" s="84"/>
      <c r="I241" s="84"/>
      <c r="J241" s="84"/>
      <c r="K241" s="84"/>
      <c r="L241" s="84"/>
      <c r="M241" s="84"/>
      <c r="N241" s="84"/>
      <c r="O241" s="84"/>
      <c r="P241" s="83"/>
    </row>
    <row r="242" spans="1:16">
      <c r="A242" s="82"/>
      <c r="B242" s="83"/>
      <c r="C242" s="83"/>
      <c r="D242" s="84"/>
      <c r="E242" s="84"/>
      <c r="F242" s="84"/>
      <c r="G242" s="84"/>
      <c r="H242" s="84"/>
      <c r="I242" s="84"/>
      <c r="J242" s="84"/>
      <c r="K242" s="84"/>
      <c r="L242" s="84"/>
      <c r="M242" s="84"/>
      <c r="N242" s="84"/>
      <c r="O242" s="84"/>
      <c r="P242" s="83"/>
    </row>
    <row r="243" spans="1:16">
      <c r="A243" s="82"/>
      <c r="B243" s="83"/>
      <c r="C243" s="83"/>
      <c r="D243" s="84"/>
      <c r="E243" s="84"/>
      <c r="F243" s="84"/>
      <c r="G243" s="84"/>
      <c r="H243" s="84"/>
      <c r="I243" s="84"/>
      <c r="J243" s="84"/>
      <c r="K243" s="84"/>
      <c r="L243" s="84"/>
      <c r="M243" s="84"/>
      <c r="N243" s="84"/>
      <c r="O243" s="84"/>
      <c r="P243" s="83"/>
    </row>
    <row r="244" spans="1:16">
      <c r="A244" s="82"/>
      <c r="B244" s="83"/>
      <c r="C244" s="83"/>
      <c r="D244" s="84"/>
      <c r="E244" s="84"/>
      <c r="F244" s="84"/>
      <c r="G244" s="84"/>
      <c r="H244" s="84"/>
      <c r="I244" s="84"/>
      <c r="J244" s="84"/>
      <c r="K244" s="84"/>
      <c r="L244" s="84"/>
      <c r="M244" s="84"/>
      <c r="N244" s="84"/>
      <c r="O244" s="84"/>
      <c r="P244" s="83"/>
    </row>
    <row r="245" spans="1:16">
      <c r="A245" s="82"/>
      <c r="B245" s="83"/>
      <c r="C245" s="83"/>
      <c r="D245" s="84"/>
      <c r="E245" s="84"/>
      <c r="F245" s="84"/>
      <c r="G245" s="84"/>
      <c r="H245" s="84"/>
      <c r="I245" s="84"/>
      <c r="J245" s="84"/>
      <c r="K245" s="84"/>
      <c r="L245" s="84"/>
      <c r="M245" s="84"/>
      <c r="N245" s="84"/>
      <c r="O245" s="84"/>
      <c r="P245" s="83"/>
    </row>
    <row r="246" spans="1:16">
      <c r="A246" s="82"/>
      <c r="B246" s="83"/>
      <c r="C246" s="83"/>
      <c r="D246" s="84"/>
      <c r="E246" s="84"/>
      <c r="F246" s="84"/>
      <c r="G246" s="84"/>
      <c r="H246" s="84"/>
      <c r="I246" s="84"/>
      <c r="J246" s="84"/>
      <c r="K246" s="84"/>
      <c r="L246" s="84"/>
      <c r="M246" s="84"/>
      <c r="N246" s="84"/>
      <c r="O246" s="84"/>
      <c r="P246" s="83"/>
    </row>
    <row r="247" spans="1:16">
      <c r="A247" s="82"/>
      <c r="B247" s="83"/>
      <c r="C247" s="83"/>
      <c r="D247" s="84"/>
      <c r="E247" s="84"/>
      <c r="F247" s="84"/>
      <c r="G247" s="84"/>
      <c r="H247" s="84"/>
      <c r="I247" s="84"/>
      <c r="J247" s="84"/>
      <c r="K247" s="84"/>
      <c r="L247" s="84"/>
      <c r="M247" s="84"/>
      <c r="N247" s="84"/>
      <c r="O247" s="84"/>
      <c r="P247" s="83"/>
    </row>
    <row r="248" spans="1:16">
      <c r="A248" s="82"/>
      <c r="B248" s="83"/>
      <c r="C248" s="83"/>
      <c r="D248" s="84"/>
      <c r="E248" s="84"/>
      <c r="F248" s="84"/>
      <c r="G248" s="84"/>
      <c r="H248" s="84"/>
      <c r="I248" s="84"/>
      <c r="J248" s="84"/>
      <c r="K248" s="84"/>
      <c r="L248" s="84"/>
      <c r="M248" s="84"/>
      <c r="N248" s="84"/>
      <c r="O248" s="84"/>
      <c r="P248" s="83"/>
    </row>
    <row r="249" spans="1:16">
      <c r="A249" s="82"/>
      <c r="B249" s="83"/>
      <c r="C249" s="83"/>
      <c r="D249" s="84"/>
      <c r="E249" s="84"/>
      <c r="F249" s="84"/>
      <c r="G249" s="84"/>
      <c r="H249" s="84"/>
      <c r="I249" s="84"/>
      <c r="J249" s="84"/>
      <c r="K249" s="84"/>
      <c r="L249" s="84"/>
      <c r="M249" s="84"/>
      <c r="N249" s="84"/>
      <c r="O249" s="84"/>
      <c r="P249" s="83"/>
    </row>
    <row r="250" spans="1:16">
      <c r="A250" s="82"/>
      <c r="B250" s="83"/>
      <c r="C250" s="83"/>
      <c r="D250" s="84"/>
      <c r="E250" s="84"/>
      <c r="F250" s="84"/>
      <c r="G250" s="84"/>
      <c r="H250" s="84"/>
      <c r="I250" s="84"/>
      <c r="J250" s="84"/>
      <c r="K250" s="84"/>
      <c r="L250" s="84"/>
      <c r="M250" s="84"/>
      <c r="N250" s="84"/>
      <c r="O250" s="84"/>
      <c r="P250" s="83"/>
    </row>
    <row r="251" spans="1:16">
      <c r="A251" s="82"/>
      <c r="B251" s="83"/>
      <c r="C251" s="83"/>
      <c r="D251" s="84"/>
      <c r="E251" s="84"/>
      <c r="F251" s="84"/>
      <c r="G251" s="84"/>
      <c r="H251" s="84"/>
      <c r="I251" s="84"/>
      <c r="J251" s="84"/>
      <c r="K251" s="84"/>
      <c r="L251" s="84"/>
      <c r="M251" s="84"/>
      <c r="N251" s="84"/>
      <c r="O251" s="84"/>
      <c r="P251" s="83"/>
    </row>
    <row r="252" spans="1:16">
      <c r="A252" s="82"/>
      <c r="B252" s="83"/>
      <c r="C252" s="83"/>
      <c r="D252" s="84"/>
      <c r="E252" s="84"/>
      <c r="F252" s="84"/>
      <c r="G252" s="84"/>
      <c r="H252" s="84"/>
      <c r="I252" s="84"/>
      <c r="J252" s="84"/>
      <c r="K252" s="84"/>
      <c r="L252" s="84"/>
      <c r="M252" s="84"/>
      <c r="N252" s="84"/>
      <c r="O252" s="84"/>
      <c r="P252" s="83"/>
    </row>
    <row r="253" spans="1:16">
      <c r="A253" s="82"/>
      <c r="B253" s="83"/>
      <c r="C253" s="83"/>
      <c r="D253" s="84"/>
      <c r="E253" s="84"/>
      <c r="F253" s="84"/>
      <c r="G253" s="84"/>
      <c r="H253" s="84"/>
      <c r="I253" s="84"/>
      <c r="J253" s="84"/>
      <c r="K253" s="84"/>
      <c r="L253" s="84"/>
      <c r="M253" s="84"/>
      <c r="N253" s="84"/>
      <c r="O253" s="84"/>
      <c r="P253" s="83"/>
    </row>
    <row r="254" spans="1:16">
      <c r="A254" s="82"/>
      <c r="B254" s="83"/>
      <c r="C254" s="83"/>
      <c r="D254" s="84"/>
      <c r="E254" s="84"/>
      <c r="F254" s="84"/>
      <c r="G254" s="84"/>
      <c r="H254" s="84"/>
      <c r="I254" s="84"/>
      <c r="J254" s="84"/>
      <c r="K254" s="84"/>
      <c r="L254" s="84"/>
      <c r="M254" s="84"/>
      <c r="N254" s="84"/>
      <c r="O254" s="84"/>
      <c r="P254" s="83"/>
    </row>
    <row r="255" spans="1:16">
      <c r="A255" s="82"/>
      <c r="B255" s="83"/>
      <c r="C255" s="83"/>
      <c r="D255" s="84"/>
      <c r="E255" s="84"/>
      <c r="F255" s="84"/>
      <c r="G255" s="84"/>
      <c r="H255" s="84"/>
      <c r="I255" s="84"/>
      <c r="J255" s="84"/>
      <c r="K255" s="84"/>
      <c r="L255" s="84"/>
      <c r="M255" s="84"/>
      <c r="N255" s="84"/>
      <c r="O255" s="84"/>
      <c r="P255" s="83"/>
    </row>
    <row r="256" spans="1:16">
      <c r="A256" s="82"/>
      <c r="B256" s="83"/>
      <c r="C256" s="83"/>
      <c r="D256" s="84"/>
      <c r="E256" s="84"/>
      <c r="F256" s="84"/>
      <c r="G256" s="84"/>
      <c r="H256" s="84"/>
      <c r="I256" s="84"/>
      <c r="J256" s="84"/>
      <c r="K256" s="84"/>
      <c r="L256" s="84"/>
      <c r="M256" s="84"/>
      <c r="N256" s="84"/>
      <c r="O256" s="84"/>
      <c r="P256" s="83"/>
    </row>
    <row r="257" spans="1:16">
      <c r="A257" s="82"/>
      <c r="B257" s="83"/>
      <c r="C257" s="83"/>
      <c r="D257" s="84"/>
      <c r="E257" s="84"/>
      <c r="F257" s="84"/>
      <c r="G257" s="84"/>
      <c r="H257" s="84"/>
      <c r="I257" s="84"/>
      <c r="J257" s="84"/>
      <c r="K257" s="84"/>
      <c r="L257" s="84"/>
      <c r="M257" s="84"/>
      <c r="N257" s="84"/>
      <c r="O257" s="84"/>
      <c r="P257" s="83"/>
    </row>
    <row r="258" spans="1:16">
      <c r="A258" s="82"/>
      <c r="B258" s="83"/>
      <c r="C258" s="83"/>
      <c r="D258" s="84"/>
      <c r="E258" s="84"/>
      <c r="F258" s="84"/>
      <c r="G258" s="84"/>
      <c r="H258" s="84"/>
      <c r="I258" s="84"/>
      <c r="J258" s="84"/>
      <c r="K258" s="84"/>
      <c r="L258" s="84"/>
      <c r="M258" s="84"/>
      <c r="N258" s="84"/>
      <c r="O258" s="84"/>
      <c r="P258" s="83"/>
    </row>
    <row r="259" spans="1:16">
      <c r="A259" s="82"/>
      <c r="B259" s="83"/>
      <c r="C259" s="83"/>
      <c r="D259" s="84"/>
      <c r="E259" s="84"/>
      <c r="F259" s="84"/>
      <c r="G259" s="84"/>
      <c r="H259" s="84"/>
      <c r="I259" s="84"/>
      <c r="J259" s="84"/>
      <c r="K259" s="84"/>
      <c r="L259" s="84"/>
      <c r="M259" s="84"/>
      <c r="N259" s="84"/>
      <c r="O259" s="84"/>
      <c r="P259" s="83"/>
    </row>
    <row r="260" spans="1:16">
      <c r="A260" s="82"/>
      <c r="B260" s="83"/>
      <c r="C260" s="83"/>
      <c r="D260" s="84"/>
      <c r="E260" s="84"/>
      <c r="F260" s="84"/>
      <c r="G260" s="84"/>
      <c r="H260" s="84"/>
      <c r="I260" s="84"/>
      <c r="J260" s="84"/>
      <c r="K260" s="84"/>
      <c r="L260" s="84"/>
      <c r="M260" s="84"/>
      <c r="N260" s="84"/>
      <c r="O260" s="84"/>
      <c r="P260" s="83"/>
    </row>
    <row r="261" spans="1:16">
      <c r="A261" s="82"/>
      <c r="B261" s="83"/>
      <c r="C261" s="83"/>
      <c r="D261" s="84"/>
      <c r="E261" s="84"/>
      <c r="F261" s="84"/>
      <c r="G261" s="84"/>
      <c r="H261" s="84"/>
      <c r="I261" s="84"/>
      <c r="J261" s="84"/>
      <c r="K261" s="84"/>
      <c r="L261" s="84"/>
      <c r="M261" s="84"/>
      <c r="N261" s="84"/>
      <c r="O261" s="84"/>
      <c r="P261" s="83"/>
    </row>
    <row r="262" spans="1:16">
      <c r="A262" s="82"/>
      <c r="B262" s="83"/>
      <c r="C262" s="83"/>
      <c r="D262" s="84"/>
      <c r="E262" s="84"/>
      <c r="F262" s="84"/>
      <c r="G262" s="84"/>
      <c r="H262" s="84"/>
      <c r="I262" s="84"/>
      <c r="J262" s="84"/>
      <c r="K262" s="84"/>
      <c r="L262" s="84"/>
      <c r="M262" s="84"/>
      <c r="N262" s="84"/>
      <c r="O262" s="84"/>
      <c r="P262" s="83"/>
    </row>
    <row r="263" spans="1:16">
      <c r="A263" s="82"/>
      <c r="B263" s="83"/>
      <c r="C263" s="83"/>
      <c r="D263" s="84"/>
      <c r="E263" s="84"/>
      <c r="F263" s="84"/>
      <c r="G263" s="84"/>
      <c r="H263" s="84"/>
      <c r="I263" s="84"/>
      <c r="J263" s="84"/>
      <c r="K263" s="84"/>
      <c r="L263" s="84"/>
      <c r="M263" s="84"/>
      <c r="N263" s="84"/>
      <c r="O263" s="84"/>
      <c r="P263" s="83"/>
    </row>
    <row r="264" spans="1:16">
      <c r="A264" s="82"/>
      <c r="B264" s="83"/>
      <c r="C264" s="83"/>
      <c r="D264" s="84"/>
      <c r="E264" s="84"/>
      <c r="F264" s="84"/>
      <c r="G264" s="84"/>
      <c r="H264" s="84"/>
      <c r="I264" s="84"/>
      <c r="J264" s="84"/>
      <c r="K264" s="84"/>
      <c r="L264" s="84"/>
      <c r="M264" s="84"/>
      <c r="N264" s="84"/>
      <c r="O264" s="84"/>
      <c r="P264" s="83"/>
    </row>
    <row r="265" spans="1:16">
      <c r="A265" s="82"/>
      <c r="B265" s="83"/>
      <c r="C265" s="83"/>
      <c r="D265" s="84"/>
      <c r="E265" s="84"/>
      <c r="F265" s="84"/>
      <c r="G265" s="84"/>
      <c r="H265" s="84"/>
      <c r="I265" s="84"/>
      <c r="J265" s="84"/>
      <c r="K265" s="84"/>
      <c r="L265" s="84"/>
      <c r="M265" s="84"/>
      <c r="N265" s="84"/>
      <c r="O265" s="84"/>
      <c r="P265" s="83"/>
    </row>
    <row r="266" spans="1:16">
      <c r="A266" s="82"/>
      <c r="B266" s="83"/>
      <c r="C266" s="83"/>
      <c r="D266" s="84"/>
      <c r="E266" s="84"/>
      <c r="F266" s="84"/>
      <c r="G266" s="84"/>
      <c r="H266" s="84"/>
      <c r="I266" s="84"/>
      <c r="J266" s="84"/>
      <c r="K266" s="84"/>
      <c r="L266" s="84"/>
      <c r="M266" s="84"/>
      <c r="N266" s="84"/>
      <c r="O266" s="84"/>
      <c r="P266" s="83"/>
    </row>
    <row r="267" spans="1:16">
      <c r="A267" s="82"/>
      <c r="B267" s="83"/>
      <c r="C267" s="83"/>
      <c r="D267" s="84"/>
      <c r="E267" s="84"/>
      <c r="F267" s="84"/>
      <c r="G267" s="84"/>
      <c r="H267" s="84"/>
      <c r="I267" s="84"/>
      <c r="J267" s="84"/>
      <c r="K267" s="84"/>
      <c r="L267" s="84"/>
      <c r="M267" s="84"/>
      <c r="N267" s="84"/>
      <c r="O267" s="84"/>
      <c r="P267" s="83"/>
    </row>
    <row r="268" spans="1:16">
      <c r="A268" s="82"/>
      <c r="B268" s="83"/>
      <c r="C268" s="83"/>
      <c r="D268" s="84"/>
      <c r="E268" s="84"/>
      <c r="F268" s="84"/>
      <c r="G268" s="84"/>
      <c r="H268" s="84"/>
      <c r="I268" s="84"/>
      <c r="J268" s="84"/>
      <c r="K268" s="84"/>
      <c r="L268" s="84"/>
      <c r="M268" s="84"/>
      <c r="N268" s="84"/>
      <c r="O268" s="84"/>
      <c r="P268" s="83"/>
    </row>
    <row r="269" spans="1:16">
      <c r="A269" s="82"/>
      <c r="B269" s="83"/>
      <c r="C269" s="83"/>
      <c r="D269" s="84"/>
      <c r="E269" s="84"/>
      <c r="F269" s="84"/>
      <c r="G269" s="84"/>
      <c r="H269" s="84"/>
      <c r="I269" s="84"/>
      <c r="J269" s="84"/>
      <c r="K269" s="84"/>
      <c r="L269" s="84"/>
      <c r="M269" s="84"/>
      <c r="N269" s="84"/>
      <c r="O269" s="84"/>
      <c r="P269" s="83"/>
    </row>
    <row r="270" spans="1:16">
      <c r="A270" s="82"/>
      <c r="B270" s="83"/>
      <c r="C270" s="83"/>
      <c r="D270" s="84"/>
      <c r="E270" s="84"/>
      <c r="F270" s="84"/>
      <c r="G270" s="84"/>
      <c r="H270" s="84"/>
      <c r="I270" s="84"/>
      <c r="J270" s="84"/>
      <c r="K270" s="84"/>
      <c r="L270" s="84"/>
      <c r="M270" s="84"/>
      <c r="N270" s="84"/>
      <c r="O270" s="84"/>
      <c r="P270" s="83"/>
    </row>
    <row r="271" spans="1:16">
      <c r="A271" s="82"/>
      <c r="B271" s="83"/>
      <c r="C271" s="83"/>
      <c r="D271" s="84"/>
      <c r="E271" s="84"/>
      <c r="F271" s="84"/>
      <c r="G271" s="84"/>
      <c r="H271" s="84"/>
      <c r="I271" s="84"/>
      <c r="J271" s="84"/>
      <c r="K271" s="84"/>
      <c r="L271" s="84"/>
      <c r="M271" s="84"/>
      <c r="N271" s="84"/>
      <c r="O271" s="84"/>
      <c r="P271" s="83"/>
    </row>
    <row r="272" spans="1:16">
      <c r="A272" s="82"/>
      <c r="B272" s="83"/>
      <c r="C272" s="83"/>
      <c r="D272" s="84"/>
      <c r="E272" s="84"/>
      <c r="F272" s="84"/>
      <c r="G272" s="84"/>
      <c r="H272" s="84"/>
      <c r="I272" s="84"/>
      <c r="J272" s="84"/>
      <c r="K272" s="84"/>
      <c r="L272" s="84"/>
      <c r="M272" s="84"/>
      <c r="N272" s="84"/>
      <c r="O272" s="84"/>
      <c r="P272" s="83"/>
    </row>
    <row r="273" spans="1:16">
      <c r="A273" s="82"/>
      <c r="B273" s="83"/>
      <c r="C273" s="83"/>
      <c r="D273" s="84"/>
      <c r="E273" s="84"/>
      <c r="F273" s="84"/>
      <c r="G273" s="84"/>
      <c r="H273" s="84"/>
      <c r="I273" s="84"/>
      <c r="J273" s="84"/>
      <c r="K273" s="84"/>
      <c r="L273" s="84"/>
      <c r="M273" s="84"/>
      <c r="N273" s="84"/>
      <c r="O273" s="84"/>
      <c r="P273" s="83"/>
    </row>
    <row r="274" spans="1:16">
      <c r="A274" s="82"/>
      <c r="B274" s="83"/>
      <c r="C274" s="83"/>
      <c r="D274" s="84"/>
      <c r="E274" s="84"/>
      <c r="F274" s="84"/>
      <c r="G274" s="84"/>
      <c r="H274" s="84"/>
      <c r="I274" s="84"/>
      <c r="J274" s="84"/>
      <c r="K274" s="84"/>
      <c r="L274" s="84"/>
      <c r="M274" s="84"/>
      <c r="N274" s="84"/>
      <c r="O274" s="84"/>
      <c r="P274" s="83"/>
    </row>
    <row r="275" spans="1:16">
      <c r="A275" s="82"/>
      <c r="B275" s="83"/>
      <c r="C275" s="83"/>
      <c r="D275" s="84"/>
      <c r="E275" s="84"/>
      <c r="F275" s="84"/>
      <c r="G275" s="84"/>
      <c r="H275" s="84"/>
      <c r="I275" s="84"/>
      <c r="J275" s="84"/>
      <c r="K275" s="84"/>
      <c r="L275" s="84"/>
      <c r="M275" s="84"/>
      <c r="N275" s="84"/>
      <c r="O275" s="84"/>
      <c r="P275" s="83"/>
    </row>
    <row r="276" spans="1:16">
      <c r="A276" s="82"/>
      <c r="B276" s="83"/>
      <c r="C276" s="83"/>
      <c r="D276" s="84"/>
      <c r="E276" s="84"/>
      <c r="F276" s="84"/>
      <c r="G276" s="84"/>
      <c r="H276" s="84"/>
      <c r="I276" s="84"/>
      <c r="J276" s="84"/>
      <c r="K276" s="84"/>
      <c r="L276" s="84"/>
      <c r="M276" s="84"/>
      <c r="N276" s="84"/>
      <c r="O276" s="84"/>
      <c r="P276" s="83"/>
    </row>
    <row r="277" spans="1:16">
      <c r="A277" s="82"/>
      <c r="B277" s="83"/>
      <c r="C277" s="83"/>
      <c r="D277" s="84"/>
      <c r="E277" s="84"/>
      <c r="F277" s="84"/>
      <c r="G277" s="84"/>
      <c r="H277" s="84"/>
      <c r="I277" s="84"/>
      <c r="J277" s="84"/>
      <c r="K277" s="84"/>
      <c r="L277" s="84"/>
      <c r="M277" s="84"/>
      <c r="N277" s="84"/>
      <c r="O277" s="84"/>
      <c r="P277" s="83"/>
    </row>
    <row r="278" spans="1:16">
      <c r="A278" s="82"/>
      <c r="B278" s="83"/>
      <c r="C278" s="83"/>
      <c r="D278" s="84"/>
      <c r="E278" s="84"/>
      <c r="F278" s="84"/>
      <c r="G278" s="84"/>
      <c r="H278" s="84"/>
      <c r="I278" s="84"/>
      <c r="J278" s="84"/>
      <c r="K278" s="84"/>
      <c r="L278" s="84"/>
      <c r="M278" s="84"/>
      <c r="N278" s="84"/>
      <c r="O278" s="84"/>
      <c r="P278" s="83"/>
    </row>
    <row r="279" spans="1:16">
      <c r="A279" s="82"/>
      <c r="B279" s="83"/>
      <c r="C279" s="83"/>
      <c r="D279" s="84"/>
      <c r="E279" s="84"/>
      <c r="F279" s="84"/>
      <c r="G279" s="84"/>
      <c r="H279" s="84"/>
      <c r="I279" s="84"/>
      <c r="J279" s="84"/>
      <c r="K279" s="84"/>
      <c r="L279" s="84"/>
      <c r="M279" s="84"/>
      <c r="N279" s="84"/>
      <c r="O279" s="84"/>
      <c r="P279" s="83"/>
    </row>
    <row r="280" spans="1:16">
      <c r="A280" s="82"/>
      <c r="B280" s="83"/>
      <c r="C280" s="83"/>
      <c r="D280" s="84"/>
      <c r="E280" s="84"/>
      <c r="F280" s="84"/>
      <c r="G280" s="84"/>
      <c r="H280" s="84"/>
      <c r="I280" s="84"/>
      <c r="J280" s="84"/>
      <c r="K280" s="84"/>
      <c r="L280" s="84"/>
      <c r="M280" s="84"/>
      <c r="N280" s="84"/>
      <c r="O280" s="84"/>
      <c r="P280" s="83"/>
    </row>
    <row r="281" spans="1:16">
      <c r="A281" s="82"/>
      <c r="B281" s="83"/>
      <c r="C281" s="83"/>
      <c r="D281" s="84"/>
      <c r="E281" s="84"/>
      <c r="F281" s="84"/>
      <c r="G281" s="84"/>
      <c r="H281" s="84"/>
      <c r="I281" s="84"/>
      <c r="J281" s="84"/>
      <c r="K281" s="84"/>
      <c r="L281" s="84"/>
      <c r="M281" s="84"/>
      <c r="N281" s="84"/>
      <c r="O281" s="84"/>
      <c r="P281" s="83"/>
    </row>
    <row r="282" spans="1:16">
      <c r="A282" s="82"/>
      <c r="B282" s="83"/>
      <c r="C282" s="83"/>
      <c r="D282" s="84"/>
      <c r="E282" s="84"/>
      <c r="F282" s="84"/>
      <c r="G282" s="84"/>
      <c r="H282" s="84"/>
      <c r="I282" s="84"/>
      <c r="J282" s="84"/>
      <c r="K282" s="84"/>
      <c r="L282" s="84"/>
      <c r="M282" s="84"/>
      <c r="N282" s="84"/>
      <c r="O282" s="84"/>
      <c r="P282" s="83"/>
    </row>
    <row r="283" spans="1:16">
      <c r="A283" s="82"/>
      <c r="B283" s="83"/>
      <c r="C283" s="83"/>
      <c r="D283" s="84"/>
      <c r="E283" s="84"/>
      <c r="F283" s="84"/>
      <c r="G283" s="84"/>
      <c r="H283" s="84"/>
      <c r="I283" s="84"/>
      <c r="J283" s="84"/>
      <c r="K283" s="84"/>
      <c r="L283" s="84"/>
      <c r="M283" s="84"/>
      <c r="N283" s="84"/>
      <c r="O283" s="84"/>
      <c r="P283" s="83"/>
    </row>
    <row r="284" spans="1:16">
      <c r="A284" s="82"/>
      <c r="B284" s="83"/>
      <c r="C284" s="83"/>
      <c r="D284" s="84"/>
      <c r="E284" s="84"/>
      <c r="F284" s="84"/>
      <c r="G284" s="84"/>
      <c r="H284" s="84"/>
      <c r="I284" s="84"/>
      <c r="J284" s="84"/>
      <c r="K284" s="84"/>
      <c r="L284" s="84"/>
      <c r="M284" s="84"/>
      <c r="N284" s="84"/>
      <c r="O284" s="84"/>
      <c r="P284" s="83"/>
    </row>
    <row r="285" spans="1:16">
      <c r="A285" s="82"/>
      <c r="B285" s="83"/>
      <c r="C285" s="83"/>
      <c r="D285" s="84"/>
      <c r="E285" s="84"/>
      <c r="F285" s="84"/>
      <c r="G285" s="84"/>
      <c r="H285" s="84"/>
      <c r="I285" s="84"/>
      <c r="J285" s="84"/>
      <c r="K285" s="84"/>
      <c r="L285" s="84"/>
      <c r="M285" s="84"/>
      <c r="N285" s="84"/>
      <c r="O285" s="84"/>
      <c r="P285" s="83"/>
    </row>
    <row r="286" spans="1:16">
      <c r="A286" s="82"/>
      <c r="B286" s="83"/>
      <c r="C286" s="83"/>
      <c r="D286" s="84"/>
      <c r="E286" s="84"/>
      <c r="F286" s="84"/>
      <c r="G286" s="84"/>
      <c r="H286" s="84"/>
      <c r="I286" s="84"/>
      <c r="J286" s="84"/>
      <c r="K286" s="84"/>
      <c r="L286" s="84"/>
      <c r="M286" s="84"/>
      <c r="N286" s="84"/>
      <c r="O286" s="84"/>
      <c r="P286" s="83"/>
    </row>
    <row r="287" spans="1:16">
      <c r="A287" s="82"/>
      <c r="B287" s="83"/>
      <c r="C287" s="83"/>
      <c r="D287" s="84"/>
      <c r="E287" s="84"/>
      <c r="F287" s="84"/>
      <c r="G287" s="84"/>
      <c r="H287" s="84"/>
      <c r="I287" s="84"/>
      <c r="J287" s="84"/>
      <c r="K287" s="84"/>
      <c r="L287" s="84"/>
      <c r="M287" s="84"/>
      <c r="N287" s="84"/>
      <c r="O287" s="84"/>
      <c r="P287" s="83"/>
    </row>
    <row r="288" spans="1:16">
      <c r="A288" s="82"/>
      <c r="B288" s="83"/>
      <c r="C288" s="83"/>
      <c r="D288" s="84"/>
      <c r="E288" s="84"/>
      <c r="F288" s="84"/>
      <c r="G288" s="84"/>
      <c r="H288" s="84"/>
      <c r="I288" s="84"/>
      <c r="J288" s="84"/>
      <c r="K288" s="84"/>
      <c r="L288" s="84"/>
      <c r="M288" s="84"/>
      <c r="N288" s="84"/>
      <c r="O288" s="84"/>
      <c r="P288" s="83"/>
    </row>
    <row r="289" spans="1:16">
      <c r="A289" s="82"/>
      <c r="B289" s="83"/>
      <c r="C289" s="83"/>
      <c r="D289" s="84"/>
      <c r="E289" s="84"/>
      <c r="F289" s="84"/>
      <c r="G289" s="84"/>
      <c r="H289" s="84"/>
      <c r="I289" s="84"/>
      <c r="J289" s="84"/>
      <c r="K289" s="84"/>
      <c r="L289" s="84"/>
      <c r="M289" s="84"/>
      <c r="N289" s="84"/>
      <c r="O289" s="84"/>
      <c r="P289" s="83"/>
    </row>
    <row r="290" spans="1:16">
      <c r="A290" s="82"/>
      <c r="B290" s="83"/>
      <c r="C290" s="83"/>
      <c r="D290" s="84"/>
      <c r="E290" s="84"/>
      <c r="F290" s="84"/>
      <c r="G290" s="84"/>
      <c r="H290" s="84"/>
      <c r="I290" s="84"/>
      <c r="J290" s="84"/>
      <c r="K290" s="84"/>
      <c r="L290" s="84"/>
      <c r="M290" s="84"/>
      <c r="N290" s="84"/>
      <c r="O290" s="84"/>
      <c r="P290" s="83"/>
    </row>
    <row r="291" spans="1:16">
      <c r="A291" s="82"/>
      <c r="B291" s="83"/>
      <c r="C291" s="83"/>
      <c r="D291" s="84"/>
      <c r="E291" s="84"/>
      <c r="F291" s="84"/>
      <c r="G291" s="84"/>
      <c r="H291" s="84"/>
      <c r="I291" s="84"/>
      <c r="J291" s="84"/>
      <c r="K291" s="84"/>
      <c r="L291" s="84"/>
      <c r="M291" s="84"/>
      <c r="N291" s="84"/>
      <c r="O291" s="84"/>
      <c r="P291" s="83"/>
    </row>
    <row r="292" spans="1:16">
      <c r="A292" s="82"/>
      <c r="B292" s="83"/>
      <c r="C292" s="83"/>
      <c r="D292" s="84"/>
      <c r="E292" s="84"/>
      <c r="F292" s="84"/>
      <c r="G292" s="84"/>
      <c r="H292" s="84"/>
      <c r="I292" s="84"/>
      <c r="J292" s="84"/>
      <c r="K292" s="84"/>
      <c r="L292" s="84"/>
      <c r="M292" s="84"/>
      <c r="N292" s="84"/>
      <c r="O292" s="84"/>
      <c r="P292" s="83"/>
    </row>
    <row r="293" spans="1:16">
      <c r="A293" s="82"/>
      <c r="B293" s="83"/>
      <c r="C293" s="83"/>
      <c r="D293" s="84"/>
      <c r="E293" s="84"/>
      <c r="F293" s="84"/>
      <c r="G293" s="84"/>
      <c r="H293" s="84"/>
      <c r="I293" s="84"/>
      <c r="J293" s="84"/>
      <c r="K293" s="84"/>
      <c r="L293" s="84"/>
      <c r="M293" s="84"/>
      <c r="N293" s="84"/>
      <c r="O293" s="84"/>
      <c r="P293" s="83"/>
    </row>
    <row r="294" spans="1:16">
      <c r="A294" s="82"/>
      <c r="B294" s="83"/>
      <c r="C294" s="83"/>
      <c r="D294" s="84"/>
      <c r="E294" s="84"/>
      <c r="F294" s="84"/>
      <c r="G294" s="84"/>
      <c r="H294" s="84"/>
      <c r="I294" s="84"/>
      <c r="J294" s="84"/>
      <c r="K294" s="84"/>
      <c r="L294" s="84"/>
      <c r="M294" s="84"/>
      <c r="N294" s="84"/>
      <c r="O294" s="84"/>
      <c r="P294" s="83"/>
    </row>
    <row r="295" spans="1:16">
      <c r="A295" s="82"/>
      <c r="B295" s="83"/>
      <c r="C295" s="83"/>
      <c r="D295" s="84"/>
      <c r="E295" s="84"/>
      <c r="F295" s="84"/>
      <c r="G295" s="84"/>
      <c r="H295" s="84"/>
      <c r="I295" s="84"/>
      <c r="J295" s="84"/>
      <c r="K295" s="84"/>
      <c r="L295" s="84"/>
      <c r="M295" s="84"/>
      <c r="N295" s="84"/>
      <c r="O295" s="84"/>
      <c r="P295" s="83"/>
    </row>
  </sheetData>
  <mergeCells count="1">
    <mergeCell ref="C3:C42"/>
  </mergeCells>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42" max="16383" man="1"/>
  </rowBreaks>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33">
    <tabColor theme="3" tint="0.59999389629810485"/>
    <pageSetUpPr fitToPage="1"/>
  </sheetPr>
  <dimension ref="A1:V295"/>
  <sheetViews>
    <sheetView workbookViewId="0">
      <pane xSplit="3" ySplit="2" topLeftCell="E26" activePane="bottomRight" state="frozen"/>
      <selection activeCell="G1" sqref="G1"/>
      <selection pane="topRight" activeCell="G1" sqref="G1"/>
      <selection pane="bottomLeft" activeCell="G1" sqref="G1"/>
      <selection pane="bottomRight" activeCell="G1" sqref="G1"/>
    </sheetView>
  </sheetViews>
  <sheetFormatPr baseColWidth="10" defaultColWidth="20.85546875" defaultRowHeight="13"/>
  <cols>
    <col min="1" max="1" width="3.5703125" style="22" customWidth="1"/>
    <col min="2" max="2" width="32.42578125" style="3" customWidth="1"/>
    <col min="3" max="3" width="10.140625" style="3" customWidth="1"/>
    <col min="4" max="15" width="9.7109375" style="24" customWidth="1"/>
    <col min="16" max="16" width="44.85546875" style="3" customWidth="1"/>
    <col min="17" max="17" width="9.7109375" style="3" customWidth="1"/>
    <col min="18" max="18" width="10.140625" style="3" customWidth="1"/>
    <col min="19" max="22" width="8.7109375" style="3" customWidth="1"/>
    <col min="23" max="16384" width="20.85546875" style="83"/>
  </cols>
  <sheetData>
    <row r="1" spans="1:22" ht="27" customHeight="1">
      <c r="A1" s="1">
        <v>1</v>
      </c>
      <c r="B1" s="62" t="s">
        <v>151</v>
      </c>
      <c r="C1" s="22" t="s">
        <v>353</v>
      </c>
      <c r="D1" s="78" t="s">
        <v>267</v>
      </c>
      <c r="E1" s="77" t="str">
        <f>D1</f>
        <v>NN</v>
      </c>
      <c r="F1" s="77" t="str">
        <f t="shared" ref="F1:O1" si="0">E1</f>
        <v>NN</v>
      </c>
      <c r="G1" s="77" t="str">
        <f t="shared" si="0"/>
        <v>NN</v>
      </c>
      <c r="H1" s="77" t="str">
        <f t="shared" si="0"/>
        <v>NN</v>
      </c>
      <c r="I1" s="77" t="str">
        <f t="shared" si="0"/>
        <v>NN</v>
      </c>
      <c r="J1" s="77" t="str">
        <f t="shared" si="0"/>
        <v>NN</v>
      </c>
      <c r="K1" s="77" t="str">
        <f t="shared" si="0"/>
        <v>NN</v>
      </c>
      <c r="L1" s="77" t="str">
        <f t="shared" si="0"/>
        <v>NN</v>
      </c>
      <c r="M1" s="77" t="str">
        <f t="shared" si="0"/>
        <v>NN</v>
      </c>
      <c r="N1" s="77" t="str">
        <f t="shared" si="0"/>
        <v>NN</v>
      </c>
      <c r="O1" s="77" t="str">
        <f t="shared" si="0"/>
        <v>NN</v>
      </c>
      <c r="P1" s="3" t="s">
        <v>185</v>
      </c>
      <c r="Q1" s="86"/>
      <c r="R1" s="86"/>
      <c r="S1" s="86"/>
      <c r="T1" s="86"/>
      <c r="U1" s="86"/>
      <c r="V1" s="86"/>
    </row>
    <row r="2" spans="1:22" ht="14" customHeight="1">
      <c r="A2" s="4">
        <f t="shared" ref="A2:A44" si="1">A1+1</f>
        <v>2</v>
      </c>
      <c r="B2" s="89" t="s">
        <v>36</v>
      </c>
      <c r="C2" s="234" t="s">
        <v>330</v>
      </c>
      <c r="D2" s="76" t="str">
        <f>"AUG 12"</f>
        <v>AUG 12</v>
      </c>
      <c r="E2" s="76" t="str">
        <f>"SEP12"</f>
        <v>SEP12</v>
      </c>
      <c r="F2" s="76" t="str">
        <f>"OKT 12"</f>
        <v>OKT 12</v>
      </c>
      <c r="G2" s="76" t="str">
        <f>"NOV 12"</f>
        <v>NOV 12</v>
      </c>
      <c r="H2" s="76" t="str">
        <f>"DEC 12"</f>
        <v>DEC 12</v>
      </c>
      <c r="I2" s="76" t="str">
        <f>"JAN 13"</f>
        <v>JAN 13</v>
      </c>
      <c r="J2" s="76" t="str">
        <f>"FEB 13"</f>
        <v>FEB 13</v>
      </c>
      <c r="K2" s="76" t="str">
        <f>"MAR 13"</f>
        <v>MAR 13</v>
      </c>
      <c r="L2" s="256" t="str">
        <f>"APR 13"</f>
        <v>APR 13</v>
      </c>
      <c r="M2" s="256" t="str">
        <f>"MAJ13"</f>
        <v>MAJ13</v>
      </c>
      <c r="N2" s="256" t="str">
        <f>"JUN 13"</f>
        <v>JUN 13</v>
      </c>
      <c r="O2" s="256" t="str">
        <f>"JUL 13"</f>
        <v>JUL 13</v>
      </c>
      <c r="P2" s="254" t="str">
        <f>Ex11_12!P2</f>
        <v>ansat 14. feb 10</v>
      </c>
      <c r="Q2" s="86"/>
      <c r="R2" s="86"/>
      <c r="S2" s="86"/>
      <c r="T2" s="86"/>
      <c r="U2" s="86"/>
      <c r="V2" s="86"/>
    </row>
    <row r="3" spans="1:22" ht="27" customHeight="1">
      <c r="A3" s="4">
        <f t="shared" si="1"/>
        <v>3</v>
      </c>
      <c r="B3" s="160" t="s">
        <v>37</v>
      </c>
      <c r="C3" s="1277" t="s">
        <v>67</v>
      </c>
      <c r="D3" s="188">
        <v>1</v>
      </c>
      <c r="E3" s="237">
        <f>D3</f>
        <v>1</v>
      </c>
      <c r="F3" s="237">
        <f t="shared" ref="F3:O3" si="2">E3</f>
        <v>1</v>
      </c>
      <c r="G3" s="237">
        <f t="shared" si="2"/>
        <v>1</v>
      </c>
      <c r="H3" s="237">
        <f t="shared" si="2"/>
        <v>1</v>
      </c>
      <c r="I3" s="237">
        <f t="shared" si="2"/>
        <v>1</v>
      </c>
      <c r="J3" s="237">
        <f t="shared" si="2"/>
        <v>1</v>
      </c>
      <c r="K3" s="237">
        <f t="shared" si="2"/>
        <v>1</v>
      </c>
      <c r="L3" s="369">
        <v>0.13333333333333333</v>
      </c>
      <c r="M3" s="237">
        <f>K3</f>
        <v>1</v>
      </c>
      <c r="N3" s="237">
        <f t="shared" si="2"/>
        <v>1</v>
      </c>
      <c r="O3" s="237">
        <f t="shared" si="2"/>
        <v>1</v>
      </c>
      <c r="P3" s="6" t="s">
        <v>258</v>
      </c>
      <c r="Q3" s="86"/>
      <c r="R3" s="86"/>
      <c r="S3" s="86"/>
      <c r="T3" s="86"/>
      <c r="U3" s="86"/>
      <c r="V3" s="86"/>
    </row>
    <row r="4" spans="1:22" ht="14" customHeight="1">
      <c r="A4" s="4">
        <f t="shared" si="1"/>
        <v>4</v>
      </c>
      <c r="B4" s="161" t="s">
        <v>155</v>
      </c>
      <c r="C4" s="1278"/>
      <c r="D4" s="364" t="s">
        <v>121</v>
      </c>
      <c r="E4" s="239" t="str">
        <f>D4</f>
        <v>Bh2</v>
      </c>
      <c r="F4" s="239" t="str">
        <f t="shared" ref="F4:O4" si="3">E4</f>
        <v>Bh2</v>
      </c>
      <c r="G4" s="239" t="str">
        <f t="shared" si="3"/>
        <v>Bh2</v>
      </c>
      <c r="H4" s="239" t="str">
        <f t="shared" si="3"/>
        <v>Bh2</v>
      </c>
      <c r="I4" s="239" t="str">
        <f t="shared" si="3"/>
        <v>Bh2</v>
      </c>
      <c r="J4" s="239" t="str">
        <f t="shared" si="3"/>
        <v>Bh2</v>
      </c>
      <c r="K4" s="239" t="str">
        <f t="shared" si="3"/>
        <v>Bh2</v>
      </c>
      <c r="L4" s="239" t="str">
        <f t="shared" si="3"/>
        <v>Bh2</v>
      </c>
      <c r="M4" s="239" t="str">
        <f t="shared" si="3"/>
        <v>Bh2</v>
      </c>
      <c r="N4" s="239" t="str">
        <f t="shared" si="3"/>
        <v>Bh2</v>
      </c>
      <c r="O4" s="239" t="str">
        <f t="shared" si="3"/>
        <v>Bh2</v>
      </c>
      <c r="P4" s="6" t="s">
        <v>203</v>
      </c>
      <c r="Q4" s="86"/>
      <c r="R4" s="86"/>
      <c r="S4" s="86"/>
      <c r="T4" s="86"/>
      <c r="U4" s="86"/>
      <c r="V4" s="86"/>
    </row>
    <row r="5" spans="1:22" ht="24" customHeight="1">
      <c r="A5" s="4">
        <f>A4+1</f>
        <v>5</v>
      </c>
      <c r="B5" s="162" t="s">
        <v>54</v>
      </c>
      <c r="C5" s="1278"/>
      <c r="D5" s="189"/>
      <c r="E5" s="79" t="str">
        <f t="shared" ref="E5:J5" si="4">IF(D5&lt;&gt;"",D5,"")</f>
        <v/>
      </c>
      <c r="F5" s="79" t="str">
        <f t="shared" si="4"/>
        <v/>
      </c>
      <c r="G5" s="79" t="str">
        <f t="shared" si="4"/>
        <v/>
      </c>
      <c r="H5" s="79" t="str">
        <f t="shared" si="4"/>
        <v/>
      </c>
      <c r="I5" s="79" t="str">
        <f t="shared" si="4"/>
        <v/>
      </c>
      <c r="J5" s="79" t="str">
        <f t="shared" si="4"/>
        <v/>
      </c>
      <c r="K5" s="79" t="str">
        <f>IF(J5&lt;&gt;"",J5,"")</f>
        <v/>
      </c>
      <c r="L5" s="79" t="str">
        <f>IF(K5&lt;&gt;"",K5,"")</f>
        <v/>
      </c>
      <c r="M5" s="79" t="str">
        <f>IF(L5&lt;&gt;"",L5,"")</f>
        <v/>
      </c>
      <c r="N5" s="79" t="str">
        <f>IF(M5&lt;&gt;"",M5,"")</f>
        <v/>
      </c>
      <c r="O5" s="79" t="str">
        <f>IF(N5&lt;&gt;"",N5,"")</f>
        <v/>
      </c>
      <c r="P5" s="65" t="s">
        <v>55</v>
      </c>
      <c r="Q5" s="86"/>
      <c r="R5" s="86"/>
      <c r="S5" s="86"/>
      <c r="T5" s="86"/>
      <c r="U5" s="86"/>
      <c r="V5" s="86"/>
    </row>
    <row r="6" spans="1:22" ht="24" customHeight="1">
      <c r="A6" s="4">
        <f t="shared" si="1"/>
        <v>6</v>
      </c>
      <c r="B6" s="161" t="s">
        <v>112</v>
      </c>
      <c r="C6" s="1278"/>
      <c r="D6" s="189" t="s">
        <v>265</v>
      </c>
      <c r="E6" s="71" t="str">
        <f>$D6</f>
        <v>L</v>
      </c>
      <c r="F6" s="71" t="str">
        <f t="shared" ref="F6:O8" si="5">$D6</f>
        <v>L</v>
      </c>
      <c r="G6" s="71" t="str">
        <f t="shared" si="5"/>
        <v>L</v>
      </c>
      <c r="H6" s="71" t="str">
        <f t="shared" si="5"/>
        <v>L</v>
      </c>
      <c r="I6" s="71" t="str">
        <f t="shared" si="5"/>
        <v>L</v>
      </c>
      <c r="J6" s="71" t="str">
        <f t="shared" si="5"/>
        <v>L</v>
      </c>
      <c r="K6" s="71" t="str">
        <f t="shared" si="5"/>
        <v>L</v>
      </c>
      <c r="L6" s="71" t="str">
        <f t="shared" si="5"/>
        <v>L</v>
      </c>
      <c r="M6" s="71" t="str">
        <f t="shared" si="5"/>
        <v>L</v>
      </c>
      <c r="N6" s="71" t="str">
        <f t="shared" si="5"/>
        <v>L</v>
      </c>
      <c r="O6" s="71" t="str">
        <f t="shared" si="5"/>
        <v>L</v>
      </c>
      <c r="P6" s="6" t="s">
        <v>13</v>
      </c>
      <c r="Q6" s="86"/>
      <c r="R6" s="86"/>
      <c r="S6" s="86"/>
      <c r="T6" s="86"/>
      <c r="U6" s="86"/>
      <c r="V6" s="86"/>
    </row>
    <row r="7" spans="1:22" ht="14" customHeight="1">
      <c r="A7" s="4">
        <f t="shared" si="1"/>
        <v>7</v>
      </c>
      <c r="B7" s="161" t="s">
        <v>210</v>
      </c>
      <c r="C7" s="1278"/>
      <c r="D7" s="69">
        <v>1.0130399999999999</v>
      </c>
      <c r="E7" s="69">
        <v>1.0130399999999999</v>
      </c>
      <c r="F7" s="69">
        <v>1.0130399999999999</v>
      </c>
      <c r="G7" s="69">
        <v>1.0130399999999999</v>
      </c>
      <c r="H7" s="69">
        <v>1.0130399999999999</v>
      </c>
      <c r="I7" s="69">
        <v>1.0130399999999999</v>
      </c>
      <c r="J7" s="69">
        <v>1.0130399999999999</v>
      </c>
      <c r="K7" s="69">
        <v>1.0130399999999999</v>
      </c>
      <c r="L7" s="344">
        <v>1.0335000000000001</v>
      </c>
      <c r="M7" s="69">
        <f>L7</f>
        <v>1.0335000000000001</v>
      </c>
      <c r="N7" s="69">
        <f>M7</f>
        <v>1.0335000000000001</v>
      </c>
      <c r="O7" s="69">
        <f>N7</f>
        <v>1.0335000000000001</v>
      </c>
      <c r="P7" s="70" t="s">
        <v>182</v>
      </c>
      <c r="Q7" s="86"/>
      <c r="R7" s="86"/>
      <c r="S7" s="86"/>
      <c r="T7" s="86"/>
      <c r="U7" s="86"/>
      <c r="V7" s="86"/>
    </row>
    <row r="8" spans="1:22" ht="14" customHeight="1">
      <c r="A8" s="4">
        <f t="shared" si="1"/>
        <v>8</v>
      </c>
      <c r="B8" s="161" t="s">
        <v>127</v>
      </c>
      <c r="C8" s="1278"/>
      <c r="D8" s="191">
        <v>3</v>
      </c>
      <c r="E8" s="71">
        <f>$D8</f>
        <v>3</v>
      </c>
      <c r="F8" s="71">
        <f t="shared" si="5"/>
        <v>3</v>
      </c>
      <c r="G8" s="71">
        <f t="shared" si="5"/>
        <v>3</v>
      </c>
      <c r="H8" s="71">
        <f t="shared" si="5"/>
        <v>3</v>
      </c>
      <c r="I8" s="71">
        <f t="shared" si="5"/>
        <v>3</v>
      </c>
      <c r="J8" s="71">
        <f t="shared" si="5"/>
        <v>3</v>
      </c>
      <c r="K8" s="71">
        <f t="shared" si="5"/>
        <v>3</v>
      </c>
      <c r="L8" s="71">
        <f t="shared" si="5"/>
        <v>3</v>
      </c>
      <c r="M8" s="71">
        <f t="shared" si="5"/>
        <v>3</v>
      </c>
      <c r="N8" s="71">
        <f t="shared" si="5"/>
        <v>3</v>
      </c>
      <c r="O8" s="71">
        <f t="shared" si="5"/>
        <v>3</v>
      </c>
      <c r="P8" s="3" t="s">
        <v>99</v>
      </c>
      <c r="Q8" s="86"/>
      <c r="R8" s="86"/>
      <c r="S8" s="86"/>
      <c r="T8" s="86"/>
      <c r="U8" s="86"/>
      <c r="V8" s="86"/>
    </row>
    <row r="9" spans="1:22" ht="28">
      <c r="A9" s="4">
        <f>A8+1</f>
        <v>9</v>
      </c>
      <c r="B9" s="161" t="s">
        <v>34</v>
      </c>
      <c r="C9" s="1278"/>
      <c r="D9" s="143">
        <v>0.74</v>
      </c>
      <c r="E9" s="240">
        <f>D9</f>
        <v>0.74</v>
      </c>
      <c r="F9" s="240">
        <f t="shared" ref="F9:O12" si="6">E9</f>
        <v>0.74</v>
      </c>
      <c r="G9" s="240">
        <f t="shared" si="6"/>
        <v>0.74</v>
      </c>
      <c r="H9" s="240">
        <f t="shared" si="6"/>
        <v>0.74</v>
      </c>
      <c r="I9" s="240">
        <f t="shared" si="6"/>
        <v>0.74</v>
      </c>
      <c r="J9" s="240">
        <f t="shared" si="6"/>
        <v>0.74</v>
      </c>
      <c r="K9" s="240">
        <f t="shared" si="6"/>
        <v>0.74</v>
      </c>
      <c r="L9" s="240">
        <f t="shared" si="6"/>
        <v>0.74</v>
      </c>
      <c r="M9" s="240">
        <f t="shared" si="6"/>
        <v>0.74</v>
      </c>
      <c r="N9" s="240">
        <f t="shared" si="6"/>
        <v>0.74</v>
      </c>
      <c r="O9" s="240">
        <f t="shared" si="6"/>
        <v>0.74</v>
      </c>
      <c r="P9" s="6" t="s">
        <v>73</v>
      </c>
      <c r="Q9" s="86"/>
      <c r="R9" s="86"/>
      <c r="S9" s="86"/>
      <c r="T9" s="86"/>
      <c r="U9" s="86"/>
      <c r="V9" s="86"/>
    </row>
    <row r="10" spans="1:22" ht="24" customHeight="1">
      <c r="A10" s="4">
        <f t="shared" si="1"/>
        <v>10</v>
      </c>
      <c r="B10" s="161" t="s">
        <v>212</v>
      </c>
      <c r="C10" s="1278"/>
      <c r="D10" s="192">
        <v>660</v>
      </c>
      <c r="E10" s="241">
        <f>D10</f>
        <v>660</v>
      </c>
      <c r="F10" s="241">
        <f t="shared" si="6"/>
        <v>660</v>
      </c>
      <c r="G10" s="241">
        <f t="shared" si="6"/>
        <v>660</v>
      </c>
      <c r="H10" s="241">
        <f t="shared" si="6"/>
        <v>660</v>
      </c>
      <c r="I10" s="241">
        <f t="shared" si="6"/>
        <v>660</v>
      </c>
      <c r="J10" s="241">
        <f t="shared" si="6"/>
        <v>660</v>
      </c>
      <c r="K10" s="241">
        <f t="shared" si="6"/>
        <v>660</v>
      </c>
      <c r="L10" s="241">
        <f t="shared" si="6"/>
        <v>660</v>
      </c>
      <c r="M10" s="241">
        <f t="shared" si="6"/>
        <v>660</v>
      </c>
      <c r="N10" s="241">
        <f t="shared" si="6"/>
        <v>660</v>
      </c>
      <c r="O10" s="241">
        <f t="shared" si="6"/>
        <v>660</v>
      </c>
      <c r="P10" s="6" t="s">
        <v>68</v>
      </c>
      <c r="Q10" s="86"/>
      <c r="R10" s="86"/>
      <c r="S10" s="86"/>
      <c r="T10" s="86"/>
      <c r="U10" s="86"/>
      <c r="V10" s="86"/>
    </row>
    <row r="11" spans="1:22" ht="24" customHeight="1">
      <c r="A11" s="4">
        <f t="shared" si="1"/>
        <v>11</v>
      </c>
      <c r="B11" s="163" t="s">
        <v>291</v>
      </c>
      <c r="C11" s="1278"/>
      <c r="D11" s="193"/>
      <c r="E11" s="242">
        <f>D11</f>
        <v>0</v>
      </c>
      <c r="F11" s="242">
        <f t="shared" si="6"/>
        <v>0</v>
      </c>
      <c r="G11" s="242">
        <f t="shared" si="6"/>
        <v>0</v>
      </c>
      <c r="H11" s="242">
        <f t="shared" si="6"/>
        <v>0</v>
      </c>
      <c r="I11" s="242">
        <f t="shared" si="6"/>
        <v>0</v>
      </c>
      <c r="J11" s="242">
        <f t="shared" si="6"/>
        <v>0</v>
      </c>
      <c r="K11" s="242">
        <f t="shared" si="6"/>
        <v>0</v>
      </c>
      <c r="L11" s="242">
        <f t="shared" si="6"/>
        <v>0</v>
      </c>
      <c r="M11" s="242">
        <f t="shared" si="6"/>
        <v>0</v>
      </c>
      <c r="N11" s="242">
        <f t="shared" si="6"/>
        <v>0</v>
      </c>
      <c r="O11" s="242">
        <f t="shared" si="6"/>
        <v>0</v>
      </c>
      <c r="P11" s="12" t="s">
        <v>74</v>
      </c>
      <c r="Q11" s="86"/>
      <c r="R11" s="86"/>
      <c r="S11" s="86"/>
      <c r="T11" s="86"/>
      <c r="U11" s="86"/>
      <c r="V11" s="86"/>
    </row>
    <row r="12" spans="1:22" ht="24" customHeight="1">
      <c r="A12" s="4">
        <f t="shared" si="1"/>
        <v>12</v>
      </c>
      <c r="B12" s="164" t="s">
        <v>255</v>
      </c>
      <c r="C12" s="1278"/>
      <c r="D12" s="193"/>
      <c r="E12" s="242">
        <f>D12</f>
        <v>0</v>
      </c>
      <c r="F12" s="242">
        <f t="shared" si="6"/>
        <v>0</v>
      </c>
      <c r="G12" s="242">
        <f t="shared" si="6"/>
        <v>0</v>
      </c>
      <c r="H12" s="242">
        <f t="shared" si="6"/>
        <v>0</v>
      </c>
      <c r="I12" s="242">
        <f t="shared" si="6"/>
        <v>0</v>
      </c>
      <c r="J12" s="242">
        <f t="shared" si="6"/>
        <v>0</v>
      </c>
      <c r="K12" s="242">
        <f t="shared" si="6"/>
        <v>0</v>
      </c>
      <c r="L12" s="242">
        <f t="shared" si="6"/>
        <v>0</v>
      </c>
      <c r="M12" s="242">
        <f t="shared" si="6"/>
        <v>0</v>
      </c>
      <c r="N12" s="242">
        <f t="shared" si="6"/>
        <v>0</v>
      </c>
      <c r="O12" s="242">
        <f t="shared" si="6"/>
        <v>0</v>
      </c>
      <c r="P12" s="3" t="s">
        <v>77</v>
      </c>
      <c r="Q12" s="86"/>
      <c r="R12" s="86"/>
      <c r="S12" s="86"/>
      <c r="T12" s="86"/>
      <c r="U12" s="86"/>
      <c r="V12" s="86"/>
    </row>
    <row r="13" spans="1:22" ht="24" customHeight="1">
      <c r="A13" s="4">
        <f>A12+1</f>
        <v>13</v>
      </c>
      <c r="B13" s="165" t="s">
        <v>255</v>
      </c>
      <c r="C13" s="1278"/>
      <c r="D13" s="194"/>
      <c r="E13" s="243">
        <f t="shared" ref="E13:O20" si="7">D13</f>
        <v>0</v>
      </c>
      <c r="F13" s="243">
        <f t="shared" si="7"/>
        <v>0</v>
      </c>
      <c r="G13" s="243">
        <f t="shared" si="7"/>
        <v>0</v>
      </c>
      <c r="H13" s="243">
        <f t="shared" si="7"/>
        <v>0</v>
      </c>
      <c r="I13" s="243">
        <f t="shared" si="7"/>
        <v>0</v>
      </c>
      <c r="J13" s="243">
        <f t="shared" si="7"/>
        <v>0</v>
      </c>
      <c r="K13" s="243">
        <f t="shared" si="7"/>
        <v>0</v>
      </c>
      <c r="L13" s="243">
        <f t="shared" si="7"/>
        <v>0</v>
      </c>
      <c r="M13" s="243">
        <f t="shared" si="7"/>
        <v>0</v>
      </c>
      <c r="N13" s="243">
        <f t="shared" si="7"/>
        <v>0</v>
      </c>
      <c r="O13" s="243">
        <f t="shared" si="7"/>
        <v>0</v>
      </c>
      <c r="P13" s="3" t="s">
        <v>77</v>
      </c>
      <c r="Q13" s="86"/>
      <c r="R13" s="86"/>
      <c r="S13" s="86"/>
      <c r="T13" s="86"/>
      <c r="U13" s="86"/>
      <c r="V13" s="86"/>
    </row>
    <row r="14" spans="1:22" ht="24" customHeight="1">
      <c r="A14" s="4">
        <f t="shared" si="1"/>
        <v>14</v>
      </c>
      <c r="B14" s="166" t="s">
        <v>255</v>
      </c>
      <c r="C14" s="1278"/>
      <c r="D14" s="195"/>
      <c r="E14" s="244">
        <f t="shared" si="7"/>
        <v>0</v>
      </c>
      <c r="F14" s="244">
        <f t="shared" si="7"/>
        <v>0</v>
      </c>
      <c r="G14" s="244">
        <f t="shared" si="7"/>
        <v>0</v>
      </c>
      <c r="H14" s="244">
        <f t="shared" si="7"/>
        <v>0</v>
      </c>
      <c r="I14" s="244">
        <f t="shared" si="7"/>
        <v>0</v>
      </c>
      <c r="J14" s="244">
        <f t="shared" si="7"/>
        <v>0</v>
      </c>
      <c r="K14" s="244">
        <f t="shared" si="7"/>
        <v>0</v>
      </c>
      <c r="L14" s="244">
        <f t="shared" si="7"/>
        <v>0</v>
      </c>
      <c r="M14" s="244">
        <f t="shared" si="7"/>
        <v>0</v>
      </c>
      <c r="N14" s="244">
        <f t="shared" si="7"/>
        <v>0</v>
      </c>
      <c r="O14" s="244">
        <f t="shared" si="7"/>
        <v>0</v>
      </c>
      <c r="P14" s="3" t="s">
        <v>77</v>
      </c>
      <c r="Q14" s="86"/>
      <c r="R14" s="86"/>
      <c r="S14" s="86"/>
      <c r="T14" s="86"/>
      <c r="U14" s="86"/>
      <c r="V14" s="86"/>
    </row>
    <row r="15" spans="1:22" ht="24" customHeight="1">
      <c r="A15" s="4">
        <f t="shared" si="1"/>
        <v>15</v>
      </c>
      <c r="B15" s="167" t="s">
        <v>188</v>
      </c>
      <c r="C15" s="1278"/>
      <c r="D15" s="196"/>
      <c r="E15" s="245">
        <f t="shared" si="7"/>
        <v>0</v>
      </c>
      <c r="F15" s="245">
        <f t="shared" si="7"/>
        <v>0</v>
      </c>
      <c r="G15" s="245">
        <f t="shared" si="7"/>
        <v>0</v>
      </c>
      <c r="H15" s="245">
        <f t="shared" si="7"/>
        <v>0</v>
      </c>
      <c r="I15" s="245">
        <f t="shared" si="7"/>
        <v>0</v>
      </c>
      <c r="J15" s="245">
        <f t="shared" si="7"/>
        <v>0</v>
      </c>
      <c r="K15" s="245">
        <f t="shared" si="7"/>
        <v>0</v>
      </c>
      <c r="L15" s="245">
        <f t="shared" si="7"/>
        <v>0</v>
      </c>
      <c r="M15" s="245">
        <f t="shared" si="7"/>
        <v>0</v>
      </c>
      <c r="N15" s="245">
        <f t="shared" si="7"/>
        <v>0</v>
      </c>
      <c r="O15" s="245">
        <f t="shared" si="7"/>
        <v>0</v>
      </c>
      <c r="P15" s="3" t="s">
        <v>75</v>
      </c>
      <c r="Q15" s="86"/>
      <c r="R15" s="86"/>
      <c r="S15" s="86"/>
      <c r="T15" s="86"/>
      <c r="U15" s="86"/>
      <c r="V15" s="86"/>
    </row>
    <row r="16" spans="1:22" ht="24" customHeight="1">
      <c r="A16" s="4">
        <f t="shared" si="1"/>
        <v>16</v>
      </c>
      <c r="B16" s="164" t="s">
        <v>189</v>
      </c>
      <c r="C16" s="1278"/>
      <c r="D16" s="193">
        <v>15700</v>
      </c>
      <c r="E16" s="242">
        <f t="shared" si="7"/>
        <v>15700</v>
      </c>
      <c r="F16" s="242">
        <f t="shared" si="7"/>
        <v>15700</v>
      </c>
      <c r="G16" s="242">
        <f t="shared" si="7"/>
        <v>15700</v>
      </c>
      <c r="H16" s="242">
        <f t="shared" si="7"/>
        <v>15700</v>
      </c>
      <c r="I16" s="242">
        <f t="shared" si="7"/>
        <v>15700</v>
      </c>
      <c r="J16" s="242">
        <f t="shared" si="7"/>
        <v>15700</v>
      </c>
      <c r="K16" s="242">
        <f t="shared" si="7"/>
        <v>15700</v>
      </c>
      <c r="L16" s="242">
        <f t="shared" si="7"/>
        <v>15700</v>
      </c>
      <c r="M16" s="242">
        <f t="shared" si="7"/>
        <v>15700</v>
      </c>
      <c r="N16" s="242">
        <f t="shared" si="7"/>
        <v>15700</v>
      </c>
      <c r="O16" s="242">
        <f t="shared" si="7"/>
        <v>15700</v>
      </c>
      <c r="P16" s="3" t="s">
        <v>75</v>
      </c>
      <c r="Q16" s="86"/>
      <c r="R16" s="86"/>
      <c r="S16" s="86"/>
      <c r="T16" s="86"/>
      <c r="U16" s="86"/>
      <c r="V16" s="86"/>
    </row>
    <row r="17" spans="1:22" ht="24" customHeight="1">
      <c r="A17" s="4">
        <f>A16+1</f>
        <v>17</v>
      </c>
      <c r="B17" s="168" t="s">
        <v>325</v>
      </c>
      <c r="C17" s="1278"/>
      <c r="D17" s="194"/>
      <c r="E17" s="243">
        <f t="shared" si="7"/>
        <v>0</v>
      </c>
      <c r="F17" s="243">
        <f t="shared" si="7"/>
        <v>0</v>
      </c>
      <c r="G17" s="243">
        <f t="shared" si="7"/>
        <v>0</v>
      </c>
      <c r="H17" s="243">
        <f t="shared" si="7"/>
        <v>0</v>
      </c>
      <c r="I17" s="243">
        <f t="shared" si="7"/>
        <v>0</v>
      </c>
      <c r="J17" s="243">
        <f t="shared" si="7"/>
        <v>0</v>
      </c>
      <c r="K17" s="243">
        <f t="shared" si="7"/>
        <v>0</v>
      </c>
      <c r="L17" s="243">
        <f t="shared" si="7"/>
        <v>0</v>
      </c>
      <c r="M17" s="243">
        <f t="shared" si="7"/>
        <v>0</v>
      </c>
      <c r="N17" s="243">
        <f t="shared" si="7"/>
        <v>0</v>
      </c>
      <c r="O17" s="243">
        <f t="shared" si="7"/>
        <v>0</v>
      </c>
      <c r="P17" s="3" t="s">
        <v>326</v>
      </c>
      <c r="Q17" s="86"/>
      <c r="R17" s="86"/>
      <c r="S17" s="86"/>
      <c r="T17" s="86"/>
      <c r="U17" s="86"/>
      <c r="V17" s="86"/>
    </row>
    <row r="18" spans="1:22" ht="24" customHeight="1">
      <c r="A18" s="4">
        <f t="shared" si="1"/>
        <v>18</v>
      </c>
      <c r="B18" s="166" t="s">
        <v>204</v>
      </c>
      <c r="C18" s="1278"/>
      <c r="D18" s="197"/>
      <c r="E18" s="246">
        <f t="shared" si="7"/>
        <v>0</v>
      </c>
      <c r="F18" s="246">
        <f t="shared" si="7"/>
        <v>0</v>
      </c>
      <c r="G18" s="246">
        <f t="shared" si="7"/>
        <v>0</v>
      </c>
      <c r="H18" s="246">
        <f t="shared" si="7"/>
        <v>0</v>
      </c>
      <c r="I18" s="246">
        <f t="shared" si="7"/>
        <v>0</v>
      </c>
      <c r="J18" s="246">
        <f t="shared" si="7"/>
        <v>0</v>
      </c>
      <c r="K18" s="246">
        <f t="shared" si="7"/>
        <v>0</v>
      </c>
      <c r="L18" s="246">
        <f t="shared" si="7"/>
        <v>0</v>
      </c>
      <c r="M18" s="246">
        <f t="shared" si="7"/>
        <v>0</v>
      </c>
      <c r="N18" s="246">
        <f t="shared" si="7"/>
        <v>0</v>
      </c>
      <c r="O18" s="246">
        <f t="shared" si="7"/>
        <v>0</v>
      </c>
      <c r="P18" s="3" t="s">
        <v>75</v>
      </c>
      <c r="Q18" s="86"/>
      <c r="R18" s="86"/>
      <c r="S18" s="86"/>
      <c r="T18" s="86"/>
      <c r="U18" s="86"/>
      <c r="V18" s="86"/>
    </row>
    <row r="19" spans="1:22" ht="24" customHeight="1">
      <c r="A19" s="4">
        <f t="shared" si="1"/>
        <v>19</v>
      </c>
      <c r="B19" s="169" t="s">
        <v>205</v>
      </c>
      <c r="C19" s="1278"/>
      <c r="D19" s="198" t="s">
        <v>223</v>
      </c>
      <c r="E19" s="247" t="str">
        <f>D19</f>
        <v>NEJ</v>
      </c>
      <c r="F19" s="247" t="str">
        <f t="shared" si="7"/>
        <v>NEJ</v>
      </c>
      <c r="G19" s="247" t="str">
        <f t="shared" si="7"/>
        <v>NEJ</v>
      </c>
      <c r="H19" s="247" t="str">
        <f t="shared" si="7"/>
        <v>NEJ</v>
      </c>
      <c r="I19" s="247" t="str">
        <f t="shared" si="7"/>
        <v>NEJ</v>
      </c>
      <c r="J19" s="247" t="str">
        <f t="shared" si="7"/>
        <v>NEJ</v>
      </c>
      <c r="K19" s="247" t="str">
        <f t="shared" si="7"/>
        <v>NEJ</v>
      </c>
      <c r="L19" s="247" t="str">
        <f t="shared" si="7"/>
        <v>NEJ</v>
      </c>
      <c r="M19" s="247" t="str">
        <f t="shared" si="7"/>
        <v>NEJ</v>
      </c>
      <c r="N19" s="247" t="str">
        <f t="shared" si="7"/>
        <v>NEJ</v>
      </c>
      <c r="O19" s="247" t="str">
        <f t="shared" si="7"/>
        <v>NEJ</v>
      </c>
      <c r="P19" s="6" t="s">
        <v>187</v>
      </c>
      <c r="Q19" s="86"/>
      <c r="R19" s="86"/>
      <c r="S19" s="86"/>
      <c r="T19" s="86"/>
      <c r="U19" s="86"/>
      <c r="V19" s="86"/>
    </row>
    <row r="20" spans="1:22" ht="14" customHeight="1">
      <c r="A20" s="4">
        <f t="shared" si="1"/>
        <v>20</v>
      </c>
      <c r="B20" s="170" t="s">
        <v>251</v>
      </c>
      <c r="C20" s="1278"/>
      <c r="D20" s="199"/>
      <c r="E20" s="248">
        <f>D20</f>
        <v>0</v>
      </c>
      <c r="F20" s="248">
        <f t="shared" si="7"/>
        <v>0</v>
      </c>
      <c r="G20" s="248">
        <f t="shared" si="7"/>
        <v>0</v>
      </c>
      <c r="H20" s="248">
        <f t="shared" si="7"/>
        <v>0</v>
      </c>
      <c r="I20" s="248">
        <f t="shared" si="7"/>
        <v>0</v>
      </c>
      <c r="J20" s="248">
        <f t="shared" si="7"/>
        <v>0</v>
      </c>
      <c r="K20" s="248">
        <f t="shared" si="7"/>
        <v>0</v>
      </c>
      <c r="L20" s="248">
        <f>K20</f>
        <v>0</v>
      </c>
      <c r="M20" s="248">
        <f t="shared" si="7"/>
        <v>0</v>
      </c>
      <c r="N20" s="248">
        <f t="shared" si="7"/>
        <v>0</v>
      </c>
      <c r="O20" s="248">
        <f t="shared" si="7"/>
        <v>0</v>
      </c>
      <c r="P20" s="140" t="s">
        <v>153</v>
      </c>
      <c r="Q20" s="86"/>
      <c r="R20" s="86"/>
      <c r="S20" s="86"/>
      <c r="T20" s="86"/>
      <c r="U20" s="86"/>
      <c r="V20" s="86"/>
    </row>
    <row r="21" spans="1:22" ht="14" customHeight="1">
      <c r="A21" s="4">
        <f t="shared" si="1"/>
        <v>21</v>
      </c>
      <c r="B21" s="171" t="s">
        <v>218</v>
      </c>
      <c r="C21" s="1278"/>
      <c r="D21" s="200">
        <v>5</v>
      </c>
      <c r="E21" s="144"/>
      <c r="F21" s="144"/>
      <c r="G21" s="144"/>
      <c r="H21" s="144"/>
      <c r="I21" s="144"/>
      <c r="J21" s="144"/>
      <c r="K21" s="144"/>
      <c r="L21" s="144"/>
      <c r="M21" s="144">
        <v>9.9999999999999995E-8</v>
      </c>
      <c r="N21" s="144"/>
      <c r="O21" s="144">
        <v>20</v>
      </c>
      <c r="P21" s="3" t="s">
        <v>219</v>
      </c>
      <c r="Q21" s="86"/>
      <c r="R21" s="86"/>
      <c r="S21" s="86"/>
      <c r="T21" s="86"/>
      <c r="U21" s="86"/>
      <c r="V21" s="86"/>
    </row>
    <row r="22" spans="1:22" ht="27" customHeight="1">
      <c r="A22" s="4">
        <f t="shared" si="1"/>
        <v>22</v>
      </c>
      <c r="B22" s="127" t="s">
        <v>224</v>
      </c>
      <c r="C22" s="1278"/>
      <c r="D22" s="201">
        <v>0</v>
      </c>
      <c r="E22" s="145"/>
      <c r="F22" s="145"/>
      <c r="G22" s="145"/>
      <c r="H22" s="145"/>
      <c r="I22" s="145"/>
      <c r="J22" s="145"/>
      <c r="K22" s="145"/>
      <c r="L22" s="145"/>
      <c r="M22" s="145"/>
      <c r="N22" s="145"/>
      <c r="O22" s="145">
        <v>0</v>
      </c>
      <c r="P22" s="3" t="s">
        <v>323</v>
      </c>
      <c r="Q22" s="86"/>
      <c r="R22" s="86"/>
      <c r="S22" s="86"/>
      <c r="T22" s="86"/>
      <c r="U22" s="86"/>
      <c r="V22" s="86"/>
    </row>
    <row r="23" spans="1:22" ht="14" customHeight="1">
      <c r="A23" s="4">
        <f t="shared" si="1"/>
        <v>23</v>
      </c>
      <c r="B23" s="172" t="s">
        <v>280</v>
      </c>
      <c r="C23" s="1279"/>
      <c r="D23" s="202">
        <v>0.66139999999999999</v>
      </c>
      <c r="E23" s="249">
        <f t="shared" ref="E23:L23" si="8">D23</f>
        <v>0.66139999999999999</v>
      </c>
      <c r="F23" s="249">
        <f t="shared" si="8"/>
        <v>0.66139999999999999</v>
      </c>
      <c r="G23" s="249">
        <f t="shared" si="8"/>
        <v>0.66139999999999999</v>
      </c>
      <c r="H23" s="249">
        <f t="shared" si="8"/>
        <v>0.66139999999999999</v>
      </c>
      <c r="I23" s="249">
        <f t="shared" si="8"/>
        <v>0.66139999999999999</v>
      </c>
      <c r="J23" s="249">
        <f t="shared" si="8"/>
        <v>0.66139999999999999</v>
      </c>
      <c r="K23" s="249">
        <f t="shared" si="8"/>
        <v>0.66139999999999999</v>
      </c>
      <c r="L23" s="249">
        <f t="shared" si="8"/>
        <v>0.66139999999999999</v>
      </c>
      <c r="M23" s="158"/>
      <c r="N23" s="146"/>
      <c r="O23" s="146"/>
      <c r="P23" s="142" t="s">
        <v>254</v>
      </c>
      <c r="Q23" s="86"/>
      <c r="R23" s="86"/>
      <c r="S23" s="86"/>
      <c r="T23" s="86"/>
      <c r="U23" s="86"/>
      <c r="V23" s="86"/>
    </row>
    <row r="24" spans="1:22" ht="14" customHeight="1">
      <c r="A24" s="4">
        <f t="shared" si="1"/>
        <v>24</v>
      </c>
      <c r="B24" s="173" t="s">
        <v>318</v>
      </c>
      <c r="C24" s="1279"/>
      <c r="D24" s="135" t="s">
        <v>208</v>
      </c>
      <c r="E24" s="147"/>
      <c r="F24" s="147"/>
      <c r="G24" s="147"/>
      <c r="H24" s="147"/>
      <c r="I24" s="147"/>
      <c r="J24" s="147"/>
      <c r="K24" s="147"/>
      <c r="L24" s="159"/>
      <c r="M24" s="366">
        <f>(7*0.6614+5*0.74)/12</f>
        <v>0.69414999999999993</v>
      </c>
      <c r="N24" s="250">
        <f>M24</f>
        <v>0.69414999999999993</v>
      </c>
      <c r="O24" s="250">
        <f>N24</f>
        <v>0.69414999999999993</v>
      </c>
      <c r="P24" s="139" t="s">
        <v>253</v>
      </c>
      <c r="Q24" s="86"/>
      <c r="R24" s="86"/>
      <c r="S24" s="86"/>
      <c r="T24" s="86"/>
      <c r="U24" s="86"/>
      <c r="V24" s="86"/>
    </row>
    <row r="25" spans="1:22" ht="14" customHeight="1">
      <c r="A25" s="4">
        <f t="shared" si="1"/>
        <v>25</v>
      </c>
      <c r="B25" s="174" t="s">
        <v>198</v>
      </c>
      <c r="C25" s="1279"/>
      <c r="D25" s="203"/>
      <c r="E25" s="121"/>
      <c r="F25" s="121"/>
      <c r="G25" s="121"/>
      <c r="H25" s="121"/>
      <c r="I25" s="121"/>
      <c r="J25" s="121"/>
      <c r="K25" s="121"/>
      <c r="L25" s="121"/>
      <c r="M25" s="121"/>
      <c r="N25" s="121"/>
      <c r="O25" s="121"/>
      <c r="P25" s="140" t="s">
        <v>248</v>
      </c>
      <c r="Q25" s="86"/>
      <c r="R25" s="86"/>
      <c r="S25" s="86"/>
      <c r="T25" s="86"/>
      <c r="U25" s="86"/>
      <c r="V25" s="86"/>
    </row>
    <row r="26" spans="1:22" ht="14" customHeight="1">
      <c r="A26" s="4">
        <f t="shared" si="1"/>
        <v>26</v>
      </c>
      <c r="B26" s="175" t="s">
        <v>199</v>
      </c>
      <c r="C26" s="1279"/>
      <c r="D26" s="204">
        <f>Ex11_12!O26</f>
        <v>41</v>
      </c>
      <c r="E26" s="251">
        <f>D26</f>
        <v>41</v>
      </c>
      <c r="F26" s="251">
        <f t="shared" ref="F26:O27" si="9">E26</f>
        <v>41</v>
      </c>
      <c r="G26" s="251">
        <f t="shared" si="9"/>
        <v>41</v>
      </c>
      <c r="H26" s="251">
        <f t="shared" si="9"/>
        <v>41</v>
      </c>
      <c r="I26" s="333">
        <v>40</v>
      </c>
      <c r="J26" s="251">
        <f t="shared" si="9"/>
        <v>40</v>
      </c>
      <c r="K26" s="251">
        <f t="shared" si="9"/>
        <v>40</v>
      </c>
      <c r="L26" s="251">
        <f t="shared" si="9"/>
        <v>40</v>
      </c>
      <c r="M26" s="251">
        <f t="shared" si="9"/>
        <v>40</v>
      </c>
      <c r="N26" s="251">
        <f t="shared" si="9"/>
        <v>40</v>
      </c>
      <c r="O26" s="251">
        <f t="shared" si="9"/>
        <v>40</v>
      </c>
      <c r="P26" s="3" t="s">
        <v>17</v>
      </c>
      <c r="Q26" s="86"/>
      <c r="R26" s="86"/>
      <c r="S26" s="86"/>
      <c r="T26" s="86"/>
      <c r="U26" s="86"/>
      <c r="V26" s="86"/>
    </row>
    <row r="27" spans="1:22" ht="14" customHeight="1">
      <c r="A27" s="4">
        <f t="shared" si="1"/>
        <v>27</v>
      </c>
      <c r="B27" s="174" t="s">
        <v>200</v>
      </c>
      <c r="C27" s="1279"/>
      <c r="D27" s="205">
        <f>Ex11_12!O27</f>
        <v>5120</v>
      </c>
      <c r="E27" s="252">
        <f>D27</f>
        <v>5120</v>
      </c>
      <c r="F27" s="252">
        <f t="shared" si="9"/>
        <v>5120</v>
      </c>
      <c r="G27" s="252">
        <f t="shared" si="9"/>
        <v>5120</v>
      </c>
      <c r="H27" s="252">
        <f t="shared" si="9"/>
        <v>5120</v>
      </c>
      <c r="I27" s="334">
        <v>5500</v>
      </c>
      <c r="J27" s="252">
        <f t="shared" si="9"/>
        <v>5500</v>
      </c>
      <c r="K27" s="252">
        <f t="shared" si="9"/>
        <v>5500</v>
      </c>
      <c r="L27" s="334">
        <v>0</v>
      </c>
      <c r="M27" s="334">
        <v>5500</v>
      </c>
      <c r="N27" s="252">
        <f t="shared" si="9"/>
        <v>5500</v>
      </c>
      <c r="O27" s="252">
        <f t="shared" si="9"/>
        <v>5500</v>
      </c>
      <c r="P27" s="140"/>
      <c r="Q27" s="86"/>
      <c r="R27" s="86"/>
      <c r="S27" s="86"/>
      <c r="T27" s="86"/>
      <c r="U27" s="86"/>
      <c r="V27" s="86"/>
    </row>
    <row r="28" spans="1:22" ht="14">
      <c r="A28" s="4">
        <f t="shared" si="1"/>
        <v>28</v>
      </c>
      <c r="B28" s="176" t="s">
        <v>142</v>
      </c>
      <c r="C28" s="1279"/>
      <c r="D28" s="226"/>
      <c r="E28" s="227"/>
      <c r="F28" s="227"/>
      <c r="G28" s="227"/>
      <c r="H28" s="227"/>
      <c r="I28" s="227"/>
      <c r="J28" s="227"/>
      <c r="K28" s="227"/>
      <c r="L28" s="227"/>
      <c r="M28" s="227"/>
      <c r="N28" s="227"/>
      <c r="O28" s="227"/>
      <c r="P28" s="6" t="s">
        <v>266</v>
      </c>
      <c r="Q28" s="86"/>
      <c r="R28" s="86"/>
      <c r="S28" s="86"/>
      <c r="T28" s="86"/>
      <c r="U28" s="86"/>
      <c r="V28" s="86"/>
    </row>
    <row r="29" spans="1:22" ht="14">
      <c r="A29" s="4">
        <f t="shared" si="1"/>
        <v>29</v>
      </c>
      <c r="B29" s="177" t="s">
        <v>152</v>
      </c>
      <c r="C29" s="1279"/>
      <c r="D29" s="228"/>
      <c r="E29" s="229"/>
      <c r="F29" s="229"/>
      <c r="G29" s="229"/>
      <c r="H29" s="229"/>
      <c r="I29" s="229"/>
      <c r="J29" s="229"/>
      <c r="K29" s="229"/>
      <c r="L29" s="229"/>
      <c r="M29" s="229"/>
      <c r="N29" s="229"/>
      <c r="O29" s="229"/>
      <c r="P29" s="6" t="s">
        <v>266</v>
      </c>
      <c r="Q29" s="86"/>
      <c r="R29" s="86"/>
      <c r="S29" s="86"/>
      <c r="T29" s="86"/>
      <c r="U29" s="86"/>
      <c r="V29" s="86"/>
    </row>
    <row r="30" spans="1:22" ht="14">
      <c r="A30" s="4">
        <f t="shared" si="1"/>
        <v>30</v>
      </c>
      <c r="B30" s="177" t="s">
        <v>143</v>
      </c>
      <c r="C30" s="1279"/>
      <c r="D30" s="228"/>
      <c r="E30" s="229"/>
      <c r="F30" s="229"/>
      <c r="G30" s="229"/>
      <c r="H30" s="229"/>
      <c r="I30" s="229"/>
      <c r="J30" s="229"/>
      <c r="K30" s="229"/>
      <c r="L30" s="229"/>
      <c r="M30" s="229"/>
      <c r="N30" s="229"/>
      <c r="O30" s="229"/>
      <c r="P30" s="6" t="s">
        <v>266</v>
      </c>
      <c r="Q30" s="86"/>
      <c r="R30" s="86"/>
      <c r="S30" s="86"/>
      <c r="T30" s="86"/>
      <c r="U30" s="86"/>
      <c r="V30" s="86"/>
    </row>
    <row r="31" spans="1:22" ht="14">
      <c r="A31" s="4">
        <f t="shared" si="1"/>
        <v>31</v>
      </c>
      <c r="B31" s="177" t="s">
        <v>128</v>
      </c>
      <c r="C31" s="1279"/>
      <c r="D31" s="228"/>
      <c r="E31" s="229"/>
      <c r="F31" s="229"/>
      <c r="G31" s="229"/>
      <c r="H31" s="229"/>
      <c r="I31" s="229"/>
      <c r="J31" s="229"/>
      <c r="K31" s="229"/>
      <c r="L31" s="229"/>
      <c r="M31" s="229"/>
      <c r="N31" s="229"/>
      <c r="O31" s="229"/>
      <c r="P31" s="6" t="s">
        <v>266</v>
      </c>
      <c r="Q31" s="86"/>
      <c r="R31" s="86"/>
      <c r="S31" s="86"/>
      <c r="T31" s="86"/>
      <c r="U31" s="86"/>
      <c r="V31" s="86"/>
    </row>
    <row r="32" spans="1:22">
      <c r="A32" s="4">
        <f t="shared" si="1"/>
        <v>32</v>
      </c>
      <c r="B32" s="177" t="s">
        <v>201</v>
      </c>
      <c r="C32" s="1279"/>
      <c r="D32" s="228"/>
      <c r="E32" s="229"/>
      <c r="F32" s="229"/>
      <c r="G32" s="229"/>
      <c r="H32" s="229"/>
      <c r="I32" s="229"/>
      <c r="J32" s="229"/>
      <c r="K32" s="229"/>
      <c r="L32" s="229"/>
      <c r="M32" s="229"/>
      <c r="N32" s="229"/>
      <c r="O32" s="229"/>
      <c r="P32" s="3" t="s">
        <v>266</v>
      </c>
      <c r="Q32" s="86"/>
      <c r="R32" s="86"/>
      <c r="S32" s="86"/>
      <c r="T32" s="86"/>
      <c r="U32" s="86"/>
      <c r="V32" s="86"/>
    </row>
    <row r="33" spans="1:22" ht="14">
      <c r="A33" s="4">
        <f t="shared" si="1"/>
        <v>33</v>
      </c>
      <c r="B33" s="177" t="s">
        <v>144</v>
      </c>
      <c r="C33" s="1279"/>
      <c r="D33" s="228"/>
      <c r="E33" s="229"/>
      <c r="F33" s="229"/>
      <c r="G33" s="229"/>
      <c r="H33" s="229"/>
      <c r="I33" s="229"/>
      <c r="J33" s="229"/>
      <c r="K33" s="229"/>
      <c r="L33" s="229"/>
      <c r="M33" s="229"/>
      <c r="N33" s="229"/>
      <c r="O33" s="229"/>
      <c r="P33" s="6" t="s">
        <v>76</v>
      </c>
      <c r="Q33" s="86"/>
      <c r="R33" s="86"/>
      <c r="S33" s="86"/>
      <c r="T33" s="86"/>
      <c r="U33" s="86"/>
      <c r="V33" s="86"/>
    </row>
    <row r="34" spans="1:22" ht="14">
      <c r="A34" s="4">
        <f t="shared" si="1"/>
        <v>34</v>
      </c>
      <c r="B34" s="177" t="s">
        <v>146</v>
      </c>
      <c r="C34" s="1279"/>
      <c r="D34" s="228"/>
      <c r="E34" s="229"/>
      <c r="F34" s="229"/>
      <c r="G34" s="229"/>
      <c r="H34" s="229"/>
      <c r="I34" s="229"/>
      <c r="J34" s="229"/>
      <c r="K34" s="229"/>
      <c r="L34" s="229"/>
      <c r="M34" s="229"/>
      <c r="N34" s="229"/>
      <c r="O34" s="229"/>
      <c r="P34" s="6" t="s">
        <v>69</v>
      </c>
      <c r="Q34" s="86"/>
      <c r="R34" s="86"/>
      <c r="S34" s="86"/>
      <c r="T34" s="86"/>
      <c r="U34" s="86"/>
      <c r="V34" s="86"/>
    </row>
    <row r="35" spans="1:22" ht="14">
      <c r="A35" s="4">
        <f t="shared" si="1"/>
        <v>35</v>
      </c>
      <c r="B35" s="177" t="s">
        <v>145</v>
      </c>
      <c r="C35" s="1279"/>
      <c r="D35" s="228"/>
      <c r="E35" s="229"/>
      <c r="F35" s="229"/>
      <c r="G35" s="229"/>
      <c r="H35" s="229"/>
      <c r="I35" s="229"/>
      <c r="J35" s="229"/>
      <c r="K35" s="229"/>
      <c r="L35" s="229"/>
      <c r="M35" s="229"/>
      <c r="N35" s="229"/>
      <c r="O35" s="229"/>
      <c r="P35" s="6" t="s">
        <v>69</v>
      </c>
      <c r="Q35" s="86"/>
      <c r="R35" s="86"/>
      <c r="S35" s="86"/>
      <c r="T35" s="86"/>
      <c r="U35" s="86"/>
      <c r="V35" s="86"/>
    </row>
    <row r="36" spans="1:22" ht="14">
      <c r="A36" s="4">
        <f t="shared" si="1"/>
        <v>36</v>
      </c>
      <c r="B36" s="177" t="s">
        <v>147</v>
      </c>
      <c r="C36" s="1279"/>
      <c r="D36" s="228"/>
      <c r="E36" s="229"/>
      <c r="F36" s="229"/>
      <c r="G36" s="229"/>
      <c r="H36" s="229"/>
      <c r="I36" s="229"/>
      <c r="J36" s="229"/>
      <c r="K36" s="229"/>
      <c r="L36" s="229"/>
      <c r="M36" s="229"/>
      <c r="N36" s="229"/>
      <c r="O36" s="229"/>
      <c r="P36" s="6" t="s">
        <v>324</v>
      </c>
      <c r="Q36" s="86"/>
      <c r="R36" s="86"/>
      <c r="S36" s="86"/>
      <c r="T36" s="86"/>
      <c r="U36" s="86"/>
      <c r="V36" s="86"/>
    </row>
    <row r="37" spans="1:22" ht="14">
      <c r="A37" s="4">
        <f t="shared" si="1"/>
        <v>37</v>
      </c>
      <c r="B37" s="177" t="s">
        <v>206</v>
      </c>
      <c r="C37" s="1279"/>
      <c r="D37" s="230" t="s">
        <v>316</v>
      </c>
      <c r="E37" s="231"/>
      <c r="F37" s="231"/>
      <c r="G37" s="231"/>
      <c r="H37" s="231"/>
      <c r="I37" s="231"/>
      <c r="J37" s="231"/>
      <c r="K37" s="231"/>
      <c r="L37" s="231"/>
      <c r="M37" s="253">
        <f>IF(M21&gt;0,ROUND(1.5%*P88,2),0)</f>
        <v>3376.77</v>
      </c>
      <c r="N37" s="253">
        <f>IF(AND(N21&gt;0,M37=0),ROUND(1.5%*P88,2),0)</f>
        <v>0</v>
      </c>
      <c r="O37" s="253">
        <f>IF(AND(O21&gt;0,SUM(M37:N37)=0),ROUND(1.5%*P88,2),0)</f>
        <v>0</v>
      </c>
      <c r="P37" s="6" t="s">
        <v>246</v>
      </c>
      <c r="Q37" s="86"/>
      <c r="R37" s="86"/>
      <c r="S37" s="86"/>
      <c r="T37" s="86"/>
      <c r="U37" s="86"/>
      <c r="V37" s="86"/>
    </row>
    <row r="38" spans="1:22">
      <c r="A38" s="4">
        <f t="shared" si="1"/>
        <v>38</v>
      </c>
      <c r="B38" s="178" t="s">
        <v>133</v>
      </c>
      <c r="C38" s="1279"/>
      <c r="D38" s="228"/>
      <c r="E38" s="229"/>
      <c r="F38" s="229"/>
      <c r="G38" s="229"/>
      <c r="H38" s="229"/>
      <c r="I38" s="229"/>
      <c r="J38" s="229"/>
      <c r="K38" s="229"/>
      <c r="L38" s="229"/>
      <c r="M38" s="229"/>
      <c r="N38" s="229"/>
      <c r="O38" s="229"/>
      <c r="P38" s="85"/>
      <c r="Q38" s="86"/>
      <c r="R38" s="86"/>
      <c r="S38" s="86"/>
      <c r="T38" s="86"/>
      <c r="U38" s="86"/>
      <c r="V38" s="86"/>
    </row>
    <row r="39" spans="1:22">
      <c r="A39" s="4">
        <f t="shared" si="1"/>
        <v>39</v>
      </c>
      <c r="B39" s="178" t="s">
        <v>148</v>
      </c>
      <c r="C39" s="1279"/>
      <c r="D39" s="228"/>
      <c r="E39" s="229"/>
      <c r="F39" s="229"/>
      <c r="G39" s="229"/>
      <c r="H39" s="229"/>
      <c r="I39" s="229"/>
      <c r="J39" s="229"/>
      <c r="K39" s="229"/>
      <c r="L39" s="229"/>
      <c r="M39" s="229"/>
      <c r="N39" s="229"/>
      <c r="O39" s="229"/>
      <c r="P39" s="85"/>
      <c r="Q39" s="86"/>
      <c r="R39" s="86"/>
      <c r="S39" s="86"/>
      <c r="T39" s="86"/>
      <c r="U39" s="86"/>
      <c r="V39" s="86"/>
    </row>
    <row r="40" spans="1:22">
      <c r="A40" s="4">
        <f t="shared" si="1"/>
        <v>40</v>
      </c>
      <c r="B40" s="178" t="s">
        <v>131</v>
      </c>
      <c r="C40" s="1279"/>
      <c r="D40" s="228"/>
      <c r="E40" s="229"/>
      <c r="F40" s="229"/>
      <c r="G40" s="229"/>
      <c r="H40" s="229"/>
      <c r="I40" s="229"/>
      <c r="J40" s="229"/>
      <c r="K40" s="229"/>
      <c r="L40" s="229"/>
      <c r="M40" s="229"/>
      <c r="N40" s="229"/>
      <c r="O40" s="229"/>
      <c r="P40" s="85"/>
      <c r="Q40" s="86"/>
      <c r="R40" s="86"/>
      <c r="S40" s="86"/>
      <c r="T40" s="86"/>
      <c r="U40" s="86"/>
      <c r="V40" s="86"/>
    </row>
    <row r="41" spans="1:22">
      <c r="A41" s="4">
        <f t="shared" si="1"/>
        <v>41</v>
      </c>
      <c r="B41" s="178" t="s">
        <v>134</v>
      </c>
      <c r="C41" s="1279"/>
      <c r="D41" s="228"/>
      <c r="E41" s="229"/>
      <c r="F41" s="229"/>
      <c r="G41" s="229"/>
      <c r="H41" s="229"/>
      <c r="I41" s="229"/>
      <c r="J41" s="229"/>
      <c r="K41" s="229"/>
      <c r="L41" s="229"/>
      <c r="M41" s="229"/>
      <c r="N41" s="229"/>
      <c r="O41" s="229"/>
      <c r="P41" s="85"/>
      <c r="Q41" s="86"/>
      <c r="R41" s="86"/>
      <c r="S41" s="86"/>
      <c r="T41" s="86"/>
      <c r="U41" s="86"/>
      <c r="V41" s="86"/>
    </row>
    <row r="42" spans="1:22">
      <c r="A42" s="4">
        <f t="shared" si="1"/>
        <v>42</v>
      </c>
      <c r="B42" s="179" t="s">
        <v>129</v>
      </c>
      <c r="C42" s="1280"/>
      <c r="D42" s="232"/>
      <c r="E42" s="233"/>
      <c r="F42" s="233"/>
      <c r="G42" s="233"/>
      <c r="H42" s="233"/>
      <c r="I42" s="233"/>
      <c r="J42" s="233"/>
      <c r="K42" s="233"/>
      <c r="L42" s="233"/>
      <c r="M42" s="233"/>
      <c r="N42" s="233"/>
      <c r="O42" s="233"/>
      <c r="P42" s="141"/>
      <c r="Q42" s="86"/>
      <c r="R42" s="86"/>
      <c r="S42" s="86"/>
      <c r="T42" s="86"/>
      <c r="U42" s="86"/>
      <c r="V42" s="86"/>
    </row>
    <row r="43" spans="1:22" ht="32" customHeight="1">
      <c r="A43" s="22">
        <f t="shared" si="1"/>
        <v>43</v>
      </c>
      <c r="B43" s="180" t="s">
        <v>214</v>
      </c>
      <c r="C43" s="76" t="str">
        <f>C2</f>
        <v>jan-jul</v>
      </c>
      <c r="D43" s="206" t="str">
        <f>D2</f>
        <v>AUG 12</v>
      </c>
      <c r="E43" s="76" t="str">
        <f t="shared" ref="E43:O43" si="10">E2</f>
        <v>SEP12</v>
      </c>
      <c r="F43" s="76" t="str">
        <f t="shared" si="10"/>
        <v>OKT 12</v>
      </c>
      <c r="G43" s="76" t="str">
        <f t="shared" si="10"/>
        <v>NOV 12</v>
      </c>
      <c r="H43" s="76" t="str">
        <f t="shared" si="10"/>
        <v>DEC 12</v>
      </c>
      <c r="I43" s="76" t="str">
        <f t="shared" si="10"/>
        <v>JAN 13</v>
      </c>
      <c r="J43" s="76" t="str">
        <f t="shared" si="10"/>
        <v>FEB 13</v>
      </c>
      <c r="K43" s="76" t="str">
        <f t="shared" si="10"/>
        <v>MAR 13</v>
      </c>
      <c r="L43" s="76" t="str">
        <f t="shared" si="10"/>
        <v>APR 13</v>
      </c>
      <c r="M43" s="76" t="str">
        <f t="shared" si="10"/>
        <v>MAJ13</v>
      </c>
      <c r="N43" s="76" t="str">
        <f t="shared" si="10"/>
        <v>JUN 13</v>
      </c>
      <c r="O43" s="76" t="str">
        <f t="shared" si="10"/>
        <v>JUL 13</v>
      </c>
      <c r="P43" s="80" t="s">
        <v>111</v>
      </c>
      <c r="Q43" s="86"/>
      <c r="R43" s="86"/>
      <c r="S43" s="86"/>
      <c r="T43" s="86"/>
      <c r="U43" s="86"/>
      <c r="V43" s="86"/>
    </row>
    <row r="44" spans="1:22">
      <c r="A44" s="22">
        <f t="shared" si="1"/>
        <v>44</v>
      </c>
      <c r="B44" s="154" t="s">
        <v>85</v>
      </c>
      <c r="C44" s="220"/>
      <c r="D44" s="103">
        <f t="shared" ref="D44:O44" si="11">ROUND(IF(D9&gt;0,ROUND((ROUND(VLOOKUP(D4,basistabel12,2,0)*D7,0))/12,2),0)*D9*D3,2)</f>
        <v>17472.75</v>
      </c>
      <c r="E44" s="103">
        <f t="shared" si="11"/>
        <v>17472.75</v>
      </c>
      <c r="F44" s="103">
        <f t="shared" si="11"/>
        <v>17472.75</v>
      </c>
      <c r="G44" s="103">
        <f t="shared" si="11"/>
        <v>17472.75</v>
      </c>
      <c r="H44" s="103">
        <f t="shared" si="11"/>
        <v>17472.75</v>
      </c>
      <c r="I44" s="103">
        <f t="shared" si="11"/>
        <v>17472.75</v>
      </c>
      <c r="J44" s="103">
        <f t="shared" si="11"/>
        <v>17472.75</v>
      </c>
      <c r="K44" s="103">
        <f t="shared" si="11"/>
        <v>17472.75</v>
      </c>
      <c r="L44" s="103">
        <f t="shared" si="11"/>
        <v>2376.7600000000002</v>
      </c>
      <c r="M44" s="103">
        <f t="shared" si="11"/>
        <v>17825.68</v>
      </c>
      <c r="N44" s="103">
        <f t="shared" si="11"/>
        <v>17825.68</v>
      </c>
      <c r="O44" s="103">
        <f t="shared" si="11"/>
        <v>17825.68</v>
      </c>
      <c r="P44" s="117">
        <f t="shared" ref="P44:P81" si="12">SUM(D44:O44)</f>
        <v>195635.8</v>
      </c>
      <c r="Q44" s="86"/>
      <c r="R44" s="86"/>
      <c r="S44" s="86"/>
      <c r="T44" s="86"/>
      <c r="U44" s="86"/>
      <c r="V44" s="86"/>
    </row>
    <row r="45" spans="1:22">
      <c r="A45" s="22">
        <f>A44+1</f>
        <v>45</v>
      </c>
      <c r="B45" s="155" t="s">
        <v>86</v>
      </c>
      <c r="C45" s="220"/>
      <c r="D45" s="105">
        <f t="shared" ref="D45:L45" si="13">ROUND(IF(D9&gt;0,ROUND((VLOOKUP(D4,omraadetabel12,D8,0))/12,2),0)*D9*D3,2)</f>
        <v>240.5</v>
      </c>
      <c r="E45" s="105">
        <f t="shared" si="13"/>
        <v>240.5</v>
      </c>
      <c r="F45" s="105">
        <f t="shared" si="13"/>
        <v>240.5</v>
      </c>
      <c r="G45" s="105">
        <f t="shared" si="13"/>
        <v>240.5</v>
      </c>
      <c r="H45" s="105">
        <f t="shared" si="13"/>
        <v>240.5</v>
      </c>
      <c r="I45" s="105">
        <f t="shared" si="13"/>
        <v>240.5</v>
      </c>
      <c r="J45" s="105">
        <f t="shared" si="13"/>
        <v>240.5</v>
      </c>
      <c r="K45" s="105">
        <f t="shared" si="13"/>
        <v>240.5</v>
      </c>
      <c r="L45" s="105">
        <f t="shared" si="13"/>
        <v>32.07</v>
      </c>
      <c r="M45" s="105">
        <f>ROUND(IF(M9&gt;0,ROUND((VLOOKUP(M4,omraadetabel,M8,0))/12,2),0)*M9*M3,2)</f>
        <v>240.5</v>
      </c>
      <c r="N45" s="105">
        <f>ROUND(IF(N9&gt;0,ROUND((VLOOKUP(N4,omraadetabel,N8,0))/12,2),0)*N9*N3,2)</f>
        <v>240.5</v>
      </c>
      <c r="O45" s="105">
        <f>ROUND(IF(O9&gt;0,ROUND((VLOOKUP(O4,omraadetabel,O8,0))/12,2),0)*O9*O3,2)</f>
        <v>240.5</v>
      </c>
      <c r="P45" s="106">
        <f t="shared" si="12"/>
        <v>2677.5699999999997</v>
      </c>
      <c r="Q45" s="86"/>
      <c r="R45" s="86"/>
      <c r="S45" s="86"/>
      <c r="T45" s="86"/>
      <c r="U45" s="86"/>
      <c r="V45" s="86"/>
    </row>
    <row r="46" spans="1:22">
      <c r="A46" s="22">
        <f t="shared" ref="A46:A81" si="14">A45+1</f>
        <v>46</v>
      </c>
      <c r="B46" s="155" t="s">
        <v>170</v>
      </c>
      <c r="C46" s="220"/>
      <c r="D46" s="105">
        <f t="shared" ref="D46:O46" si="15">ROUND(SUM(D102:D105)*D3,2)</f>
        <v>1248.5</v>
      </c>
      <c r="E46" s="105">
        <f t="shared" si="15"/>
        <v>1248.5</v>
      </c>
      <c r="F46" s="105">
        <f t="shared" si="15"/>
        <v>1248.5</v>
      </c>
      <c r="G46" s="105">
        <f t="shared" si="15"/>
        <v>1248.5</v>
      </c>
      <c r="H46" s="105">
        <f t="shared" si="15"/>
        <v>1248.5</v>
      </c>
      <c r="I46" s="105">
        <f t="shared" si="15"/>
        <v>1248.5</v>
      </c>
      <c r="J46" s="105">
        <f t="shared" si="15"/>
        <v>1248.5</v>
      </c>
      <c r="K46" s="105">
        <f t="shared" si="15"/>
        <v>1248.5</v>
      </c>
      <c r="L46" s="105">
        <f t="shared" si="15"/>
        <v>169.84</v>
      </c>
      <c r="M46" s="105">
        <f t="shared" si="15"/>
        <v>1273.8</v>
      </c>
      <c r="N46" s="105">
        <f t="shared" si="15"/>
        <v>1273.8</v>
      </c>
      <c r="O46" s="105">
        <f t="shared" si="15"/>
        <v>1273.8</v>
      </c>
      <c r="P46" s="106">
        <f t="shared" si="12"/>
        <v>13979.239999999998</v>
      </c>
      <c r="Q46" s="86"/>
      <c r="R46" s="86"/>
      <c r="S46" s="86"/>
      <c r="T46" s="86"/>
      <c r="U46" s="86"/>
      <c r="V46" s="86"/>
    </row>
    <row r="47" spans="1:22">
      <c r="A47" s="22">
        <f t="shared" si="14"/>
        <v>47</v>
      </c>
      <c r="B47" s="155" t="s">
        <v>171</v>
      </c>
      <c r="C47" s="220"/>
      <c r="D47" s="105">
        <f t="shared" ref="D47:O47" si="16">ROUND(D11*D$7*D3/12,2)</f>
        <v>0</v>
      </c>
      <c r="E47" s="105">
        <f t="shared" si="16"/>
        <v>0</v>
      </c>
      <c r="F47" s="105">
        <f t="shared" si="16"/>
        <v>0</v>
      </c>
      <c r="G47" s="105">
        <f t="shared" si="16"/>
        <v>0</v>
      </c>
      <c r="H47" s="105">
        <f t="shared" si="16"/>
        <v>0</v>
      </c>
      <c r="I47" s="105">
        <f t="shared" si="16"/>
        <v>0</v>
      </c>
      <c r="J47" s="105">
        <f t="shared" si="16"/>
        <v>0</v>
      </c>
      <c r="K47" s="105">
        <f t="shared" si="16"/>
        <v>0</v>
      </c>
      <c r="L47" s="105">
        <f t="shared" si="16"/>
        <v>0</v>
      </c>
      <c r="M47" s="105">
        <f t="shared" si="16"/>
        <v>0</v>
      </c>
      <c r="N47" s="105">
        <f t="shared" si="16"/>
        <v>0</v>
      </c>
      <c r="O47" s="105">
        <f t="shared" si="16"/>
        <v>0</v>
      </c>
      <c r="P47" s="106">
        <f t="shared" si="12"/>
        <v>0</v>
      </c>
      <c r="Q47" s="86"/>
      <c r="R47" s="86"/>
      <c r="S47" s="86"/>
      <c r="T47" s="86"/>
      <c r="U47" s="86"/>
      <c r="V47" s="86"/>
    </row>
    <row r="48" spans="1:22">
      <c r="A48" s="22">
        <f t="shared" si="14"/>
        <v>48</v>
      </c>
      <c r="B48" s="155" t="s">
        <v>172</v>
      </c>
      <c r="C48" s="220"/>
      <c r="D48" s="105">
        <f t="shared" ref="D48:O48" si="17">ROUND(D12*D$7*D3/12,2)</f>
        <v>0</v>
      </c>
      <c r="E48" s="105">
        <f t="shared" si="17"/>
        <v>0</v>
      </c>
      <c r="F48" s="105">
        <f t="shared" si="17"/>
        <v>0</v>
      </c>
      <c r="G48" s="105">
        <f t="shared" si="17"/>
        <v>0</v>
      </c>
      <c r="H48" s="105">
        <f t="shared" si="17"/>
        <v>0</v>
      </c>
      <c r="I48" s="105">
        <f t="shared" si="17"/>
        <v>0</v>
      </c>
      <c r="J48" s="105">
        <f t="shared" si="17"/>
        <v>0</v>
      </c>
      <c r="K48" s="105">
        <f t="shared" si="17"/>
        <v>0</v>
      </c>
      <c r="L48" s="105">
        <f t="shared" si="17"/>
        <v>0</v>
      </c>
      <c r="M48" s="105">
        <f t="shared" si="17"/>
        <v>0</v>
      </c>
      <c r="N48" s="105">
        <f t="shared" si="17"/>
        <v>0</v>
      </c>
      <c r="O48" s="105">
        <f t="shared" si="17"/>
        <v>0</v>
      </c>
      <c r="P48" s="106">
        <f t="shared" si="12"/>
        <v>0</v>
      </c>
      <c r="Q48" s="86"/>
      <c r="R48" s="86"/>
      <c r="S48" s="86"/>
      <c r="T48" s="86"/>
      <c r="U48" s="86"/>
      <c r="V48" s="86"/>
    </row>
    <row r="49" spans="1:22">
      <c r="A49" s="22">
        <f t="shared" si="14"/>
        <v>49</v>
      </c>
      <c r="B49" s="155" t="s">
        <v>173</v>
      </c>
      <c r="C49" s="220"/>
      <c r="D49" s="105">
        <f t="shared" ref="D49:O49" si="18">ROUND(D13*D$7/12*D3,2)</f>
        <v>0</v>
      </c>
      <c r="E49" s="105">
        <f t="shared" si="18"/>
        <v>0</v>
      </c>
      <c r="F49" s="105">
        <f t="shared" si="18"/>
        <v>0</v>
      </c>
      <c r="G49" s="105">
        <f t="shared" si="18"/>
        <v>0</v>
      </c>
      <c r="H49" s="105">
        <f t="shared" si="18"/>
        <v>0</v>
      </c>
      <c r="I49" s="105">
        <f t="shared" si="18"/>
        <v>0</v>
      </c>
      <c r="J49" s="105">
        <f t="shared" si="18"/>
        <v>0</v>
      </c>
      <c r="K49" s="105">
        <f t="shared" si="18"/>
        <v>0</v>
      </c>
      <c r="L49" s="105">
        <f t="shared" si="18"/>
        <v>0</v>
      </c>
      <c r="M49" s="105">
        <f t="shared" si="18"/>
        <v>0</v>
      </c>
      <c r="N49" s="105">
        <f t="shared" si="18"/>
        <v>0</v>
      </c>
      <c r="O49" s="105">
        <f t="shared" si="18"/>
        <v>0</v>
      </c>
      <c r="P49" s="106">
        <f t="shared" si="12"/>
        <v>0</v>
      </c>
      <c r="Q49" s="86"/>
      <c r="R49" s="86"/>
      <c r="S49" s="86"/>
      <c r="T49" s="86"/>
      <c r="U49" s="86"/>
      <c r="V49" s="86"/>
    </row>
    <row r="50" spans="1:22">
      <c r="A50" s="22">
        <f t="shared" si="14"/>
        <v>50</v>
      </c>
      <c r="B50" s="155" t="s">
        <v>174</v>
      </c>
      <c r="C50" s="220"/>
      <c r="D50" s="105">
        <f t="shared" ref="D50:O50" si="19">ROUND(D14*D$7/12*D3,2)</f>
        <v>0</v>
      </c>
      <c r="E50" s="105">
        <f t="shared" si="19"/>
        <v>0</v>
      </c>
      <c r="F50" s="105">
        <f t="shared" si="19"/>
        <v>0</v>
      </c>
      <c r="G50" s="105">
        <f t="shared" si="19"/>
        <v>0</v>
      </c>
      <c r="H50" s="105">
        <f t="shared" si="19"/>
        <v>0</v>
      </c>
      <c r="I50" s="105">
        <f t="shared" si="19"/>
        <v>0</v>
      </c>
      <c r="J50" s="105">
        <f t="shared" si="19"/>
        <v>0</v>
      </c>
      <c r="K50" s="105">
        <f t="shared" si="19"/>
        <v>0</v>
      </c>
      <c r="L50" s="105">
        <f t="shared" si="19"/>
        <v>0</v>
      </c>
      <c r="M50" s="105">
        <f t="shared" si="19"/>
        <v>0</v>
      </c>
      <c r="N50" s="105">
        <f t="shared" si="19"/>
        <v>0</v>
      </c>
      <c r="O50" s="105">
        <f t="shared" si="19"/>
        <v>0</v>
      </c>
      <c r="P50" s="106">
        <f t="shared" si="12"/>
        <v>0</v>
      </c>
      <c r="Q50" s="86"/>
      <c r="R50" s="86"/>
      <c r="S50" s="86"/>
      <c r="T50" s="86"/>
      <c r="U50" s="86"/>
      <c r="V50" s="86"/>
    </row>
    <row r="51" spans="1:22">
      <c r="A51" s="22">
        <f t="shared" si="14"/>
        <v>51</v>
      </c>
      <c r="B51" s="155" t="s">
        <v>175</v>
      </c>
      <c r="C51" s="220"/>
      <c r="D51" s="105">
        <f t="shared" ref="D51:O51" si="20">ROUND(D15*D$7/12*D3,2)</f>
        <v>0</v>
      </c>
      <c r="E51" s="105">
        <f t="shared" si="20"/>
        <v>0</v>
      </c>
      <c r="F51" s="105">
        <f t="shared" si="20"/>
        <v>0</v>
      </c>
      <c r="G51" s="105">
        <f t="shared" si="20"/>
        <v>0</v>
      </c>
      <c r="H51" s="105">
        <f t="shared" si="20"/>
        <v>0</v>
      </c>
      <c r="I51" s="105">
        <f t="shared" si="20"/>
        <v>0</v>
      </c>
      <c r="J51" s="105">
        <f t="shared" si="20"/>
        <v>0</v>
      </c>
      <c r="K51" s="105">
        <f t="shared" si="20"/>
        <v>0</v>
      </c>
      <c r="L51" s="105">
        <f t="shared" si="20"/>
        <v>0</v>
      </c>
      <c r="M51" s="105">
        <f t="shared" si="20"/>
        <v>0</v>
      </c>
      <c r="N51" s="105">
        <f t="shared" si="20"/>
        <v>0</v>
      </c>
      <c r="O51" s="105">
        <f t="shared" si="20"/>
        <v>0</v>
      </c>
      <c r="P51" s="106">
        <f t="shared" si="12"/>
        <v>0</v>
      </c>
      <c r="Q51" s="86"/>
      <c r="R51" s="86"/>
      <c r="S51" s="86"/>
      <c r="T51" s="86"/>
      <c r="U51" s="86"/>
      <c r="V51" s="86"/>
    </row>
    <row r="52" spans="1:22">
      <c r="A52" s="22">
        <f t="shared" si="14"/>
        <v>52</v>
      </c>
      <c r="B52" s="155" t="s">
        <v>176</v>
      </c>
      <c r="C52" s="220"/>
      <c r="D52" s="105">
        <f t="shared" ref="D52:O52" si="21">ROUND(D16*D$7*D$9/12*D3,2)</f>
        <v>980.79</v>
      </c>
      <c r="E52" s="105">
        <f t="shared" si="21"/>
        <v>980.79</v>
      </c>
      <c r="F52" s="105">
        <f t="shared" si="21"/>
        <v>980.79</v>
      </c>
      <c r="G52" s="105">
        <f t="shared" si="21"/>
        <v>980.79</v>
      </c>
      <c r="H52" s="105">
        <f t="shared" si="21"/>
        <v>980.79</v>
      </c>
      <c r="I52" s="105">
        <f t="shared" si="21"/>
        <v>980.79</v>
      </c>
      <c r="J52" s="105">
        <f t="shared" si="21"/>
        <v>980.79</v>
      </c>
      <c r="K52" s="105">
        <f t="shared" si="21"/>
        <v>980.79</v>
      </c>
      <c r="L52" s="105">
        <f t="shared" si="21"/>
        <v>133.41</v>
      </c>
      <c r="M52" s="105">
        <f t="shared" si="21"/>
        <v>1000.6</v>
      </c>
      <c r="N52" s="105">
        <f t="shared" si="21"/>
        <v>1000.6</v>
      </c>
      <c r="O52" s="105">
        <f t="shared" si="21"/>
        <v>1000.6</v>
      </c>
      <c r="P52" s="106">
        <f t="shared" si="12"/>
        <v>10981.53</v>
      </c>
      <c r="Q52" s="86"/>
      <c r="R52" s="86"/>
      <c r="S52" s="86"/>
      <c r="T52" s="86"/>
      <c r="U52" s="86"/>
      <c r="V52" s="86"/>
    </row>
    <row r="53" spans="1:22">
      <c r="A53" s="22">
        <f t="shared" si="14"/>
        <v>53</v>
      </c>
      <c r="B53" s="155" t="s">
        <v>177</v>
      </c>
      <c r="C53" s="220"/>
      <c r="D53" s="105">
        <f t="shared" ref="D53:O53" si="22">ROUND(D17*D$7*D$9/12*D3,2)</f>
        <v>0</v>
      </c>
      <c r="E53" s="105">
        <f t="shared" si="22"/>
        <v>0</v>
      </c>
      <c r="F53" s="105">
        <f t="shared" si="22"/>
        <v>0</v>
      </c>
      <c r="G53" s="105">
        <f t="shared" si="22"/>
        <v>0</v>
      </c>
      <c r="H53" s="105">
        <f t="shared" si="22"/>
        <v>0</v>
      </c>
      <c r="I53" s="105">
        <f t="shared" si="22"/>
        <v>0</v>
      </c>
      <c r="J53" s="105">
        <f t="shared" si="22"/>
        <v>0</v>
      </c>
      <c r="K53" s="105">
        <f t="shared" si="22"/>
        <v>0</v>
      </c>
      <c r="L53" s="105">
        <f t="shared" si="22"/>
        <v>0</v>
      </c>
      <c r="M53" s="105">
        <f t="shared" si="22"/>
        <v>0</v>
      </c>
      <c r="N53" s="105">
        <f t="shared" si="22"/>
        <v>0</v>
      </c>
      <c r="O53" s="105">
        <f t="shared" si="22"/>
        <v>0</v>
      </c>
      <c r="P53" s="106">
        <f t="shared" si="12"/>
        <v>0</v>
      </c>
      <c r="Q53" s="86"/>
      <c r="R53" s="86"/>
      <c r="S53" s="86"/>
      <c r="T53" s="86"/>
      <c r="U53" s="86"/>
      <c r="V53" s="86"/>
    </row>
    <row r="54" spans="1:22">
      <c r="A54" s="22">
        <f t="shared" si="14"/>
        <v>54</v>
      </c>
      <c r="B54" s="155" t="s">
        <v>114</v>
      </c>
      <c r="C54" s="220"/>
      <c r="D54" s="105">
        <f t="shared" ref="D54:O54" si="23">ROUND(D18*D$7*D$9/12*D3,2)</f>
        <v>0</v>
      </c>
      <c r="E54" s="105">
        <f t="shared" si="23"/>
        <v>0</v>
      </c>
      <c r="F54" s="105">
        <f t="shared" si="23"/>
        <v>0</v>
      </c>
      <c r="G54" s="105">
        <f t="shared" si="23"/>
        <v>0</v>
      </c>
      <c r="H54" s="105">
        <f t="shared" si="23"/>
        <v>0</v>
      </c>
      <c r="I54" s="105">
        <f t="shared" si="23"/>
        <v>0</v>
      </c>
      <c r="J54" s="105">
        <f t="shared" si="23"/>
        <v>0</v>
      </c>
      <c r="K54" s="105">
        <f t="shared" si="23"/>
        <v>0</v>
      </c>
      <c r="L54" s="105">
        <f t="shared" si="23"/>
        <v>0</v>
      </c>
      <c r="M54" s="105">
        <f t="shared" si="23"/>
        <v>0</v>
      </c>
      <c r="N54" s="105">
        <f t="shared" si="23"/>
        <v>0</v>
      </c>
      <c r="O54" s="105">
        <f t="shared" si="23"/>
        <v>0</v>
      </c>
      <c r="P54" s="106">
        <f t="shared" si="12"/>
        <v>0</v>
      </c>
      <c r="Q54" s="86"/>
      <c r="R54" s="86"/>
      <c r="S54" s="86"/>
      <c r="T54" s="86"/>
      <c r="U54" s="86"/>
      <c r="V54" s="86"/>
    </row>
    <row r="55" spans="1:22">
      <c r="A55" s="22">
        <f t="shared" si="14"/>
        <v>55</v>
      </c>
      <c r="B55" s="155" t="s">
        <v>106</v>
      </c>
      <c r="C55" s="220"/>
      <c r="D55" s="105">
        <f t="shared" ref="D55:O55" si="24">ROUND(IF(OR(D$5="A",D$5="B"),MAX(309053.63+42334.32*(LEFT(D$4)="L")-VLOOKUP(D4,basistabel12,2,0)-(D$15+D$16+D$18),0),0)/12*D$7*D$9*D3,2)</f>
        <v>0</v>
      </c>
      <c r="E55" s="105">
        <f t="shared" si="24"/>
        <v>0</v>
      </c>
      <c r="F55" s="105">
        <f t="shared" si="24"/>
        <v>0</v>
      </c>
      <c r="G55" s="105">
        <f t="shared" si="24"/>
        <v>0</v>
      </c>
      <c r="H55" s="105">
        <f t="shared" si="24"/>
        <v>0</v>
      </c>
      <c r="I55" s="105">
        <f t="shared" si="24"/>
        <v>0</v>
      </c>
      <c r="J55" s="105">
        <f t="shared" si="24"/>
        <v>0</v>
      </c>
      <c r="K55" s="105">
        <f t="shared" si="24"/>
        <v>0</v>
      </c>
      <c r="L55" s="105">
        <f t="shared" si="24"/>
        <v>0</v>
      </c>
      <c r="M55" s="105">
        <f t="shared" si="24"/>
        <v>0</v>
      </c>
      <c r="N55" s="105">
        <f t="shared" si="24"/>
        <v>0</v>
      </c>
      <c r="O55" s="105">
        <f t="shared" si="24"/>
        <v>0</v>
      </c>
      <c r="P55" s="106">
        <f t="shared" si="12"/>
        <v>0</v>
      </c>
      <c r="Q55" s="86"/>
      <c r="R55" s="86"/>
      <c r="S55" s="86"/>
      <c r="T55" s="86"/>
      <c r="U55" s="86"/>
      <c r="V55" s="86"/>
    </row>
    <row r="56" spans="1:22">
      <c r="A56" s="22">
        <f t="shared" si="14"/>
        <v>56</v>
      </c>
      <c r="B56" s="155" t="s">
        <v>100</v>
      </c>
      <c r="C56" s="220"/>
      <c r="D56" s="105">
        <f t="shared" ref="D56:K56" si="25">MAX(ROUND((IF(RIGHT(D4)="1",5200)+IF(OR(RIGHT(D4)="2",RIGHT(D4)="3"),7900))*D7/12*D9*D3,2)-D55,0)*(D5&lt;&gt;"B")</f>
        <v>493.52</v>
      </c>
      <c r="E56" s="105">
        <f t="shared" si="25"/>
        <v>493.52</v>
      </c>
      <c r="F56" s="105">
        <f t="shared" si="25"/>
        <v>493.52</v>
      </c>
      <c r="G56" s="105">
        <f t="shared" si="25"/>
        <v>493.52</v>
      </c>
      <c r="H56" s="105">
        <f t="shared" si="25"/>
        <v>493.52</v>
      </c>
      <c r="I56" s="105">
        <f t="shared" si="25"/>
        <v>493.52</v>
      </c>
      <c r="J56" s="105">
        <f t="shared" si="25"/>
        <v>493.52</v>
      </c>
      <c r="K56" s="105">
        <f t="shared" si="25"/>
        <v>493.52</v>
      </c>
      <c r="L56" s="105">
        <f>MAX(ROUND((IF(RIGHT(L4)="1",5200)+IF(OR(RIGHT(L4)="2",RIGHT(L4)="3"),7900))*L7/12*L9*L3,2)-L55,0)*(L5&lt;&gt;"B")</f>
        <v>67.13</v>
      </c>
      <c r="M56" s="105">
        <f>MAX(ROUND((IF(RIGHT(M4)="1",5200)+IF(OR(RIGHT(M4)="2",RIGHT(M4)="3"),7900))*M7/12*M9*M3,2)-M55,0)*(M5&lt;&gt;"B")</f>
        <v>503.49</v>
      </c>
      <c r="N56" s="105">
        <f>MAX(ROUND((IF(RIGHT(N4)="1",5200)+IF(OR(RIGHT(N4)="2",RIGHT(N4)="3"),7900))*N7/12*N9*N3,2)-N55,0)*(N5&lt;&gt;"B")</f>
        <v>503.49</v>
      </c>
      <c r="O56" s="105">
        <f>MAX(ROUND((IF(RIGHT(O4)="1",5200)+IF(OR(RIGHT(O4)="2",RIGHT(O4)="3"),7900))*O7/12*O9*O3,2)-O55,0)*(O5&lt;&gt;"B")</f>
        <v>503.49</v>
      </c>
      <c r="P56" s="106">
        <f t="shared" si="12"/>
        <v>5525.7599999999993</v>
      </c>
      <c r="Q56" s="86"/>
      <c r="R56" s="86"/>
      <c r="S56" s="86"/>
      <c r="T56" s="86"/>
      <c r="U56" s="86"/>
      <c r="V56" s="86"/>
    </row>
    <row r="57" spans="1:22">
      <c r="A57" s="22">
        <f t="shared" si="14"/>
        <v>57</v>
      </c>
      <c r="B57" s="155" t="s">
        <v>101</v>
      </c>
      <c r="C57" s="220"/>
      <c r="D57" s="208">
        <f t="shared" ref="D57:K57" si="26">MAX(ROUND((IF(RIGHT(D4)="1",5200)+IF(OR(RIGHT(D4)="2",RIGHT(D4)="3"),7900))*D7/12*D9*D3,2)-D55,0)*(D5="B")</f>
        <v>0</v>
      </c>
      <c r="E57" s="208">
        <f t="shared" si="26"/>
        <v>0</v>
      </c>
      <c r="F57" s="208">
        <f t="shared" si="26"/>
        <v>0</v>
      </c>
      <c r="G57" s="208">
        <f t="shared" si="26"/>
        <v>0</v>
      </c>
      <c r="H57" s="208">
        <f t="shared" si="26"/>
        <v>0</v>
      </c>
      <c r="I57" s="208">
        <f t="shared" si="26"/>
        <v>0</v>
      </c>
      <c r="J57" s="208">
        <f t="shared" si="26"/>
        <v>0</v>
      </c>
      <c r="K57" s="208">
        <f t="shared" si="26"/>
        <v>0</v>
      </c>
      <c r="L57" s="208">
        <f>MAX(ROUND((IF(RIGHT(L4)="1",5200)+IF(OR(RIGHT(L4)="2",RIGHT(L4)="3"),7900))*L7/12*L9*L3,2)-L55,0)*(L5="B")</f>
        <v>0</v>
      </c>
      <c r="M57" s="208">
        <f>MAX(ROUND((IF(RIGHT(M4)="1",5200)+IF(OR(RIGHT(M4)="2",RIGHT(M4)="3"),7900))*M7/12*M9*M3,2)-M55,0)*(M5="B")</f>
        <v>0</v>
      </c>
      <c r="N57" s="208">
        <f>MAX(ROUND((IF(RIGHT(N4)="1",5200)+IF(OR(RIGHT(N4)="2",RIGHT(N4)="3"),7900))*N7/12*N9*N3,2)-N55,0)*(N5="B")</f>
        <v>0</v>
      </c>
      <c r="O57" s="208">
        <f>MAX(ROUND((IF(RIGHT(O4)="1",5200)+IF(OR(RIGHT(O4)="2",RIGHT(O4)="3"),7900))*O7/12*O9*O3,2)-O55,0)*(O5="B")</f>
        <v>0</v>
      </c>
      <c r="P57" s="106">
        <f t="shared" si="12"/>
        <v>0</v>
      </c>
      <c r="Q57" s="86"/>
      <c r="R57" s="86"/>
      <c r="S57" s="86"/>
      <c r="T57" s="86"/>
      <c r="U57" s="86"/>
      <c r="V57" s="86"/>
    </row>
    <row r="58" spans="1:22">
      <c r="A58" s="22">
        <f t="shared" si="14"/>
        <v>58</v>
      </c>
      <c r="B58" s="155" t="s">
        <v>178</v>
      </c>
      <c r="C58" s="220"/>
      <c r="D58" s="105">
        <f t="shared" ref="D58:K58" si="27">IF(D44&gt;0,ROUND(IF(D$9&gt;=0.5,708*D$7,354*D$7)/12*D3,2),0)</f>
        <v>59.77</v>
      </c>
      <c r="E58" s="105">
        <f t="shared" si="27"/>
        <v>59.77</v>
      </c>
      <c r="F58" s="105">
        <f t="shared" si="27"/>
        <v>59.77</v>
      </c>
      <c r="G58" s="105">
        <f t="shared" si="27"/>
        <v>59.77</v>
      </c>
      <c r="H58" s="105">
        <f t="shared" si="27"/>
        <v>59.77</v>
      </c>
      <c r="I58" s="105">
        <f t="shared" si="27"/>
        <v>59.77</v>
      </c>
      <c r="J58" s="105">
        <f t="shared" si="27"/>
        <v>59.77</v>
      </c>
      <c r="K58" s="105">
        <f t="shared" si="27"/>
        <v>59.77</v>
      </c>
      <c r="L58" s="105">
        <f>IF(L44&gt;0,ROUND(IF(L$9&gt;=0.5,708*L$7,354*L$7)/12*L3,2),0)</f>
        <v>8.1300000000000008</v>
      </c>
      <c r="M58" s="105">
        <f>IF(M44&gt;0,ROUND(IF(M$9&gt;=0.5,708*M$7,354*M$7)/12*M3,2),0)</f>
        <v>60.98</v>
      </c>
      <c r="N58" s="105">
        <f>IF(N44&gt;0,ROUND(IF(N$9&gt;=0.5,708*N$7,354*N$7)/12*N3,2),0)</f>
        <v>60.98</v>
      </c>
      <c r="O58" s="105">
        <f>IF(O44&gt;0,ROUND(IF(O$9&gt;=0.5,708*O$7,354*O$7)/12*O3,2),0)</f>
        <v>60.98</v>
      </c>
      <c r="P58" s="106">
        <f t="shared" si="12"/>
        <v>669.23</v>
      </c>
      <c r="Q58" s="86"/>
      <c r="R58" s="86"/>
      <c r="S58" s="86"/>
      <c r="T58" s="86"/>
      <c r="U58" s="86"/>
      <c r="V58" s="86"/>
    </row>
    <row r="59" spans="1:22">
      <c r="A59" s="22">
        <f t="shared" si="14"/>
        <v>59</v>
      </c>
      <c r="B59" s="155" t="s">
        <v>159</v>
      </c>
      <c r="C59" s="220"/>
      <c r="D59" s="105">
        <f t="shared" ref="D59:O59" si="28">D20*D3</f>
        <v>0</v>
      </c>
      <c r="E59" s="105">
        <f t="shared" si="28"/>
        <v>0</v>
      </c>
      <c r="F59" s="105">
        <f t="shared" si="28"/>
        <v>0</v>
      </c>
      <c r="G59" s="105">
        <f t="shared" si="28"/>
        <v>0</v>
      </c>
      <c r="H59" s="105">
        <f t="shared" si="28"/>
        <v>0</v>
      </c>
      <c r="I59" s="105">
        <f t="shared" si="28"/>
        <v>0</v>
      </c>
      <c r="J59" s="105">
        <f t="shared" si="28"/>
        <v>0</v>
      </c>
      <c r="K59" s="105">
        <f t="shared" si="28"/>
        <v>0</v>
      </c>
      <c r="L59" s="105">
        <f t="shared" si="28"/>
        <v>0</v>
      </c>
      <c r="M59" s="105">
        <f t="shared" si="28"/>
        <v>0</v>
      </c>
      <c r="N59" s="105">
        <f t="shared" si="28"/>
        <v>0</v>
      </c>
      <c r="O59" s="105">
        <f t="shared" si="28"/>
        <v>0</v>
      </c>
      <c r="P59" s="106">
        <f t="shared" si="12"/>
        <v>0</v>
      </c>
      <c r="Q59" s="86"/>
      <c r="R59" s="86"/>
      <c r="S59" s="86"/>
      <c r="T59" s="86"/>
      <c r="U59" s="86"/>
      <c r="V59" s="86"/>
    </row>
    <row r="60" spans="1:22">
      <c r="A60" s="22">
        <f t="shared" si="14"/>
        <v>60</v>
      </c>
      <c r="B60" s="155" t="s">
        <v>160</v>
      </c>
      <c r="C60" s="220"/>
      <c r="D60" s="208">
        <f t="shared" ref="D60:O60" si="29">IF(D9&gt;0,108.35*D3,0)</f>
        <v>108.35</v>
      </c>
      <c r="E60" s="208">
        <f t="shared" si="29"/>
        <v>108.35</v>
      </c>
      <c r="F60" s="208">
        <f t="shared" si="29"/>
        <v>108.35</v>
      </c>
      <c r="G60" s="208">
        <f t="shared" si="29"/>
        <v>108.35</v>
      </c>
      <c r="H60" s="208">
        <f t="shared" si="29"/>
        <v>108.35</v>
      </c>
      <c r="I60" s="208">
        <f t="shared" si="29"/>
        <v>108.35</v>
      </c>
      <c r="J60" s="208">
        <f t="shared" si="29"/>
        <v>108.35</v>
      </c>
      <c r="K60" s="208">
        <f t="shared" si="29"/>
        <v>108.35</v>
      </c>
      <c r="L60" s="208">
        <f t="shared" si="29"/>
        <v>14.446666666666665</v>
      </c>
      <c r="M60" s="208">
        <f t="shared" si="29"/>
        <v>108.35</v>
      </c>
      <c r="N60" s="208">
        <f t="shared" si="29"/>
        <v>108.35</v>
      </c>
      <c r="O60" s="208">
        <f t="shared" si="29"/>
        <v>108.35</v>
      </c>
      <c r="P60" s="106">
        <f t="shared" si="12"/>
        <v>1206.2966666666666</v>
      </c>
      <c r="Q60" s="86"/>
      <c r="R60" s="86"/>
      <c r="S60" s="86"/>
      <c r="T60" s="86"/>
      <c r="U60" s="86"/>
      <c r="V60" s="86"/>
    </row>
    <row r="61" spans="1:22">
      <c r="A61" s="22">
        <f t="shared" si="14"/>
        <v>61</v>
      </c>
      <c r="B61" s="155" t="s">
        <v>250</v>
      </c>
      <c r="C61" s="220"/>
      <c r="D61" s="208">
        <f t="shared" ref="D61:O61" si="30">-(MAX(0,MIN(D21,D22))+D25)*4.62%*SUM(D44:D60)</f>
        <v>0</v>
      </c>
      <c r="E61" s="208">
        <f t="shared" si="30"/>
        <v>0</v>
      </c>
      <c r="F61" s="208">
        <f t="shared" si="30"/>
        <v>0</v>
      </c>
      <c r="G61" s="208">
        <f t="shared" si="30"/>
        <v>0</v>
      </c>
      <c r="H61" s="208">
        <f t="shared" si="30"/>
        <v>0</v>
      </c>
      <c r="I61" s="208">
        <f t="shared" si="30"/>
        <v>0</v>
      </c>
      <c r="J61" s="208">
        <f t="shared" si="30"/>
        <v>0</v>
      </c>
      <c r="K61" s="208">
        <f t="shared" si="30"/>
        <v>0</v>
      </c>
      <c r="L61" s="208">
        <f t="shared" si="30"/>
        <v>0</v>
      </c>
      <c r="M61" s="208">
        <f t="shared" si="30"/>
        <v>-9.7081907999999978E-5</v>
      </c>
      <c r="N61" s="208">
        <f t="shared" si="30"/>
        <v>0</v>
      </c>
      <c r="O61" s="208">
        <f t="shared" si="30"/>
        <v>0</v>
      </c>
      <c r="P61" s="106">
        <f t="shared" si="12"/>
        <v>-9.7081907999999978E-5</v>
      </c>
      <c r="Q61" s="86"/>
      <c r="R61" s="86"/>
      <c r="S61" s="86"/>
      <c r="T61" s="86"/>
      <c r="U61" s="86"/>
      <c r="V61" s="86"/>
    </row>
    <row r="62" spans="1:22">
      <c r="A62" s="22">
        <f t="shared" si="14"/>
        <v>62</v>
      </c>
      <c r="B62" s="155" t="s">
        <v>192</v>
      </c>
      <c r="C62" s="220"/>
      <c r="D62" s="208">
        <f>(D21-D22)*4.62%*(D23-D9)*(D3=1)*IF(D9&gt;0,(D44+D45+D52+D53+D54+D55+D56+D57)/D9,0)*(D23&gt;0)</f>
        <v>-470.78493499459461</v>
      </c>
      <c r="E62" s="208">
        <f t="shared" ref="E62:K62" si="31">(E21-E22)*4.62%*(E23-E9)*(E3=1)*IF(E9&gt;0,(E44+E45+E52+E53+E54+E55+E56+E57)/E9,0)*(E23&gt;0)</f>
        <v>0</v>
      </c>
      <c r="F62" s="208">
        <f t="shared" si="31"/>
        <v>0</v>
      </c>
      <c r="G62" s="208">
        <f t="shared" si="31"/>
        <v>0</v>
      </c>
      <c r="H62" s="208">
        <f t="shared" si="31"/>
        <v>0</v>
      </c>
      <c r="I62" s="208">
        <f t="shared" si="31"/>
        <v>0</v>
      </c>
      <c r="J62" s="208">
        <f t="shared" si="31"/>
        <v>0</v>
      </c>
      <c r="K62" s="208">
        <f t="shared" si="31"/>
        <v>0</v>
      </c>
      <c r="L62" s="105">
        <f>(L21-L22)*4.62%*(L24-L9)*(L3=1)*IF(L9&gt;0,(L44+L45+L52+L53+L54+L55+L56+L57)/L9,0)*(L24&gt;0)</f>
        <v>0</v>
      </c>
      <c r="M62" s="105">
        <f>(M21-M22)*4.62%*(M24-M9)*(M3=1)*IF(M9&gt;0,(M44+M45+M52+M53+M54+M55+M56+M57)/M9,0)*(M24&gt;0)</f>
        <v>-5.6020426801216277E-6</v>
      </c>
      <c r="N62" s="105">
        <f>(N21-N22)*4.62%*(N24-N9)*(N3=1)*IF(N9&gt;0,(N44+N45+N52+N53+N54+N55+N56+N57)/N9,0)*(N24&gt;0)</f>
        <v>0</v>
      </c>
      <c r="O62" s="105">
        <f>(O21-O22)*4.62%*(O24-O9)*(O3=1)*IF(O9&gt;0,(O44+O45+O52+O53+O54+O55+O56+O57)/O9,0)*(O24&gt;0)</f>
        <v>-1120.4085360243257</v>
      </c>
      <c r="P62" s="106">
        <f t="shared" si="12"/>
        <v>-1591.1934766209629</v>
      </c>
      <c r="Q62" s="86"/>
      <c r="R62" s="86"/>
      <c r="S62" s="86"/>
      <c r="T62" s="86"/>
      <c r="U62" s="86"/>
      <c r="V62" s="86"/>
    </row>
    <row r="63" spans="1:22">
      <c r="A63" s="22">
        <f t="shared" si="14"/>
        <v>63</v>
      </c>
      <c r="B63" s="155" t="s">
        <v>179</v>
      </c>
      <c r="C63" s="220"/>
      <c r="D63" s="105">
        <f t="shared" ref="D63:O63" si="32">SUM(D32:D42)+MAX(D31-8000,0)</f>
        <v>0</v>
      </c>
      <c r="E63" s="105">
        <f t="shared" si="32"/>
        <v>0</v>
      </c>
      <c r="F63" s="105">
        <f t="shared" si="32"/>
        <v>0</v>
      </c>
      <c r="G63" s="105">
        <f t="shared" si="32"/>
        <v>0</v>
      </c>
      <c r="H63" s="105">
        <f t="shared" si="32"/>
        <v>0</v>
      </c>
      <c r="I63" s="105">
        <f t="shared" si="32"/>
        <v>0</v>
      </c>
      <c r="J63" s="105">
        <f t="shared" si="32"/>
        <v>0</v>
      </c>
      <c r="K63" s="105">
        <f t="shared" si="32"/>
        <v>0</v>
      </c>
      <c r="L63" s="105">
        <f t="shared" si="32"/>
        <v>0</v>
      </c>
      <c r="M63" s="105">
        <f t="shared" si="32"/>
        <v>3376.77</v>
      </c>
      <c r="N63" s="105">
        <f t="shared" si="32"/>
        <v>0</v>
      </c>
      <c r="O63" s="105">
        <f t="shared" si="32"/>
        <v>0</v>
      </c>
      <c r="P63" s="106">
        <f t="shared" si="12"/>
        <v>3376.77</v>
      </c>
      <c r="Q63" s="86"/>
      <c r="R63" s="86"/>
      <c r="S63" s="86"/>
      <c r="T63" s="86"/>
      <c r="U63" s="86"/>
      <c r="V63" s="86"/>
    </row>
    <row r="64" spans="1:22">
      <c r="A64" s="22">
        <f t="shared" si="14"/>
        <v>64</v>
      </c>
      <c r="B64" s="181" t="s">
        <v>16</v>
      </c>
      <c r="C64" s="220"/>
      <c r="D64" s="209">
        <f t="shared" ref="D64:O64" si="33">SUM(D28:D30)+IF(D31&gt;0,MIN(D31,8000),0)</f>
        <v>0</v>
      </c>
      <c r="E64" s="209">
        <f t="shared" si="33"/>
        <v>0</v>
      </c>
      <c r="F64" s="209">
        <f t="shared" si="33"/>
        <v>0</v>
      </c>
      <c r="G64" s="209">
        <f t="shared" si="33"/>
        <v>0</v>
      </c>
      <c r="H64" s="209">
        <f t="shared" si="33"/>
        <v>0</v>
      </c>
      <c r="I64" s="209">
        <f t="shared" si="33"/>
        <v>0</v>
      </c>
      <c r="J64" s="209">
        <f t="shared" si="33"/>
        <v>0</v>
      </c>
      <c r="K64" s="209">
        <f t="shared" si="33"/>
        <v>0</v>
      </c>
      <c r="L64" s="209">
        <f t="shared" si="33"/>
        <v>0</v>
      </c>
      <c r="M64" s="209">
        <f t="shared" si="33"/>
        <v>0</v>
      </c>
      <c r="N64" s="209">
        <f t="shared" si="33"/>
        <v>0</v>
      </c>
      <c r="O64" s="209">
        <f t="shared" si="33"/>
        <v>0</v>
      </c>
      <c r="P64" s="107">
        <f t="shared" si="12"/>
        <v>0</v>
      </c>
      <c r="Q64" s="86"/>
      <c r="R64" s="86"/>
      <c r="S64" s="86"/>
      <c r="T64" s="86"/>
      <c r="U64" s="86"/>
      <c r="V64" s="86"/>
    </row>
    <row r="65" spans="1:22">
      <c r="A65" s="22">
        <f t="shared" si="14"/>
        <v>65</v>
      </c>
      <c r="B65" s="75" t="s">
        <v>104</v>
      </c>
      <c r="C65" s="221"/>
      <c r="D65" s="210">
        <f>SUM(D44:D64)</f>
        <v>20133.395065005407</v>
      </c>
      <c r="E65" s="210">
        <f t="shared" ref="E65:O65" si="34">SUM(E44:E64)</f>
        <v>20604.18</v>
      </c>
      <c r="F65" s="210">
        <f t="shared" si="34"/>
        <v>20604.18</v>
      </c>
      <c r="G65" s="210">
        <f t="shared" si="34"/>
        <v>20604.18</v>
      </c>
      <c r="H65" s="210">
        <f t="shared" si="34"/>
        <v>20604.18</v>
      </c>
      <c r="I65" s="210">
        <f t="shared" si="34"/>
        <v>20604.18</v>
      </c>
      <c r="J65" s="210">
        <f t="shared" si="34"/>
        <v>20604.18</v>
      </c>
      <c r="K65" s="210">
        <f t="shared" si="34"/>
        <v>20604.18</v>
      </c>
      <c r="L65" s="210">
        <f t="shared" si="34"/>
        <v>2801.7866666666673</v>
      </c>
      <c r="M65" s="210">
        <f t="shared" si="34"/>
        <v>24390.169897316046</v>
      </c>
      <c r="N65" s="210">
        <f t="shared" si="34"/>
        <v>21013.399999999998</v>
      </c>
      <c r="O65" s="210">
        <f t="shared" si="34"/>
        <v>19892.991463975672</v>
      </c>
      <c r="P65" s="81">
        <f t="shared" si="12"/>
        <v>232461.00309296377</v>
      </c>
      <c r="Q65" s="86"/>
      <c r="R65" s="86"/>
      <c r="S65" s="86"/>
      <c r="T65" s="86"/>
      <c r="U65" s="86"/>
      <c r="V65" s="86"/>
    </row>
    <row r="66" spans="1:22">
      <c r="A66" s="22">
        <f t="shared" si="14"/>
        <v>66</v>
      </c>
      <c r="B66" s="154" t="s">
        <v>102</v>
      </c>
      <c r="C66" s="220"/>
      <c r="D66" s="103">
        <f t="shared" ref="D66:O66" si="35">ROUND(D44*17.3%/3,2)*(D6="L")</f>
        <v>1007.6</v>
      </c>
      <c r="E66" s="103">
        <f t="shared" si="35"/>
        <v>1007.6</v>
      </c>
      <c r="F66" s="103">
        <f t="shared" si="35"/>
        <v>1007.6</v>
      </c>
      <c r="G66" s="103">
        <f t="shared" si="35"/>
        <v>1007.6</v>
      </c>
      <c r="H66" s="103">
        <f t="shared" si="35"/>
        <v>1007.6</v>
      </c>
      <c r="I66" s="103">
        <f t="shared" si="35"/>
        <v>1007.6</v>
      </c>
      <c r="J66" s="103">
        <f t="shared" si="35"/>
        <v>1007.6</v>
      </c>
      <c r="K66" s="103">
        <f t="shared" si="35"/>
        <v>1007.6</v>
      </c>
      <c r="L66" s="103">
        <f t="shared" si="35"/>
        <v>137.06</v>
      </c>
      <c r="M66" s="103">
        <f t="shared" si="35"/>
        <v>1027.95</v>
      </c>
      <c r="N66" s="103">
        <f t="shared" si="35"/>
        <v>1027.95</v>
      </c>
      <c r="O66" s="103">
        <f t="shared" si="35"/>
        <v>1027.95</v>
      </c>
      <c r="P66" s="104">
        <f t="shared" si="12"/>
        <v>11281.710000000003</v>
      </c>
      <c r="Q66" s="86"/>
      <c r="R66" s="86"/>
      <c r="S66" s="86"/>
      <c r="T66" s="86"/>
      <c r="U66" s="86"/>
      <c r="V66" s="86"/>
    </row>
    <row r="67" spans="1:22">
      <c r="A67" s="22">
        <f t="shared" si="14"/>
        <v>67</v>
      </c>
      <c r="B67" s="155" t="s">
        <v>183</v>
      </c>
      <c r="C67" s="220"/>
      <c r="D67" s="105">
        <f t="shared" ref="D67:O67" si="36">ROUND(D46*17.3%/3,2)*(D6="L")</f>
        <v>72</v>
      </c>
      <c r="E67" s="105">
        <f t="shared" si="36"/>
        <v>72</v>
      </c>
      <c r="F67" s="105">
        <f t="shared" si="36"/>
        <v>72</v>
      </c>
      <c r="G67" s="105">
        <f t="shared" si="36"/>
        <v>72</v>
      </c>
      <c r="H67" s="105">
        <f t="shared" si="36"/>
        <v>72</v>
      </c>
      <c r="I67" s="105">
        <f t="shared" si="36"/>
        <v>72</v>
      </c>
      <c r="J67" s="105">
        <f t="shared" si="36"/>
        <v>72</v>
      </c>
      <c r="K67" s="105">
        <f t="shared" si="36"/>
        <v>72</v>
      </c>
      <c r="L67" s="105">
        <f t="shared" si="36"/>
        <v>9.7899999999999991</v>
      </c>
      <c r="M67" s="105">
        <f t="shared" si="36"/>
        <v>73.459999999999994</v>
      </c>
      <c r="N67" s="105">
        <f t="shared" si="36"/>
        <v>73.459999999999994</v>
      </c>
      <c r="O67" s="105">
        <f t="shared" si="36"/>
        <v>73.459999999999994</v>
      </c>
      <c r="P67" s="106">
        <f t="shared" si="12"/>
        <v>806.17000000000007</v>
      </c>
      <c r="Q67" s="86"/>
      <c r="R67" s="86"/>
      <c r="S67" s="86"/>
      <c r="T67" s="86"/>
      <c r="U67" s="86"/>
      <c r="V67" s="86"/>
    </row>
    <row r="68" spans="1:22">
      <c r="A68" s="22">
        <f t="shared" si="14"/>
        <v>68</v>
      </c>
      <c r="B68" s="155" t="s">
        <v>103</v>
      </c>
      <c r="C68" s="220"/>
      <c r="D68" s="105">
        <f t="shared" ref="D68:O68" si="37">ROUND(D47*17.3%/3,2)</f>
        <v>0</v>
      </c>
      <c r="E68" s="105">
        <f t="shared" si="37"/>
        <v>0</v>
      </c>
      <c r="F68" s="105">
        <f t="shared" si="37"/>
        <v>0</v>
      </c>
      <c r="G68" s="105">
        <f t="shared" si="37"/>
        <v>0</v>
      </c>
      <c r="H68" s="105">
        <f t="shared" si="37"/>
        <v>0</v>
      </c>
      <c r="I68" s="105">
        <f t="shared" si="37"/>
        <v>0</v>
      </c>
      <c r="J68" s="105">
        <f t="shared" si="37"/>
        <v>0</v>
      </c>
      <c r="K68" s="105">
        <f t="shared" si="37"/>
        <v>0</v>
      </c>
      <c r="L68" s="105">
        <f t="shared" si="37"/>
        <v>0</v>
      </c>
      <c r="M68" s="105">
        <f t="shared" si="37"/>
        <v>0</v>
      </c>
      <c r="N68" s="105">
        <f t="shared" si="37"/>
        <v>0</v>
      </c>
      <c r="O68" s="105">
        <f t="shared" si="37"/>
        <v>0</v>
      </c>
      <c r="P68" s="106">
        <f t="shared" si="12"/>
        <v>0</v>
      </c>
      <c r="Q68" s="86"/>
      <c r="R68" s="86"/>
      <c r="S68" s="86"/>
      <c r="T68" s="86"/>
      <c r="U68" s="86"/>
      <c r="V68" s="86"/>
    </row>
    <row r="69" spans="1:22">
      <c r="A69" s="22">
        <f t="shared" si="14"/>
        <v>69</v>
      </c>
      <c r="B69" s="155" t="s">
        <v>190</v>
      </c>
      <c r="C69" s="220"/>
      <c r="D69" s="105">
        <f t="shared" ref="D69:O69" si="38">ROUND(D48*17.3%/3,2)*OR((D6="L"),(LEFT(D19)="J"))</f>
        <v>0</v>
      </c>
      <c r="E69" s="105">
        <f t="shared" si="38"/>
        <v>0</v>
      </c>
      <c r="F69" s="105">
        <f t="shared" si="38"/>
        <v>0</v>
      </c>
      <c r="G69" s="105">
        <f t="shared" si="38"/>
        <v>0</v>
      </c>
      <c r="H69" s="105">
        <f t="shared" si="38"/>
        <v>0</v>
      </c>
      <c r="I69" s="105">
        <f t="shared" si="38"/>
        <v>0</v>
      </c>
      <c r="J69" s="105">
        <f t="shared" si="38"/>
        <v>0</v>
      </c>
      <c r="K69" s="105">
        <f t="shared" si="38"/>
        <v>0</v>
      </c>
      <c r="L69" s="105">
        <f t="shared" si="38"/>
        <v>0</v>
      </c>
      <c r="M69" s="105">
        <f t="shared" si="38"/>
        <v>0</v>
      </c>
      <c r="N69" s="105">
        <f t="shared" si="38"/>
        <v>0</v>
      </c>
      <c r="O69" s="105">
        <f t="shared" si="38"/>
        <v>0</v>
      </c>
      <c r="P69" s="106">
        <f t="shared" si="12"/>
        <v>0</v>
      </c>
      <c r="Q69" s="86"/>
      <c r="R69" s="86"/>
      <c r="S69" s="86"/>
      <c r="T69" s="86"/>
      <c r="U69" s="86"/>
      <c r="V69" s="86"/>
    </row>
    <row r="70" spans="1:22">
      <c r="A70" s="22">
        <f t="shared" si="14"/>
        <v>70</v>
      </c>
      <c r="B70" s="155" t="s">
        <v>191</v>
      </c>
      <c r="C70" s="220"/>
      <c r="D70" s="105">
        <f t="shared" ref="D70:O70" si="39">ROUND(D49*17.3%/3,2)*OR((D6="L"),(LEFT(D19)="J"))</f>
        <v>0</v>
      </c>
      <c r="E70" s="105">
        <f t="shared" si="39"/>
        <v>0</v>
      </c>
      <c r="F70" s="105">
        <f t="shared" si="39"/>
        <v>0</v>
      </c>
      <c r="G70" s="105">
        <f t="shared" si="39"/>
        <v>0</v>
      </c>
      <c r="H70" s="105">
        <f t="shared" si="39"/>
        <v>0</v>
      </c>
      <c r="I70" s="105">
        <f t="shared" si="39"/>
        <v>0</v>
      </c>
      <c r="J70" s="105">
        <f t="shared" si="39"/>
        <v>0</v>
      </c>
      <c r="K70" s="105">
        <f t="shared" si="39"/>
        <v>0</v>
      </c>
      <c r="L70" s="105">
        <f t="shared" si="39"/>
        <v>0</v>
      </c>
      <c r="M70" s="105">
        <f t="shared" si="39"/>
        <v>0</v>
      </c>
      <c r="N70" s="105">
        <f t="shared" si="39"/>
        <v>0</v>
      </c>
      <c r="O70" s="105">
        <f t="shared" si="39"/>
        <v>0</v>
      </c>
      <c r="P70" s="106">
        <f t="shared" si="12"/>
        <v>0</v>
      </c>
      <c r="Q70" s="86"/>
      <c r="R70" s="86"/>
      <c r="S70" s="86"/>
      <c r="T70" s="86"/>
      <c r="U70" s="86"/>
      <c r="V70" s="86"/>
    </row>
    <row r="71" spans="1:22">
      <c r="A71" s="22">
        <f t="shared" si="14"/>
        <v>71</v>
      </c>
      <c r="B71" s="155" t="s">
        <v>56</v>
      </c>
      <c r="C71" s="220"/>
      <c r="D71" s="105">
        <f t="shared" ref="D71:O71" si="40">ROUND(D50*17.3%/3,2)*OR((D6="L"),(LEFT(D19)="J"))</f>
        <v>0</v>
      </c>
      <c r="E71" s="105">
        <f t="shared" si="40"/>
        <v>0</v>
      </c>
      <c r="F71" s="105">
        <f t="shared" si="40"/>
        <v>0</v>
      </c>
      <c r="G71" s="105">
        <f t="shared" si="40"/>
        <v>0</v>
      </c>
      <c r="H71" s="105">
        <f t="shared" si="40"/>
        <v>0</v>
      </c>
      <c r="I71" s="105">
        <f t="shared" si="40"/>
        <v>0</v>
      </c>
      <c r="J71" s="105">
        <f t="shared" si="40"/>
        <v>0</v>
      </c>
      <c r="K71" s="105">
        <f t="shared" si="40"/>
        <v>0</v>
      </c>
      <c r="L71" s="105">
        <f t="shared" si="40"/>
        <v>0</v>
      </c>
      <c r="M71" s="105">
        <f t="shared" si="40"/>
        <v>0</v>
      </c>
      <c r="N71" s="105">
        <f t="shared" si="40"/>
        <v>0</v>
      </c>
      <c r="O71" s="105">
        <f t="shared" si="40"/>
        <v>0</v>
      </c>
      <c r="P71" s="106">
        <f t="shared" si="12"/>
        <v>0</v>
      </c>
      <c r="Q71" s="86"/>
      <c r="R71" s="86"/>
      <c r="S71" s="86"/>
      <c r="T71" s="86"/>
      <c r="U71" s="86"/>
      <c r="V71" s="86"/>
    </row>
    <row r="72" spans="1:22">
      <c r="A72" s="22">
        <f t="shared" si="14"/>
        <v>72</v>
      </c>
      <c r="B72" s="155" t="s">
        <v>57</v>
      </c>
      <c r="C72" s="220"/>
      <c r="D72" s="105">
        <f t="shared" ref="D72:O72" si="41">ROUND(D51*17.3%/3,2)*OR((D6="L"),(LEFT(D19)="J"))</f>
        <v>0</v>
      </c>
      <c r="E72" s="105">
        <f t="shared" si="41"/>
        <v>0</v>
      </c>
      <c r="F72" s="105">
        <f t="shared" si="41"/>
        <v>0</v>
      </c>
      <c r="G72" s="105">
        <f t="shared" si="41"/>
        <v>0</v>
      </c>
      <c r="H72" s="105">
        <f t="shared" si="41"/>
        <v>0</v>
      </c>
      <c r="I72" s="105">
        <f t="shared" si="41"/>
        <v>0</v>
      </c>
      <c r="J72" s="105">
        <f t="shared" si="41"/>
        <v>0</v>
      </c>
      <c r="K72" s="105">
        <f t="shared" si="41"/>
        <v>0</v>
      </c>
      <c r="L72" s="105">
        <f t="shared" si="41"/>
        <v>0</v>
      </c>
      <c r="M72" s="105">
        <f t="shared" si="41"/>
        <v>0</v>
      </c>
      <c r="N72" s="105">
        <f t="shared" si="41"/>
        <v>0</v>
      </c>
      <c r="O72" s="105">
        <f t="shared" si="41"/>
        <v>0</v>
      </c>
      <c r="P72" s="106">
        <f t="shared" si="12"/>
        <v>0</v>
      </c>
      <c r="Q72" s="86"/>
      <c r="R72" s="86"/>
      <c r="S72" s="86"/>
      <c r="T72" s="86"/>
      <c r="U72" s="86"/>
      <c r="V72" s="86"/>
    </row>
    <row r="73" spans="1:22">
      <c r="A73" s="22">
        <f t="shared" si="14"/>
        <v>73</v>
      </c>
      <c r="B73" s="155" t="s">
        <v>58</v>
      </c>
      <c r="C73" s="220"/>
      <c r="D73" s="105">
        <f t="shared" ref="D73:O73" si="42">ROUND(D52*17.3%/3,2)*OR((D6="L"),(LEFT(D19)="J"))</f>
        <v>56.56</v>
      </c>
      <c r="E73" s="105">
        <f t="shared" si="42"/>
        <v>56.56</v>
      </c>
      <c r="F73" s="105">
        <f t="shared" si="42"/>
        <v>56.56</v>
      </c>
      <c r="G73" s="105">
        <f t="shared" si="42"/>
        <v>56.56</v>
      </c>
      <c r="H73" s="105">
        <f t="shared" si="42"/>
        <v>56.56</v>
      </c>
      <c r="I73" s="105">
        <f t="shared" si="42"/>
        <v>56.56</v>
      </c>
      <c r="J73" s="105">
        <f t="shared" si="42"/>
        <v>56.56</v>
      </c>
      <c r="K73" s="105">
        <f t="shared" si="42"/>
        <v>56.56</v>
      </c>
      <c r="L73" s="105">
        <f t="shared" si="42"/>
        <v>7.69</v>
      </c>
      <c r="M73" s="105">
        <f t="shared" si="42"/>
        <v>57.7</v>
      </c>
      <c r="N73" s="105">
        <f t="shared" si="42"/>
        <v>57.7</v>
      </c>
      <c r="O73" s="105">
        <f t="shared" si="42"/>
        <v>57.7</v>
      </c>
      <c r="P73" s="106">
        <f t="shared" si="12"/>
        <v>633.2700000000001</v>
      </c>
      <c r="Q73" s="86"/>
      <c r="R73" s="86"/>
      <c r="S73" s="86"/>
      <c r="T73" s="86"/>
      <c r="U73" s="86"/>
      <c r="V73" s="86"/>
    </row>
    <row r="74" spans="1:22">
      <c r="A74" s="22">
        <f t="shared" si="14"/>
        <v>74</v>
      </c>
      <c r="B74" s="155" t="s">
        <v>59</v>
      </c>
      <c r="C74" s="220"/>
      <c r="D74" s="105">
        <f t="shared" ref="D74:O75" si="43">ROUND(D53*17.3%/3,2)*OR((D6="L"),(LEFT(D19)="J"))</f>
        <v>0</v>
      </c>
      <c r="E74" s="105">
        <f t="shared" si="43"/>
        <v>0</v>
      </c>
      <c r="F74" s="105">
        <f t="shared" si="43"/>
        <v>0</v>
      </c>
      <c r="G74" s="105">
        <f t="shared" si="43"/>
        <v>0</v>
      </c>
      <c r="H74" s="105">
        <f t="shared" si="43"/>
        <v>0</v>
      </c>
      <c r="I74" s="105">
        <f t="shared" si="43"/>
        <v>0</v>
      </c>
      <c r="J74" s="105">
        <f t="shared" si="43"/>
        <v>0</v>
      </c>
      <c r="K74" s="105">
        <f t="shared" si="43"/>
        <v>0</v>
      </c>
      <c r="L74" s="105">
        <f t="shared" si="43"/>
        <v>0</v>
      </c>
      <c r="M74" s="105">
        <f t="shared" si="43"/>
        <v>0</v>
      </c>
      <c r="N74" s="105">
        <f t="shared" si="43"/>
        <v>0</v>
      </c>
      <c r="O74" s="105">
        <f t="shared" si="43"/>
        <v>0</v>
      </c>
      <c r="P74" s="106">
        <f t="shared" si="12"/>
        <v>0</v>
      </c>
      <c r="Q74" s="86"/>
      <c r="R74" s="86"/>
      <c r="S74" s="86"/>
      <c r="T74" s="86"/>
      <c r="U74" s="86"/>
      <c r="V74" s="86"/>
    </row>
    <row r="75" spans="1:22">
      <c r="A75" s="22">
        <f t="shared" si="14"/>
        <v>75</v>
      </c>
      <c r="B75" s="155" t="s">
        <v>14</v>
      </c>
      <c r="C75" s="220"/>
      <c r="D75" s="105">
        <f t="shared" si="43"/>
        <v>0</v>
      </c>
      <c r="E75" s="105">
        <f t="shared" si="43"/>
        <v>0</v>
      </c>
      <c r="F75" s="105">
        <f t="shared" si="43"/>
        <v>0</v>
      </c>
      <c r="G75" s="105">
        <f t="shared" si="43"/>
        <v>0</v>
      </c>
      <c r="H75" s="105">
        <f t="shared" si="43"/>
        <v>0</v>
      </c>
      <c r="I75" s="105">
        <f t="shared" si="43"/>
        <v>0</v>
      </c>
      <c r="J75" s="105">
        <f t="shared" si="43"/>
        <v>0</v>
      </c>
      <c r="K75" s="105">
        <f t="shared" si="43"/>
        <v>0</v>
      </c>
      <c r="L75" s="105">
        <f t="shared" si="43"/>
        <v>0</v>
      </c>
      <c r="M75" s="105">
        <f t="shared" si="43"/>
        <v>0</v>
      </c>
      <c r="N75" s="105">
        <f t="shared" si="43"/>
        <v>0</v>
      </c>
      <c r="O75" s="105">
        <f t="shared" si="43"/>
        <v>0</v>
      </c>
      <c r="P75" s="106">
        <f>SUM(D75:O75)</f>
        <v>0</v>
      </c>
      <c r="Q75" s="86"/>
      <c r="R75" s="86"/>
      <c r="S75" s="86"/>
      <c r="T75" s="86"/>
      <c r="U75" s="86"/>
      <c r="V75" s="86"/>
    </row>
    <row r="76" spans="1:22">
      <c r="A76" s="22">
        <f t="shared" si="14"/>
        <v>76</v>
      </c>
      <c r="B76" s="155" t="s">
        <v>60</v>
      </c>
      <c r="C76" s="220"/>
      <c r="D76" s="105">
        <f t="shared" ref="D76:O76" si="44">ROUND(D55*17.3%/3,2)*(D6="L")</f>
        <v>0</v>
      </c>
      <c r="E76" s="105">
        <f t="shared" si="44"/>
        <v>0</v>
      </c>
      <c r="F76" s="105">
        <f t="shared" si="44"/>
        <v>0</v>
      </c>
      <c r="G76" s="105">
        <f t="shared" si="44"/>
        <v>0</v>
      </c>
      <c r="H76" s="105">
        <f t="shared" si="44"/>
        <v>0</v>
      </c>
      <c r="I76" s="105">
        <f t="shared" si="44"/>
        <v>0</v>
      </c>
      <c r="J76" s="105">
        <f t="shared" si="44"/>
        <v>0</v>
      </c>
      <c r="K76" s="105">
        <f t="shared" si="44"/>
        <v>0</v>
      </c>
      <c r="L76" s="105">
        <f t="shared" si="44"/>
        <v>0</v>
      </c>
      <c r="M76" s="105">
        <f t="shared" si="44"/>
        <v>0</v>
      </c>
      <c r="N76" s="105">
        <f t="shared" si="44"/>
        <v>0</v>
      </c>
      <c r="O76" s="105">
        <f t="shared" si="44"/>
        <v>0</v>
      </c>
      <c r="P76" s="106">
        <f t="shared" si="12"/>
        <v>0</v>
      </c>
      <c r="Q76" s="86"/>
      <c r="R76" s="86"/>
      <c r="S76" s="86"/>
      <c r="T76" s="86"/>
      <c r="U76" s="86"/>
      <c r="V76" s="86"/>
    </row>
    <row r="77" spans="1:22">
      <c r="A77" s="22">
        <f t="shared" si="14"/>
        <v>77</v>
      </c>
      <c r="B77" s="155" t="s">
        <v>61</v>
      </c>
      <c r="C77" s="220"/>
      <c r="D77" s="105">
        <f t="shared" ref="D77:O77" si="45">ROUND(D57*17.3%/3,2)*(D6="L")</f>
        <v>0</v>
      </c>
      <c r="E77" s="105">
        <f t="shared" si="45"/>
        <v>0</v>
      </c>
      <c r="F77" s="105">
        <f t="shared" si="45"/>
        <v>0</v>
      </c>
      <c r="G77" s="105">
        <f t="shared" si="45"/>
        <v>0</v>
      </c>
      <c r="H77" s="105">
        <f t="shared" si="45"/>
        <v>0</v>
      </c>
      <c r="I77" s="105">
        <f t="shared" si="45"/>
        <v>0</v>
      </c>
      <c r="J77" s="105">
        <f t="shared" si="45"/>
        <v>0</v>
      </c>
      <c r="K77" s="105">
        <f t="shared" si="45"/>
        <v>0</v>
      </c>
      <c r="L77" s="105">
        <f t="shared" si="45"/>
        <v>0</v>
      </c>
      <c r="M77" s="105">
        <f t="shared" si="45"/>
        <v>0</v>
      </c>
      <c r="N77" s="105">
        <f t="shared" si="45"/>
        <v>0</v>
      </c>
      <c r="O77" s="105">
        <f t="shared" si="45"/>
        <v>0</v>
      </c>
      <c r="P77" s="106">
        <f t="shared" si="12"/>
        <v>0</v>
      </c>
      <c r="Q77" s="86"/>
      <c r="R77" s="86"/>
      <c r="S77" s="86"/>
      <c r="T77" s="86"/>
      <c r="U77" s="86"/>
      <c r="V77" s="86"/>
    </row>
    <row r="78" spans="1:22">
      <c r="A78" s="22">
        <f t="shared" si="14"/>
        <v>78</v>
      </c>
      <c r="B78" s="155" t="s">
        <v>108</v>
      </c>
      <c r="C78" s="220"/>
      <c r="D78" s="105">
        <f t="shared" ref="D78:K78" si="46">((SUM(D44:D60)-301881.8*D7*D9/12)*0.7%/3*((D65-D61)&gt;301881.8/12*D7*D9)*(LEFT(D4)="B")+(SUM(D44:D60)-361659.2*D7*D9/12)*0.7%/3*(SUM(D44:D60)&gt;361659.2/12*D7*D9)*(LEFT(D4)="L"))*(LEFT(D6)&lt;&gt;"L")*(LEFT(D19)="J")</f>
        <v>0</v>
      </c>
      <c r="E78" s="105">
        <f t="shared" si="46"/>
        <v>0</v>
      </c>
      <c r="F78" s="105">
        <f t="shared" si="46"/>
        <v>0</v>
      </c>
      <c r="G78" s="105">
        <f t="shared" si="46"/>
        <v>0</v>
      </c>
      <c r="H78" s="105">
        <f t="shared" si="46"/>
        <v>0</v>
      </c>
      <c r="I78" s="105">
        <f t="shared" si="46"/>
        <v>0</v>
      </c>
      <c r="J78" s="105">
        <f t="shared" si="46"/>
        <v>0</v>
      </c>
      <c r="K78" s="105">
        <f t="shared" si="46"/>
        <v>0</v>
      </c>
      <c r="L78" s="105">
        <f>((SUM(L44:L60)-301881.8*L7*L9/12)*0.7%/3*((L65-L61)&gt;301881.8/12*L7*L9)*(LEFT(L4)="B")+(SUM(L44:L60)-361659.2*L7*L9/12)*0.7%/3*(SUM(L44:L60)&gt;361659.2/12*L7*L9)*(LEFT(L4)="L"))*(LEFT(L6)&lt;&gt;"L")*(LEFT(L19)="J")</f>
        <v>0</v>
      </c>
      <c r="M78" s="105">
        <f>((SUM(M44:M60)-301881.8*M7*M9/12)*0.7%/3*((M65-M61)&gt;301881.8/12*M7*M9)*(LEFT(M4)="B")+(SUM(M44:M60)-361659.2*M7*M9/12)*0.7%/3*(SUM(M44:M60)&gt;361659.2/12*M7*M9)*(LEFT(M4)="L"))*(LEFT(M6)&lt;&gt;"L")*(LEFT(M19)="J")</f>
        <v>0</v>
      </c>
      <c r="N78" s="105">
        <f>((SUM(N44:N60)-301881.8*N7*N9/12)*0.7%/3*((N65-N61)&gt;301881.8/12*N7*N9)*(LEFT(N4)="B")+(SUM(N44:N60)-361659.2*N7*N9/12)*0.7%/3*(SUM(N44:N60)&gt;361659.2/12*N7*N9)*(LEFT(N4)="L"))*(LEFT(N6)&lt;&gt;"L")*(LEFT(N19)="J")</f>
        <v>0</v>
      </c>
      <c r="O78" s="105">
        <f>((SUM(O44:O60)-301881.8*O7*O9/12)*0.7%/3*((O65-O61)&gt;301881.8/12*O7*O9)*(LEFT(O4)="B")+(SUM(O44:O60)-361659.2*O7*O9/12)*0.7%/3*(SUM(O44:O60)&gt;361659.2/12*O7*O9)*(LEFT(O4)="L"))*(LEFT(O6)&lt;&gt;"L")*(LEFT(O19)="J")</f>
        <v>0</v>
      </c>
      <c r="P78" s="106">
        <f t="shared" si="12"/>
        <v>0</v>
      </c>
      <c r="Q78" s="86"/>
      <c r="R78" s="86"/>
      <c r="S78" s="86"/>
      <c r="T78" s="86"/>
      <c r="U78" s="86"/>
      <c r="V78" s="86"/>
    </row>
    <row r="79" spans="1:22">
      <c r="A79" s="22">
        <f t="shared" si="14"/>
        <v>79</v>
      </c>
      <c r="B79" s="155" t="s">
        <v>247</v>
      </c>
      <c r="C79" s="220"/>
      <c r="D79" s="208">
        <f t="shared" ref="D79:O79" si="47">ROUND(-(D22+D25)*4.62%*SUM(D66:D78),2)</f>
        <v>0</v>
      </c>
      <c r="E79" s="208">
        <f t="shared" si="47"/>
        <v>0</v>
      </c>
      <c r="F79" s="208">
        <f t="shared" si="47"/>
        <v>0</v>
      </c>
      <c r="G79" s="208">
        <f t="shared" si="47"/>
        <v>0</v>
      </c>
      <c r="H79" s="208">
        <f t="shared" si="47"/>
        <v>0</v>
      </c>
      <c r="I79" s="208">
        <f t="shared" si="47"/>
        <v>0</v>
      </c>
      <c r="J79" s="208">
        <f t="shared" si="47"/>
        <v>0</v>
      </c>
      <c r="K79" s="208">
        <f t="shared" si="47"/>
        <v>0</v>
      </c>
      <c r="L79" s="208">
        <f t="shared" si="47"/>
        <v>0</v>
      </c>
      <c r="M79" s="208">
        <f t="shared" si="47"/>
        <v>0</v>
      </c>
      <c r="N79" s="208">
        <f t="shared" si="47"/>
        <v>0</v>
      </c>
      <c r="O79" s="208">
        <f t="shared" si="47"/>
        <v>0</v>
      </c>
      <c r="P79" s="106">
        <f t="shared" si="12"/>
        <v>0</v>
      </c>
      <c r="Q79" s="86"/>
      <c r="R79" s="86"/>
      <c r="S79" s="86"/>
      <c r="T79" s="86"/>
      <c r="U79" s="86"/>
      <c r="V79" s="86"/>
    </row>
    <row r="80" spans="1:22">
      <c r="A80" s="22">
        <f t="shared" si="14"/>
        <v>80</v>
      </c>
      <c r="B80" s="156" t="s">
        <v>35</v>
      </c>
      <c r="C80" s="220"/>
      <c r="D80" s="211">
        <f t="shared" ref="D80:L80" si="48">IF(OR(D62=0,D9=0),0,(D66+D73+D74+D76+D77)/D9*4.62%*(D23-D9)*(D21-D22))</f>
        <v>-26.110172237837844</v>
      </c>
      <c r="E80" s="211">
        <f t="shared" si="48"/>
        <v>0</v>
      </c>
      <c r="F80" s="211">
        <f t="shared" si="48"/>
        <v>0</v>
      </c>
      <c r="G80" s="211">
        <f t="shared" si="48"/>
        <v>0</v>
      </c>
      <c r="H80" s="211">
        <f t="shared" si="48"/>
        <v>0</v>
      </c>
      <c r="I80" s="211">
        <f t="shared" si="48"/>
        <v>0</v>
      </c>
      <c r="J80" s="211">
        <f t="shared" si="48"/>
        <v>0</v>
      </c>
      <c r="K80" s="211">
        <f t="shared" si="48"/>
        <v>0</v>
      </c>
      <c r="L80" s="211">
        <f t="shared" si="48"/>
        <v>0</v>
      </c>
      <c r="M80" s="211">
        <f>IF(OR(M62=0,M9=0),0,(M66+M73+M74+M76+M77)/M9*4.62%*(M24-M9)*(M21-M22))</f>
        <v>-3.1077024668918959E-7</v>
      </c>
      <c r="N80" s="211">
        <f>IF(OR(N62=0,N9=0),0,(N66+N73+N74+N76+N77)/N9*4.62%*(N24-N9)*(N21-N22))</f>
        <v>0</v>
      </c>
      <c r="O80" s="211">
        <f>IF(OR(O62=0,O9=0),0,(O66+O73+O74+O76+O77)/O9*4.62%*(O24-O9)*(O21-O22))</f>
        <v>-62.154049337837918</v>
      </c>
      <c r="P80" s="123">
        <f t="shared" si="12"/>
        <v>-88.264221886446009</v>
      </c>
      <c r="Q80" s="86"/>
      <c r="R80" s="86"/>
      <c r="S80" s="86"/>
      <c r="T80" s="86"/>
      <c r="U80" s="86"/>
      <c r="V80" s="86"/>
    </row>
    <row r="81" spans="1:22" ht="14" thickBot="1">
      <c r="A81" s="150">
        <f t="shared" si="14"/>
        <v>81</v>
      </c>
      <c r="B81" s="151" t="s">
        <v>181</v>
      </c>
      <c r="C81" s="221"/>
      <c r="D81" s="212">
        <f>SUM(D66:D80)</f>
        <v>1110.0498277621621</v>
      </c>
      <c r="E81" s="152">
        <f t="shared" ref="E81:O81" si="49">SUM(E66:E80)</f>
        <v>1136.1599999999999</v>
      </c>
      <c r="F81" s="152">
        <f t="shared" si="49"/>
        <v>1136.1599999999999</v>
      </c>
      <c r="G81" s="152">
        <f t="shared" si="49"/>
        <v>1136.1599999999999</v>
      </c>
      <c r="H81" s="152">
        <f t="shared" si="49"/>
        <v>1136.1599999999999</v>
      </c>
      <c r="I81" s="152">
        <f t="shared" si="49"/>
        <v>1136.1599999999999</v>
      </c>
      <c r="J81" s="152">
        <f t="shared" si="49"/>
        <v>1136.1599999999999</v>
      </c>
      <c r="K81" s="152">
        <f t="shared" si="49"/>
        <v>1136.1599999999999</v>
      </c>
      <c r="L81" s="152">
        <f t="shared" si="49"/>
        <v>154.54</v>
      </c>
      <c r="M81" s="152">
        <f t="shared" si="49"/>
        <v>1159.1099996892299</v>
      </c>
      <c r="N81" s="152">
        <f t="shared" si="49"/>
        <v>1159.1100000000001</v>
      </c>
      <c r="O81" s="152">
        <f t="shared" si="49"/>
        <v>1096.9559506621622</v>
      </c>
      <c r="P81" s="153">
        <f t="shared" si="12"/>
        <v>12632.885778113556</v>
      </c>
      <c r="Q81" s="86"/>
      <c r="R81" s="86"/>
      <c r="S81" s="86"/>
      <c r="T81" s="86"/>
      <c r="U81" s="86"/>
      <c r="V81" s="86"/>
    </row>
    <row r="82" spans="1:22" ht="14" thickTop="1">
      <c r="A82" s="22">
        <f>A81+1</f>
        <v>82</v>
      </c>
      <c r="B82" s="182" t="s">
        <v>96</v>
      </c>
      <c r="C82" s="222"/>
      <c r="D82" s="213">
        <f>D94/3</f>
        <v>90</v>
      </c>
      <c r="E82" s="108">
        <f t="shared" ref="E82:O82" si="50">E94/3</f>
        <v>90</v>
      </c>
      <c r="F82" s="108">
        <f t="shared" si="50"/>
        <v>90</v>
      </c>
      <c r="G82" s="108">
        <f t="shared" si="50"/>
        <v>90</v>
      </c>
      <c r="H82" s="108">
        <f t="shared" si="50"/>
        <v>90</v>
      </c>
      <c r="I82" s="108">
        <f t="shared" si="50"/>
        <v>90</v>
      </c>
      <c r="J82" s="108">
        <f t="shared" si="50"/>
        <v>90</v>
      </c>
      <c r="K82" s="108">
        <f t="shared" si="50"/>
        <v>90</v>
      </c>
      <c r="L82" s="108">
        <f t="shared" si="50"/>
        <v>0</v>
      </c>
      <c r="M82" s="108">
        <f t="shared" si="50"/>
        <v>90</v>
      </c>
      <c r="N82" s="108">
        <f t="shared" si="50"/>
        <v>90</v>
      </c>
      <c r="O82" s="108">
        <f t="shared" si="50"/>
        <v>90</v>
      </c>
      <c r="P82" s="104">
        <f>SUM(D82:O82)</f>
        <v>990</v>
      </c>
      <c r="Q82" s="86"/>
      <c r="R82" s="86"/>
      <c r="S82" s="86"/>
      <c r="T82" s="86"/>
      <c r="U82" s="86"/>
      <c r="V82" s="86"/>
    </row>
    <row r="83" spans="1:22">
      <c r="A83" s="22">
        <f>A82+1</f>
        <v>83</v>
      </c>
      <c r="B83" s="182" t="s">
        <v>91</v>
      </c>
      <c r="C83" s="222"/>
      <c r="D83" s="213">
        <f t="shared" ref="D83:O83" si="51">SUM(D44:D63)-D82</f>
        <v>20043.395065005407</v>
      </c>
      <c r="E83" s="108">
        <f t="shared" si="51"/>
        <v>20514.18</v>
      </c>
      <c r="F83" s="108">
        <f t="shared" si="51"/>
        <v>20514.18</v>
      </c>
      <c r="G83" s="108">
        <f t="shared" si="51"/>
        <v>20514.18</v>
      </c>
      <c r="H83" s="108">
        <f t="shared" si="51"/>
        <v>20514.18</v>
      </c>
      <c r="I83" s="108">
        <f t="shared" si="51"/>
        <v>20514.18</v>
      </c>
      <c r="J83" s="108">
        <f t="shared" si="51"/>
        <v>20514.18</v>
      </c>
      <c r="K83" s="108">
        <f t="shared" si="51"/>
        <v>20514.18</v>
      </c>
      <c r="L83" s="108">
        <f t="shared" si="51"/>
        <v>2801.7866666666673</v>
      </c>
      <c r="M83" s="108">
        <f t="shared" si="51"/>
        <v>24300.169897316046</v>
      </c>
      <c r="N83" s="108">
        <f t="shared" si="51"/>
        <v>20923.399999999998</v>
      </c>
      <c r="O83" s="108">
        <f t="shared" si="51"/>
        <v>19802.991463975672</v>
      </c>
      <c r="P83" s="104">
        <f t="shared" ref="P83:P99" si="52">SUM(D83:O83)</f>
        <v>231471.00309296377</v>
      </c>
      <c r="Q83" s="86"/>
      <c r="R83" s="86"/>
      <c r="S83" s="86"/>
      <c r="T83" s="86"/>
      <c r="U83" s="86"/>
      <c r="V83" s="86"/>
    </row>
    <row r="84" spans="1:22">
      <c r="A84" s="22">
        <f t="shared" ref="A84:A100" si="53">A83+1</f>
        <v>84</v>
      </c>
      <c r="B84" s="183" t="s">
        <v>92</v>
      </c>
      <c r="C84" s="222"/>
      <c r="D84" s="214">
        <f>ROUND(D83*8%,0)</f>
        <v>1603</v>
      </c>
      <c r="E84" s="109">
        <f t="shared" ref="E84:O84" si="54">ROUND(E83*8%,0)</f>
        <v>1641</v>
      </c>
      <c r="F84" s="109">
        <f t="shared" si="54"/>
        <v>1641</v>
      </c>
      <c r="G84" s="109">
        <f t="shared" si="54"/>
        <v>1641</v>
      </c>
      <c r="H84" s="109">
        <f t="shared" si="54"/>
        <v>1641</v>
      </c>
      <c r="I84" s="109">
        <f t="shared" si="54"/>
        <v>1641</v>
      </c>
      <c r="J84" s="109">
        <f t="shared" si="54"/>
        <v>1641</v>
      </c>
      <c r="K84" s="109">
        <f t="shared" si="54"/>
        <v>1641</v>
      </c>
      <c r="L84" s="109">
        <f t="shared" si="54"/>
        <v>224</v>
      </c>
      <c r="M84" s="109">
        <f t="shared" si="54"/>
        <v>1944</v>
      </c>
      <c r="N84" s="109">
        <f t="shared" si="54"/>
        <v>1674</v>
      </c>
      <c r="O84" s="109">
        <f t="shared" si="54"/>
        <v>1584</v>
      </c>
      <c r="P84" s="106">
        <f t="shared" si="52"/>
        <v>18516</v>
      </c>
      <c r="Q84" s="86"/>
      <c r="R84" s="86"/>
      <c r="S84" s="86"/>
      <c r="T84" s="86"/>
      <c r="U84" s="86"/>
      <c r="V84" s="86"/>
    </row>
    <row r="85" spans="1:22">
      <c r="A85" s="22">
        <f t="shared" si="53"/>
        <v>85</v>
      </c>
      <c r="B85" s="183" t="s">
        <v>93</v>
      </c>
      <c r="C85" s="222"/>
      <c r="D85" s="214">
        <f>D83-D84</f>
        <v>18440.395065005407</v>
      </c>
      <c r="E85" s="109">
        <f t="shared" ref="E85:O85" si="55">E83-E84</f>
        <v>18873.18</v>
      </c>
      <c r="F85" s="109">
        <f t="shared" si="55"/>
        <v>18873.18</v>
      </c>
      <c r="G85" s="109">
        <f t="shared" si="55"/>
        <v>18873.18</v>
      </c>
      <c r="H85" s="109">
        <f t="shared" si="55"/>
        <v>18873.18</v>
      </c>
      <c r="I85" s="109">
        <f t="shared" si="55"/>
        <v>18873.18</v>
      </c>
      <c r="J85" s="109">
        <f t="shared" si="55"/>
        <v>18873.18</v>
      </c>
      <c r="K85" s="109">
        <f t="shared" si="55"/>
        <v>18873.18</v>
      </c>
      <c r="L85" s="109">
        <f t="shared" si="55"/>
        <v>2577.7866666666673</v>
      </c>
      <c r="M85" s="109">
        <f t="shared" si="55"/>
        <v>22356.169897316046</v>
      </c>
      <c r="N85" s="109">
        <f t="shared" si="55"/>
        <v>19249.399999999998</v>
      </c>
      <c r="O85" s="109">
        <f t="shared" si="55"/>
        <v>18218.991463975672</v>
      </c>
      <c r="P85" s="106">
        <f t="shared" si="52"/>
        <v>212955.00309296377</v>
      </c>
      <c r="Q85" s="86"/>
      <c r="R85" s="86"/>
      <c r="S85" s="86"/>
      <c r="T85" s="86"/>
      <c r="U85" s="86"/>
      <c r="V85" s="86"/>
    </row>
    <row r="86" spans="1:22">
      <c r="A86" s="22">
        <f t="shared" si="53"/>
        <v>86</v>
      </c>
      <c r="B86" s="183" t="s">
        <v>105</v>
      </c>
      <c r="C86" s="222"/>
      <c r="D86" s="214">
        <f t="shared" ref="D86:O86" si="56">ROUND(D85-D27,-1)</f>
        <v>13320</v>
      </c>
      <c r="E86" s="109">
        <f t="shared" si="56"/>
        <v>13750</v>
      </c>
      <c r="F86" s="109">
        <f t="shared" si="56"/>
        <v>13750</v>
      </c>
      <c r="G86" s="109">
        <f t="shared" si="56"/>
        <v>13750</v>
      </c>
      <c r="H86" s="109">
        <f t="shared" si="56"/>
        <v>13750</v>
      </c>
      <c r="I86" s="109">
        <f t="shared" si="56"/>
        <v>13370</v>
      </c>
      <c r="J86" s="109">
        <f t="shared" si="56"/>
        <v>13370</v>
      </c>
      <c r="K86" s="109">
        <f t="shared" si="56"/>
        <v>13370</v>
      </c>
      <c r="L86" s="109">
        <f t="shared" si="56"/>
        <v>2580</v>
      </c>
      <c r="M86" s="109">
        <f t="shared" si="56"/>
        <v>16860</v>
      </c>
      <c r="N86" s="109">
        <f t="shared" si="56"/>
        <v>13750</v>
      </c>
      <c r="O86" s="109">
        <f t="shared" si="56"/>
        <v>12720</v>
      </c>
      <c r="P86" s="106"/>
      <c r="Q86" s="86"/>
      <c r="R86" s="86"/>
      <c r="S86" s="86"/>
      <c r="T86" s="86"/>
      <c r="U86" s="86"/>
      <c r="V86" s="86"/>
    </row>
    <row r="87" spans="1:22">
      <c r="A87" s="22">
        <f t="shared" si="53"/>
        <v>87</v>
      </c>
      <c r="B87" s="183" t="s">
        <v>94</v>
      </c>
      <c r="C87" s="222"/>
      <c r="D87" s="214">
        <f t="shared" ref="D87:O87" si="57">ROUND(D86*D26/100,0)</f>
        <v>5461</v>
      </c>
      <c r="E87" s="109">
        <f t="shared" si="57"/>
        <v>5638</v>
      </c>
      <c r="F87" s="109">
        <f t="shared" si="57"/>
        <v>5638</v>
      </c>
      <c r="G87" s="109">
        <f t="shared" si="57"/>
        <v>5638</v>
      </c>
      <c r="H87" s="109">
        <f t="shared" si="57"/>
        <v>5638</v>
      </c>
      <c r="I87" s="109">
        <f t="shared" si="57"/>
        <v>5348</v>
      </c>
      <c r="J87" s="109">
        <f t="shared" si="57"/>
        <v>5348</v>
      </c>
      <c r="K87" s="109">
        <f t="shared" si="57"/>
        <v>5348</v>
      </c>
      <c r="L87" s="109">
        <f t="shared" si="57"/>
        <v>1032</v>
      </c>
      <c r="M87" s="109">
        <f t="shared" si="57"/>
        <v>6744</v>
      </c>
      <c r="N87" s="109">
        <f t="shared" si="57"/>
        <v>5500</v>
      </c>
      <c r="O87" s="109">
        <f t="shared" si="57"/>
        <v>5088</v>
      </c>
      <c r="P87" s="106">
        <f t="shared" si="52"/>
        <v>62421</v>
      </c>
      <c r="Q87" s="86"/>
      <c r="R87" s="86"/>
      <c r="S87" s="86"/>
      <c r="T87" s="86"/>
      <c r="U87" s="86"/>
      <c r="V87" s="86"/>
    </row>
    <row r="88" spans="1:22">
      <c r="A88" s="22">
        <f t="shared" si="53"/>
        <v>88</v>
      </c>
      <c r="B88" s="183" t="s">
        <v>319</v>
      </c>
      <c r="C88" s="235">
        <f>Ex11_12!P89</f>
        <v>122567.94999999186</v>
      </c>
      <c r="D88" s="214">
        <f>SUM(D44:D63)</f>
        <v>20133.395065005407</v>
      </c>
      <c r="E88" s="109">
        <f>SUM(E44:E63)</f>
        <v>20604.18</v>
      </c>
      <c r="F88" s="109">
        <f>SUM(F44:F63)</f>
        <v>20604.18</v>
      </c>
      <c r="G88" s="109">
        <f>SUM(G44:G63)</f>
        <v>20604.18</v>
      </c>
      <c r="H88" s="109">
        <f>SUM(H44:H63)</f>
        <v>20604.18</v>
      </c>
      <c r="I88" s="135" t="s">
        <v>207</v>
      </c>
      <c r="J88" s="157"/>
      <c r="K88" s="157"/>
      <c r="L88" s="157"/>
      <c r="M88" s="157"/>
      <c r="N88" s="157"/>
      <c r="O88" s="157"/>
      <c r="P88" s="106">
        <f>SUM(C88:H88)</f>
        <v>225118.06506499724</v>
      </c>
      <c r="Q88" s="86"/>
      <c r="R88" s="86"/>
      <c r="S88" s="86"/>
      <c r="T88" s="86"/>
      <c r="U88" s="86"/>
      <c r="V88" s="86"/>
    </row>
    <row r="89" spans="1:22">
      <c r="A89" s="22">
        <f t="shared" si="53"/>
        <v>89</v>
      </c>
      <c r="B89" s="183" t="s">
        <v>320</v>
      </c>
      <c r="C89" s="225"/>
      <c r="D89" s="136" t="s">
        <v>207</v>
      </c>
      <c r="E89" s="157"/>
      <c r="F89" s="157"/>
      <c r="G89" s="157"/>
      <c r="H89" s="157"/>
      <c r="I89" s="109">
        <f>SUM(I44:I63)</f>
        <v>20604.18</v>
      </c>
      <c r="J89" s="109">
        <f>SUM(J44:J63)</f>
        <v>20604.18</v>
      </c>
      <c r="K89" s="109">
        <f>SUM(K44:K63)</f>
        <v>20604.18</v>
      </c>
      <c r="L89" s="109">
        <f>SUM(L44:L63)</f>
        <v>2801.7866666666673</v>
      </c>
      <c r="M89" s="109">
        <f>SUM(M44:M63)-M37</f>
        <v>21013.399897316045</v>
      </c>
      <c r="N89" s="109">
        <f>SUM(N44:N63)-N37</f>
        <v>21013.399999999998</v>
      </c>
      <c r="O89" s="109">
        <f>SUM(O44:O63)-O37</f>
        <v>19892.991463975672</v>
      </c>
      <c r="P89" s="106">
        <f t="shared" si="52"/>
        <v>126534.11802795838</v>
      </c>
      <c r="Q89" s="86"/>
      <c r="R89" s="86"/>
      <c r="S89" s="86"/>
      <c r="T89" s="86"/>
      <c r="U89" s="86"/>
      <c r="V89" s="86"/>
    </row>
    <row r="90" spans="1:22">
      <c r="A90" s="22">
        <f t="shared" si="53"/>
        <v>90</v>
      </c>
      <c r="B90" s="183" t="s">
        <v>180</v>
      </c>
      <c r="C90" s="222"/>
      <c r="D90" s="214">
        <f>D81</f>
        <v>1110.0498277621621</v>
      </c>
      <c r="E90" s="109">
        <f t="shared" ref="E90:O90" si="58">E81</f>
        <v>1136.1599999999999</v>
      </c>
      <c r="F90" s="109">
        <f t="shared" si="58"/>
        <v>1136.1599999999999</v>
      </c>
      <c r="G90" s="109">
        <f t="shared" si="58"/>
        <v>1136.1599999999999</v>
      </c>
      <c r="H90" s="109">
        <f t="shared" si="58"/>
        <v>1136.1599999999999</v>
      </c>
      <c r="I90" s="109">
        <f t="shared" si="58"/>
        <v>1136.1599999999999</v>
      </c>
      <c r="J90" s="109">
        <f t="shared" si="58"/>
        <v>1136.1599999999999</v>
      </c>
      <c r="K90" s="109">
        <f t="shared" si="58"/>
        <v>1136.1599999999999</v>
      </c>
      <c r="L90" s="109">
        <f t="shared" si="58"/>
        <v>154.54</v>
      </c>
      <c r="M90" s="109">
        <f t="shared" si="58"/>
        <v>1159.1099996892299</v>
      </c>
      <c r="N90" s="109">
        <f t="shared" si="58"/>
        <v>1159.1100000000001</v>
      </c>
      <c r="O90" s="109">
        <f t="shared" si="58"/>
        <v>1096.9559506621622</v>
      </c>
      <c r="P90" s="106">
        <f t="shared" si="52"/>
        <v>12632.885778113556</v>
      </c>
      <c r="Q90" s="86"/>
      <c r="R90" s="86"/>
      <c r="S90" s="86"/>
      <c r="T90" s="86"/>
      <c r="U90" s="86"/>
      <c r="V90" s="86"/>
    </row>
    <row r="91" spans="1:22">
      <c r="A91" s="22">
        <f t="shared" si="53"/>
        <v>91</v>
      </c>
      <c r="B91" s="183" t="s">
        <v>184</v>
      </c>
      <c r="C91" s="222"/>
      <c r="D91" s="214">
        <f>D90*2</f>
        <v>2220.0996555243241</v>
      </c>
      <c r="E91" s="109">
        <f t="shared" ref="E91:O91" si="59">E90*2</f>
        <v>2272.3199999999997</v>
      </c>
      <c r="F91" s="109">
        <f t="shared" si="59"/>
        <v>2272.3199999999997</v>
      </c>
      <c r="G91" s="109">
        <f t="shared" si="59"/>
        <v>2272.3199999999997</v>
      </c>
      <c r="H91" s="109">
        <f t="shared" si="59"/>
        <v>2272.3199999999997</v>
      </c>
      <c r="I91" s="109">
        <f t="shared" si="59"/>
        <v>2272.3199999999997</v>
      </c>
      <c r="J91" s="109">
        <f t="shared" si="59"/>
        <v>2272.3199999999997</v>
      </c>
      <c r="K91" s="109">
        <f t="shared" si="59"/>
        <v>2272.3199999999997</v>
      </c>
      <c r="L91" s="109">
        <f t="shared" si="59"/>
        <v>309.08</v>
      </c>
      <c r="M91" s="109">
        <f t="shared" si="59"/>
        <v>2318.2199993784598</v>
      </c>
      <c r="N91" s="109">
        <f t="shared" si="59"/>
        <v>2318.2200000000003</v>
      </c>
      <c r="O91" s="109">
        <f t="shared" si="59"/>
        <v>2193.9119013243244</v>
      </c>
      <c r="P91" s="106">
        <f t="shared" si="52"/>
        <v>25265.771556227111</v>
      </c>
      <c r="Q91" s="86"/>
      <c r="R91" s="86"/>
      <c r="S91" s="86"/>
      <c r="T91" s="86"/>
      <c r="U91" s="86"/>
      <c r="V91" s="86"/>
    </row>
    <row r="92" spans="1:22">
      <c r="A92" s="22">
        <f t="shared" si="53"/>
        <v>92</v>
      </c>
      <c r="B92" s="183" t="s">
        <v>38</v>
      </c>
      <c r="C92" s="222"/>
      <c r="D92" s="214">
        <f>D94*2/3</f>
        <v>180</v>
      </c>
      <c r="E92" s="109">
        <f t="shared" ref="E92:O92" si="60">E94*2/3</f>
        <v>180</v>
      </c>
      <c r="F92" s="109">
        <f t="shared" si="60"/>
        <v>180</v>
      </c>
      <c r="G92" s="109">
        <f t="shared" si="60"/>
        <v>180</v>
      </c>
      <c r="H92" s="109">
        <f t="shared" si="60"/>
        <v>180</v>
      </c>
      <c r="I92" s="109">
        <f t="shared" si="60"/>
        <v>180</v>
      </c>
      <c r="J92" s="109">
        <f t="shared" si="60"/>
        <v>180</v>
      </c>
      <c r="K92" s="109">
        <f t="shared" si="60"/>
        <v>180</v>
      </c>
      <c r="L92" s="109">
        <f t="shared" si="60"/>
        <v>0</v>
      </c>
      <c r="M92" s="109">
        <f t="shared" si="60"/>
        <v>180</v>
      </c>
      <c r="N92" s="109">
        <f t="shared" si="60"/>
        <v>180</v>
      </c>
      <c r="O92" s="109">
        <f t="shared" si="60"/>
        <v>180</v>
      </c>
      <c r="P92" s="106">
        <f t="shared" si="52"/>
        <v>1980</v>
      </c>
      <c r="Q92" s="86"/>
      <c r="R92" s="86"/>
      <c r="S92" s="86"/>
      <c r="T92" s="86"/>
      <c r="U92" s="86"/>
      <c r="V92" s="86"/>
    </row>
    <row r="93" spans="1:22">
      <c r="A93" s="22">
        <f t="shared" si="53"/>
        <v>93</v>
      </c>
      <c r="B93" s="183" t="s">
        <v>109</v>
      </c>
      <c r="C93" s="222"/>
      <c r="D93" s="214">
        <f>D90+D91</f>
        <v>3330.1494832864864</v>
      </c>
      <c r="E93" s="109">
        <f t="shared" ref="E93:O93" si="61">E90+E91</f>
        <v>3408.4799999999996</v>
      </c>
      <c r="F93" s="109">
        <f t="shared" si="61"/>
        <v>3408.4799999999996</v>
      </c>
      <c r="G93" s="109">
        <f t="shared" si="61"/>
        <v>3408.4799999999996</v>
      </c>
      <c r="H93" s="109">
        <f t="shared" si="61"/>
        <v>3408.4799999999996</v>
      </c>
      <c r="I93" s="109">
        <f t="shared" si="61"/>
        <v>3408.4799999999996</v>
      </c>
      <c r="J93" s="109">
        <f t="shared" si="61"/>
        <v>3408.4799999999996</v>
      </c>
      <c r="K93" s="109">
        <f t="shared" si="61"/>
        <v>3408.4799999999996</v>
      </c>
      <c r="L93" s="109">
        <f t="shared" si="61"/>
        <v>463.62</v>
      </c>
      <c r="M93" s="109">
        <f t="shared" si="61"/>
        <v>3477.3299990676896</v>
      </c>
      <c r="N93" s="109">
        <f t="shared" si="61"/>
        <v>3477.3300000000004</v>
      </c>
      <c r="O93" s="109">
        <f t="shared" si="61"/>
        <v>3290.8678519864866</v>
      </c>
      <c r="P93" s="106">
        <f t="shared" si="52"/>
        <v>37898.657334340656</v>
      </c>
      <c r="Q93" s="86"/>
      <c r="R93" s="86"/>
      <c r="S93" s="86"/>
      <c r="T93" s="86"/>
      <c r="U93" s="86"/>
      <c r="V93" s="86"/>
    </row>
    <row r="94" spans="1:22">
      <c r="A94" s="22">
        <f t="shared" si="53"/>
        <v>94</v>
      </c>
      <c r="B94" s="183" t="s">
        <v>110</v>
      </c>
      <c r="C94" s="222"/>
      <c r="D94" s="214">
        <f t="shared" ref="D94:O94" si="62">90*(((D9*D3)&gt;=9/37)+((D9*D3)&gt;=18/37)+((D9*D3)&gt;=27/37))</f>
        <v>270</v>
      </c>
      <c r="E94" s="214">
        <f t="shared" si="62"/>
        <v>270</v>
      </c>
      <c r="F94" s="214">
        <f t="shared" si="62"/>
        <v>270</v>
      </c>
      <c r="G94" s="214">
        <f t="shared" si="62"/>
        <v>270</v>
      </c>
      <c r="H94" s="214">
        <f t="shared" si="62"/>
        <v>270</v>
      </c>
      <c r="I94" s="109">
        <f t="shared" si="62"/>
        <v>270</v>
      </c>
      <c r="J94" s="109">
        <f t="shared" si="62"/>
        <v>270</v>
      </c>
      <c r="K94" s="109">
        <f t="shared" si="62"/>
        <v>270</v>
      </c>
      <c r="L94" s="109">
        <f t="shared" si="62"/>
        <v>0</v>
      </c>
      <c r="M94" s="109">
        <f t="shared" si="62"/>
        <v>270</v>
      </c>
      <c r="N94" s="109">
        <f t="shared" si="62"/>
        <v>270</v>
      </c>
      <c r="O94" s="109">
        <f t="shared" si="62"/>
        <v>270</v>
      </c>
      <c r="P94" s="106">
        <f t="shared" si="52"/>
        <v>2970</v>
      </c>
      <c r="Q94" s="86"/>
      <c r="R94" s="86"/>
      <c r="S94" s="86"/>
      <c r="T94" s="86"/>
      <c r="U94" s="86"/>
      <c r="V94" s="86"/>
    </row>
    <row r="95" spans="1:22">
      <c r="A95" s="22">
        <f t="shared" si="53"/>
        <v>95</v>
      </c>
      <c r="B95" s="183" t="s">
        <v>132</v>
      </c>
      <c r="C95" s="222"/>
      <c r="D95" s="214">
        <f t="shared" ref="D95:O95" si="63">IF(OR(LEFT(D6)="P",LEFT(D6)="E"),VLOOKUP(VALUE(MID(D6,2,2)),Skalalontabel12,7,0)*D9*D7/12*15%*MIN(1,D9)*D3,0)</f>
        <v>0</v>
      </c>
      <c r="E95" s="214">
        <f t="shared" si="63"/>
        <v>0</v>
      </c>
      <c r="F95" s="214">
        <f t="shared" si="63"/>
        <v>0</v>
      </c>
      <c r="G95" s="214">
        <f t="shared" si="63"/>
        <v>0</v>
      </c>
      <c r="H95" s="214">
        <f t="shared" si="63"/>
        <v>0</v>
      </c>
      <c r="I95" s="214">
        <f t="shared" si="63"/>
        <v>0</v>
      </c>
      <c r="J95" s="214">
        <f t="shared" si="63"/>
        <v>0</v>
      </c>
      <c r="K95" s="214">
        <f t="shared" si="63"/>
        <v>0</v>
      </c>
      <c r="L95" s="214">
        <f t="shared" si="63"/>
        <v>0</v>
      </c>
      <c r="M95" s="214">
        <f t="shared" si="63"/>
        <v>0</v>
      </c>
      <c r="N95" s="214">
        <f t="shared" si="63"/>
        <v>0</v>
      </c>
      <c r="O95" s="214">
        <f t="shared" si="63"/>
        <v>0</v>
      </c>
      <c r="P95" s="106">
        <f t="shared" si="52"/>
        <v>0</v>
      </c>
      <c r="Q95" s="86"/>
      <c r="R95" s="86"/>
      <c r="S95" s="86"/>
      <c r="T95" s="86"/>
      <c r="U95" s="86"/>
      <c r="V95" s="86"/>
    </row>
    <row r="96" spans="1:22">
      <c r="A96" s="22">
        <f t="shared" si="53"/>
        <v>96</v>
      </c>
      <c r="B96" s="183" t="s">
        <v>95</v>
      </c>
      <c r="C96" s="222"/>
      <c r="D96" s="214">
        <f>108.35*(D9&gt;=0.4054)</f>
        <v>108.35</v>
      </c>
      <c r="E96" s="109">
        <f t="shared" ref="E96:J96" si="64">108.35*(E9&gt;0)</f>
        <v>108.35</v>
      </c>
      <c r="F96" s="109">
        <f t="shared" si="64"/>
        <v>108.35</v>
      </c>
      <c r="G96" s="109">
        <f t="shared" si="64"/>
        <v>108.35</v>
      </c>
      <c r="H96" s="109">
        <f t="shared" si="64"/>
        <v>108.35</v>
      </c>
      <c r="I96" s="109">
        <f t="shared" si="64"/>
        <v>108.35</v>
      </c>
      <c r="J96" s="109">
        <f t="shared" si="64"/>
        <v>108.35</v>
      </c>
      <c r="K96" s="109">
        <f>108.35*(K9&gt;0)</f>
        <v>108.35</v>
      </c>
      <c r="L96" s="368">
        <v>0</v>
      </c>
      <c r="M96" s="109">
        <f>108.35*(M9&gt;0)</f>
        <v>108.35</v>
      </c>
      <c r="N96" s="109">
        <f>108.35*(N9&gt;0)</f>
        <v>108.35</v>
      </c>
      <c r="O96" s="109">
        <f>108.35*(O9&gt;0)</f>
        <v>108.35</v>
      </c>
      <c r="P96" s="106">
        <f t="shared" si="52"/>
        <v>1191.8499999999999</v>
      </c>
      <c r="Q96" s="86"/>
      <c r="R96" s="86"/>
      <c r="S96" s="86"/>
      <c r="T96" s="86"/>
      <c r="U96" s="86"/>
      <c r="V96" s="86"/>
    </row>
    <row r="97" spans="1:22">
      <c r="A97" s="22">
        <f t="shared" si="53"/>
        <v>97</v>
      </c>
      <c r="B97" s="184" t="s">
        <v>215</v>
      </c>
      <c r="C97" s="222"/>
      <c r="D97" s="215">
        <f>D65-(D87+D82+D84+D96)</f>
        <v>12871.045065005406</v>
      </c>
      <c r="E97" s="215">
        <f t="shared" ref="E97:O97" si="65">E65-(E87+E82+E84+E96)</f>
        <v>13126.83</v>
      </c>
      <c r="F97" s="215">
        <f t="shared" si="65"/>
        <v>13126.83</v>
      </c>
      <c r="G97" s="215">
        <f t="shared" si="65"/>
        <v>13126.83</v>
      </c>
      <c r="H97" s="215">
        <f t="shared" si="65"/>
        <v>13126.83</v>
      </c>
      <c r="I97" s="215">
        <f t="shared" si="65"/>
        <v>13416.83</v>
      </c>
      <c r="J97" s="215">
        <f t="shared" si="65"/>
        <v>13416.83</v>
      </c>
      <c r="K97" s="215">
        <f t="shared" si="65"/>
        <v>13416.83</v>
      </c>
      <c r="L97" s="215">
        <f t="shared" si="65"/>
        <v>1545.7866666666673</v>
      </c>
      <c r="M97" s="215">
        <f t="shared" si="65"/>
        <v>15503.819897316045</v>
      </c>
      <c r="N97" s="215">
        <f t="shared" si="65"/>
        <v>13641.049999999997</v>
      </c>
      <c r="O97" s="215">
        <f t="shared" si="65"/>
        <v>13022.641463975671</v>
      </c>
      <c r="P97" s="114">
        <f>SUM(C97:O97)</f>
        <v>149342.1530929638</v>
      </c>
      <c r="Q97" s="87"/>
      <c r="R97" s="87"/>
      <c r="S97" s="86"/>
      <c r="T97" s="86"/>
      <c r="U97" s="86"/>
      <c r="V97" s="86"/>
    </row>
    <row r="98" spans="1:22" ht="14">
      <c r="A98" s="22">
        <f t="shared" si="53"/>
        <v>98</v>
      </c>
      <c r="B98" s="116" t="s">
        <v>321</v>
      </c>
      <c r="C98" s="236">
        <f>Ex11_12!P99</f>
        <v>112202.7492307525</v>
      </c>
      <c r="D98" s="134">
        <f>(SUM(D44:D63)+D81)*(1-12/260*D21)</f>
        <v>16341.111455975051</v>
      </c>
      <c r="E98" s="132">
        <f>(SUM(E44:E63)+E81)*(1-12/260*E21)</f>
        <v>21740.34</v>
      </c>
      <c r="F98" s="132">
        <f>(SUM(F44:F63)+F81)*(1-12/260*F21)</f>
        <v>21740.34</v>
      </c>
      <c r="G98" s="132">
        <f>(SUM(G44:G63)+G81)*(1-12/260*G21)</f>
        <v>21740.34</v>
      </c>
      <c r="H98" s="138">
        <f>(SUM(H44:H63)+H81)*(1-12/260*H21)</f>
        <v>21740.34</v>
      </c>
      <c r="I98" s="135" t="s">
        <v>220</v>
      </c>
      <c r="J98" s="118"/>
      <c r="K98" s="118"/>
      <c r="L98" s="118"/>
      <c r="M98" s="118"/>
      <c r="N98" s="118"/>
      <c r="O98" s="118"/>
      <c r="P98" s="106">
        <f>SUM(C98:H98)</f>
        <v>215505.22068672755</v>
      </c>
      <c r="Q98" s="122"/>
      <c r="R98" s="122"/>
      <c r="S98" s="86"/>
      <c r="T98" s="86"/>
      <c r="U98" s="86"/>
      <c r="V98" s="86"/>
    </row>
    <row r="99" spans="1:22" ht="14">
      <c r="A99" s="22">
        <f t="shared" si="53"/>
        <v>99</v>
      </c>
      <c r="B99" s="185" t="s">
        <v>322</v>
      </c>
      <c r="C99" s="225"/>
      <c r="D99" s="136" t="s">
        <v>220</v>
      </c>
      <c r="E99" s="131"/>
      <c r="F99" s="131"/>
      <c r="G99" s="131"/>
      <c r="H99" s="133"/>
      <c r="I99" s="134">
        <f>(SUM(I$44:I$63)+I$81)*(1-12/260*I$21)</f>
        <v>21740.34</v>
      </c>
      <c r="J99" s="132">
        <f>(SUM(J$44:J$63)+J$81)*(1-12/260*J$21)</f>
        <v>21740.34</v>
      </c>
      <c r="K99" s="132">
        <f>(SUM(K$44:K$63)+K$81)*(1-12/260*K$21)</f>
        <v>21740.34</v>
      </c>
      <c r="L99" s="132">
        <f>(SUM(L$44:L$63)+L$81)*(1-12/260*L$21)</f>
        <v>2956.3266666666673</v>
      </c>
      <c r="M99" s="132">
        <f>(SUM(M$44:M$63)-M37+M$81)*(1-12/260*M$21)</f>
        <v>22172.509794670612</v>
      </c>
      <c r="N99" s="132">
        <f>(SUM(N$44:N$63)-N37+N$81)*(1-12/260*N$21)</f>
        <v>22172.51</v>
      </c>
      <c r="O99" s="132">
        <f>(SUM(O$44:O$63)-O37+O$81)*(1-12/260*O$21)</f>
        <v>1614.6113395875248</v>
      </c>
      <c r="P99" s="137">
        <f t="shared" si="52"/>
        <v>114136.9778009248</v>
      </c>
      <c r="Q99" s="122"/>
      <c r="R99" s="122"/>
      <c r="S99" s="86"/>
      <c r="T99" s="86"/>
      <c r="U99" s="86"/>
      <c r="V99" s="86"/>
    </row>
    <row r="100" spans="1:22" s="119" customFormat="1">
      <c r="A100" s="22">
        <f t="shared" si="53"/>
        <v>100</v>
      </c>
      <c r="B100" s="128" t="s">
        <v>221</v>
      </c>
      <c r="C100" s="223"/>
      <c r="D100" s="216">
        <f>IF(D9&gt;0,(D44+D45+D52+D53+D54+D55+D56+D57)/D9,0)</f>
        <v>25929.135135135137</v>
      </c>
      <c r="E100" s="129">
        <f t="shared" ref="E100:O100" si="66">IF(E9&gt;0,(E44+E45+E52+E53+E54+E55+E56+E57)/E9,0)</f>
        <v>25929.135135135137</v>
      </c>
      <c r="F100" s="129">
        <f t="shared" si="66"/>
        <v>25929.135135135137</v>
      </c>
      <c r="G100" s="129">
        <f t="shared" si="66"/>
        <v>25929.135135135137</v>
      </c>
      <c r="H100" s="129">
        <f t="shared" si="66"/>
        <v>25929.135135135137</v>
      </c>
      <c r="I100" s="129">
        <f t="shared" si="66"/>
        <v>25929.135135135137</v>
      </c>
      <c r="J100" s="129">
        <f t="shared" si="66"/>
        <v>25929.135135135137</v>
      </c>
      <c r="K100" s="129">
        <f t="shared" si="66"/>
        <v>25929.135135135137</v>
      </c>
      <c r="L100" s="129">
        <f t="shared" si="66"/>
        <v>3526.1756756756763</v>
      </c>
      <c r="M100" s="129">
        <f t="shared" si="66"/>
        <v>26446.31081081081</v>
      </c>
      <c r="N100" s="129">
        <f t="shared" si="66"/>
        <v>26446.31081081081</v>
      </c>
      <c r="O100" s="129">
        <f t="shared" si="66"/>
        <v>26446.31081081081</v>
      </c>
      <c r="P100" s="130"/>
      <c r="Q100" s="86"/>
      <c r="R100" s="86"/>
      <c r="S100" s="86"/>
      <c r="T100" s="86"/>
      <c r="U100" s="86"/>
      <c r="V100" s="86"/>
    </row>
    <row r="101" spans="1:22" s="119" customFormat="1" ht="14" thickBot="1">
      <c r="A101" s="22">
        <f>A100+1</f>
        <v>101</v>
      </c>
      <c r="B101" s="119" t="s">
        <v>252</v>
      </c>
      <c r="C101" s="223"/>
      <c r="D101" s="120">
        <f>IF(D9&gt;0,(D66+D73+D74+D76+D77)/D9,0)</f>
        <v>1438.0540540540542</v>
      </c>
      <c r="E101" s="120">
        <f t="shared" ref="E101:O101" si="67">IF(E9&gt;0,(E66+E73+E74+E76+E77)/E9,0)</f>
        <v>1438.0540540540542</v>
      </c>
      <c r="F101" s="120">
        <f t="shared" si="67"/>
        <v>1438.0540540540542</v>
      </c>
      <c r="G101" s="120">
        <f t="shared" si="67"/>
        <v>1438.0540540540542</v>
      </c>
      <c r="H101" s="120">
        <f t="shared" si="67"/>
        <v>1438.0540540540542</v>
      </c>
      <c r="I101" s="120">
        <f t="shared" si="67"/>
        <v>1438.0540540540542</v>
      </c>
      <c r="J101" s="120">
        <f t="shared" si="67"/>
        <v>1438.0540540540542</v>
      </c>
      <c r="K101" s="120">
        <f t="shared" si="67"/>
        <v>1438.0540540540542</v>
      </c>
      <c r="L101" s="120">
        <f t="shared" si="67"/>
        <v>195.6081081081081</v>
      </c>
      <c r="M101" s="120">
        <f t="shared" si="67"/>
        <v>1467.0945945945948</v>
      </c>
      <c r="N101" s="120">
        <f t="shared" si="67"/>
        <v>1467.0945945945948</v>
      </c>
      <c r="O101" s="120">
        <f t="shared" si="67"/>
        <v>1467.0945945945948</v>
      </c>
      <c r="Q101" s="86"/>
      <c r="R101" s="86"/>
      <c r="S101" s="86"/>
      <c r="T101" s="86"/>
      <c r="U101" s="86"/>
      <c r="V101" s="86"/>
    </row>
    <row r="102" spans="1:22" ht="14" thickTop="1">
      <c r="A102" s="124">
        <f>A101+1</f>
        <v>102</v>
      </c>
      <c r="B102" s="125" t="s">
        <v>88</v>
      </c>
      <c r="C102" s="224"/>
      <c r="D102" s="149">
        <f t="shared" ref="D102:K102" si="68">IF(LEFT(D$4)&lt;&gt;"b",IF(D$10&gt;=650,650*ROUND(16.38*D$7,2)/12,D$10*ROUND(16.38*D$7,2)/12),IF(D$10&gt;=750,750*ROUND(22.41*D$7,2)/12,D$10*ROUND(22.41*D$7,2)/12))</f>
        <v>1248.5</v>
      </c>
      <c r="E102" s="149">
        <f t="shared" si="68"/>
        <v>1248.5</v>
      </c>
      <c r="F102" s="149">
        <f t="shared" si="68"/>
        <v>1248.5</v>
      </c>
      <c r="G102" s="149">
        <f t="shared" si="68"/>
        <v>1248.5</v>
      </c>
      <c r="H102" s="149">
        <f t="shared" si="68"/>
        <v>1248.5</v>
      </c>
      <c r="I102" s="149">
        <f t="shared" si="68"/>
        <v>1248.5</v>
      </c>
      <c r="J102" s="149">
        <f t="shared" si="68"/>
        <v>1248.5</v>
      </c>
      <c r="K102" s="149">
        <f t="shared" si="68"/>
        <v>1248.5</v>
      </c>
      <c r="L102" s="149">
        <f>IF(LEFT(L$4)&lt;&gt;"b",IF(L$10&gt;=650,650*ROUND(16.38*L$7,2)/12,L$10*ROUND(16.38*L$7,2)/12),IF(L$10&gt;=750,750*ROUND(22.41*L$7,2)/12,L$10*ROUND(22.41*L$7,2)/12))</f>
        <v>1273.8</v>
      </c>
      <c r="M102" s="149">
        <f>IF(LEFT(M$4)&lt;&gt;"b",IF(M$10&gt;=650,650*ROUND(16.38*M$7,2)/12,M$10*ROUND(16.38*M$7,2)/12),IF(M$10&gt;=750,750*ROUND(22.41*M$7,2)/12,M$10*ROUND(22.41*M$7,2)/12))</f>
        <v>1273.8</v>
      </c>
      <c r="N102" s="149">
        <f>IF(LEFT(N$4)&lt;&gt;"b",IF(N$10&gt;=650,650*ROUND(16.38*N$7,2)/12,N$10*ROUND(16.38*N$7,2)/12),IF(N$10&gt;=750,750*ROUND(22.41*N$7,2)/12,N$10*ROUND(22.41*N$7,2)/12))</f>
        <v>1273.8</v>
      </c>
      <c r="O102" s="149">
        <f>IF(LEFT(O$4)&lt;&gt;"b",IF(O$10&gt;=650,650*ROUND(16.38*O$7,2)/12,O$10*ROUND(16.38*O$7,2)/12),IF(O$10&gt;=750,750*ROUND(22.41*O$7,2)/12,O$10*ROUND(22.41*O$7,2)/12))</f>
        <v>1273.8</v>
      </c>
      <c r="P102" s="126" t="s">
        <v>186</v>
      </c>
      <c r="Q102" s="86"/>
      <c r="R102" s="86"/>
      <c r="S102" s="86"/>
      <c r="T102" s="86"/>
      <c r="U102" s="86"/>
      <c r="V102" s="86"/>
    </row>
    <row r="103" spans="1:22">
      <c r="A103" s="22">
        <f>A102+1</f>
        <v>103</v>
      </c>
      <c r="B103" s="186" t="s">
        <v>89</v>
      </c>
      <c r="C103" s="224"/>
      <c r="D103" s="110">
        <f t="shared" ref="D103:K103" si="69">IF(LEFT(D$4)&lt;&gt;"b",IF(D$10&gt;650,IF(D$10&gt;=700,50*ROUND(98.3*D$7,2)/12,(D$10-650)*ROUND(98.3*D$7,2)/12),0),IF(D$10&gt;750,IF(D$10&gt;=800,50*ROUND(65.53*D$7,2)/12,(D$10-750)*ROUND(65.53*D$7,2)/12),0))</f>
        <v>0</v>
      </c>
      <c r="E103" s="110">
        <f t="shared" si="69"/>
        <v>0</v>
      </c>
      <c r="F103" s="110">
        <f t="shared" si="69"/>
        <v>0</v>
      </c>
      <c r="G103" s="110">
        <f t="shared" si="69"/>
        <v>0</v>
      </c>
      <c r="H103" s="110">
        <f t="shared" si="69"/>
        <v>0</v>
      </c>
      <c r="I103" s="110">
        <f t="shared" si="69"/>
        <v>0</v>
      </c>
      <c r="J103" s="110">
        <f t="shared" si="69"/>
        <v>0</v>
      </c>
      <c r="K103" s="110">
        <f t="shared" si="69"/>
        <v>0</v>
      </c>
      <c r="L103" s="110">
        <f>IF(LEFT(L$4)&lt;&gt;"b",IF(L$10&gt;650,IF(L$10&gt;=700,50*ROUND(98.3*L$7,2)/12,(L$10-650)*ROUND(98.3*L$7,2)/12),0),IF(L$10&gt;750,IF(L$10&gt;=800,50*ROUND(65.53*L$7,2)/12,(L$10-750)*ROUND(65.53*L$7,2)/12),0))</f>
        <v>0</v>
      </c>
      <c r="M103" s="110">
        <f>IF(LEFT(M$4)&lt;&gt;"b",IF(M$10&gt;650,IF(M$10&gt;=700,50*ROUND(98.3*M$7,2)/12,(M$10-650)*ROUND(98.3*M$7,2)/12),0),IF(M$10&gt;750,IF(M$10&gt;=800,50*ROUND(65.53*M$7,2)/12,(M$10-750)*ROUND(65.53*M$7,2)/12),0))</f>
        <v>0</v>
      </c>
      <c r="N103" s="110">
        <f>IF(LEFT(N$4)&lt;&gt;"b",IF(N$10&gt;650,IF(N$10&gt;=700,50*ROUND(98.3*N$7,2)/12,(N$10-650)*ROUND(98.3*N$7,2)/12),0),IF(N$10&gt;750,IF(N$10&gt;=800,50*ROUND(65.53*N$7,2)/12,(N$10-750)*ROUND(65.53*N$7,2)/12),0))</f>
        <v>0</v>
      </c>
      <c r="O103" s="110">
        <f>IF(LEFT(O$4)&lt;&gt;"b",IF(O$10&gt;650,IF(O$10&gt;=700,50*ROUND(98.3*O$7,2)/12,(O$10-650)*ROUND(98.3*O$7,2)/12),0),IF(O$10&gt;750,IF(O$10&gt;=800,50*ROUND(65.53*O$7,2)/12,(O$10-750)*ROUND(65.53*O$7,2)/12),0))</f>
        <v>0</v>
      </c>
      <c r="P103" s="111" t="s">
        <v>186</v>
      </c>
      <c r="Q103" s="86"/>
      <c r="R103" s="86"/>
      <c r="S103" s="86"/>
      <c r="T103" s="86"/>
      <c r="U103" s="86"/>
      <c r="V103" s="86"/>
    </row>
    <row r="104" spans="1:22">
      <c r="A104" s="22">
        <f>A103+1</f>
        <v>104</v>
      </c>
      <c r="B104" s="186" t="s">
        <v>166</v>
      </c>
      <c r="C104" s="224"/>
      <c r="D104" s="110">
        <f t="shared" ref="D104:K104" si="70">IF(LEFT(D$4)&lt;&gt;"b",IF(D$10&gt;700,IF(D$10&gt;=750,50*ROUND(131.07*D$7,2)/12,(D$10-700)*ROUND(131.07*D$7,2)/12),0),IF(D$10&gt;800,IF(D$10&gt;=835,35*ROUND(131.07*D$7,2)/12,(D$10-800)*ROUND(131.07*D$7,2)/12),0))</f>
        <v>0</v>
      </c>
      <c r="E104" s="110">
        <f t="shared" si="70"/>
        <v>0</v>
      </c>
      <c r="F104" s="110">
        <f t="shared" si="70"/>
        <v>0</v>
      </c>
      <c r="G104" s="110">
        <f t="shared" si="70"/>
        <v>0</v>
      </c>
      <c r="H104" s="110">
        <f t="shared" si="70"/>
        <v>0</v>
      </c>
      <c r="I104" s="110">
        <f t="shared" si="70"/>
        <v>0</v>
      </c>
      <c r="J104" s="110">
        <f t="shared" si="70"/>
        <v>0</v>
      </c>
      <c r="K104" s="110">
        <f t="shared" si="70"/>
        <v>0</v>
      </c>
      <c r="L104" s="110">
        <f>IF(LEFT(L$4)&lt;&gt;"b",IF(L$10&gt;700,IF(L$10&gt;=750,50*ROUND(131.07*L$7,2)/12,(L$10-700)*ROUND(131.07*L$7,2)/12),0),IF(L$10&gt;800,IF(L$10&gt;=835,35*ROUND(131.07*L$7,2)/12,(L$10-800)*ROUND(131.07*L$7,2)/12),0))</f>
        <v>0</v>
      </c>
      <c r="M104" s="110">
        <f>IF(LEFT(M$4)&lt;&gt;"b",IF(M$10&gt;700,IF(M$10&gt;=750,50*ROUND(131.07*M$7,2)/12,(M$10-700)*ROUND(131.07*M$7,2)/12),0),IF(M$10&gt;800,IF(M$10&gt;=835,35*ROUND(131.07*M$7,2)/12,(M$10-800)*ROUND(131.07*M$7,2)/12),0))</f>
        <v>0</v>
      </c>
      <c r="N104" s="110">
        <f>IF(LEFT(N$4)&lt;&gt;"b",IF(N$10&gt;700,IF(N$10&gt;=750,50*ROUND(131.07*N$7,2)/12,(N$10-700)*ROUND(131.07*N$7,2)/12),0),IF(N$10&gt;800,IF(N$10&gt;=835,35*ROUND(131.07*N$7,2)/12,(N$10-800)*ROUND(131.07*N$7,2)/12),0))</f>
        <v>0</v>
      </c>
      <c r="O104" s="110">
        <f>IF(LEFT(O$4)&lt;&gt;"b",IF(O$10&gt;700,IF(O$10&gt;=750,50*ROUND(131.07*O$7,2)/12,(O$10-700)*ROUND(131.07*O$7,2)/12),0),IF(O$10&gt;800,IF(O$10&gt;=835,35*ROUND(131.07*O$7,2)/12,(O$10-800)*ROUND(131.07*O$7,2)/12),0))</f>
        <v>0</v>
      </c>
      <c r="P104" s="111" t="s">
        <v>186</v>
      </c>
      <c r="Q104" s="86"/>
      <c r="R104" s="86"/>
      <c r="S104" s="86"/>
      <c r="T104" s="86"/>
      <c r="U104" s="86"/>
      <c r="V104" s="86"/>
    </row>
    <row r="105" spans="1:22">
      <c r="A105" s="22">
        <f>A104+1</f>
        <v>105</v>
      </c>
      <c r="B105" s="187" t="s">
        <v>167</v>
      </c>
      <c r="C105" s="224"/>
      <c r="D105" s="112">
        <f t="shared" ref="D105:K105" si="71">IF(LEFT(D$4)&lt;&gt;"b",IF(D$10&gt;750,(D$10-750)*ROUND(163.83*D$7,2)/12,0),IF(D$10&gt;835,(D$10-835)*ROUND(163.83*D$7,2)/12,0))</f>
        <v>0</v>
      </c>
      <c r="E105" s="112">
        <f t="shared" si="71"/>
        <v>0</v>
      </c>
      <c r="F105" s="112">
        <f t="shared" si="71"/>
        <v>0</v>
      </c>
      <c r="G105" s="112">
        <f t="shared" si="71"/>
        <v>0</v>
      </c>
      <c r="H105" s="112">
        <f t="shared" si="71"/>
        <v>0</v>
      </c>
      <c r="I105" s="112">
        <f t="shared" si="71"/>
        <v>0</v>
      </c>
      <c r="J105" s="112">
        <f t="shared" si="71"/>
        <v>0</v>
      </c>
      <c r="K105" s="112">
        <f t="shared" si="71"/>
        <v>0</v>
      </c>
      <c r="L105" s="112">
        <f>IF(LEFT(L$4)&lt;&gt;"b",IF(L$10&gt;750,(L$10-750)*ROUND(163.83*L$7,2)/12,0),IF(L$10&gt;835,(L$10-835)*ROUND(163.83*L$7,2)/12,0))</f>
        <v>0</v>
      </c>
      <c r="M105" s="112">
        <f>IF(LEFT(M$4)&lt;&gt;"b",IF(M$10&gt;750,(M$10-750)*ROUND(163.83*M$7,2)/12,0),IF(M$10&gt;835,(M$10-835)*ROUND(163.83*M$7,2)/12,0))</f>
        <v>0</v>
      </c>
      <c r="N105" s="112">
        <f>IF(LEFT(N$4)&lt;&gt;"b",IF(N$10&gt;750,(N$10-750)*ROUND(163.83*N$7,2)/12,0),IF(N$10&gt;835,(N$10-835)*ROUND(163.83*N$7,2)/12,0))</f>
        <v>0</v>
      </c>
      <c r="O105" s="112">
        <f>IF(LEFT(O$4)&lt;&gt;"b",IF(O$10&gt;750,(O$10-750)*ROUND(163.83*O$7,2)/12,0),IF(O$10&gt;835,(O$10-835)*ROUND(163.83*O$7,2)/12,0))</f>
        <v>0</v>
      </c>
      <c r="P105" s="113" t="s">
        <v>186</v>
      </c>
      <c r="Q105" s="86"/>
      <c r="R105" s="86"/>
      <c r="S105" s="86"/>
      <c r="T105" s="86"/>
      <c r="U105" s="86"/>
      <c r="V105" s="86"/>
    </row>
    <row r="106" spans="1:22">
      <c r="Q106" s="86"/>
      <c r="R106" s="86"/>
      <c r="S106" s="86"/>
      <c r="T106" s="86"/>
      <c r="U106" s="86"/>
      <c r="V106" s="86"/>
    </row>
    <row r="107" spans="1:22" s="3" customFormat="1">
      <c r="A107" s="87"/>
      <c r="B107" s="86"/>
      <c r="C107" s="86"/>
      <c r="D107" s="115"/>
      <c r="E107" s="115"/>
      <c r="F107" s="115"/>
      <c r="G107" s="115"/>
      <c r="H107" s="115"/>
      <c r="I107" s="115"/>
      <c r="J107" s="115"/>
      <c r="K107" s="115"/>
      <c r="L107" s="115"/>
      <c r="M107" s="115"/>
      <c r="N107" s="115"/>
      <c r="O107" s="115"/>
      <c r="P107" s="86"/>
      <c r="Q107" s="86"/>
      <c r="R107" s="86"/>
      <c r="S107" s="86"/>
      <c r="T107" s="86"/>
      <c r="U107" s="86"/>
      <c r="V107" s="86"/>
    </row>
    <row r="108" spans="1:22" s="3" customFormat="1">
      <c r="A108" s="87"/>
      <c r="B108" s="86"/>
      <c r="C108" s="86"/>
      <c r="D108" s="115"/>
      <c r="E108" s="88"/>
      <c r="F108" s="88"/>
      <c r="G108" s="88"/>
      <c r="H108" s="88"/>
      <c r="I108" s="88"/>
      <c r="J108" s="88"/>
      <c r="K108" s="88"/>
      <c r="L108" s="88"/>
      <c r="M108" s="88"/>
      <c r="N108" s="88"/>
      <c r="O108" s="88"/>
      <c r="P108" s="86"/>
      <c r="Q108" s="86"/>
      <c r="R108" s="86"/>
      <c r="S108" s="86"/>
      <c r="T108" s="86"/>
      <c r="U108" s="86"/>
      <c r="V108" s="86"/>
    </row>
    <row r="109" spans="1:22" s="3" customFormat="1">
      <c r="A109" s="87"/>
      <c r="B109" s="86"/>
      <c r="C109" s="86"/>
      <c r="D109" s="88"/>
      <c r="E109" s="88"/>
      <c r="F109" s="88"/>
      <c r="G109" s="88"/>
      <c r="H109" s="88"/>
      <c r="I109" s="88"/>
      <c r="J109" s="88"/>
      <c r="K109" s="88"/>
      <c r="L109" s="88"/>
      <c r="M109" s="88"/>
      <c r="N109" s="88"/>
      <c r="O109" s="88"/>
      <c r="P109" s="86"/>
      <c r="Q109" s="86"/>
      <c r="R109" s="86"/>
      <c r="S109" s="86"/>
      <c r="T109" s="86"/>
      <c r="U109" s="86"/>
      <c r="V109" s="86"/>
    </row>
    <row r="110" spans="1:22" s="3" customFormat="1">
      <c r="A110" s="87"/>
      <c r="B110" s="86"/>
      <c r="C110" s="86"/>
      <c r="D110" s="88"/>
      <c r="E110" s="88"/>
      <c r="F110" s="88"/>
      <c r="G110" s="88"/>
      <c r="H110" s="88"/>
      <c r="I110" s="88"/>
      <c r="J110" s="88"/>
      <c r="K110" s="88"/>
      <c r="L110" s="88"/>
      <c r="M110" s="88"/>
      <c r="N110" s="88"/>
      <c r="O110" s="88"/>
      <c r="P110" s="86"/>
      <c r="Q110" s="86"/>
      <c r="R110" s="86"/>
      <c r="S110" s="86"/>
      <c r="T110" s="86"/>
      <c r="U110" s="86"/>
      <c r="V110" s="86"/>
    </row>
    <row r="111" spans="1:22" s="3" customFormat="1">
      <c r="A111" s="87"/>
      <c r="B111" s="86"/>
      <c r="C111" s="86"/>
      <c r="D111" s="88"/>
      <c r="E111" s="88"/>
      <c r="F111" s="88"/>
      <c r="G111" s="88"/>
      <c r="H111" s="88"/>
      <c r="I111" s="88"/>
      <c r="J111" s="88"/>
      <c r="K111" s="88"/>
      <c r="L111" s="88"/>
      <c r="M111" s="88"/>
      <c r="N111" s="88"/>
      <c r="O111" s="88"/>
      <c r="P111" s="86"/>
      <c r="Q111" s="86"/>
      <c r="R111" s="86"/>
      <c r="S111" s="86"/>
      <c r="T111" s="86"/>
      <c r="U111" s="86"/>
      <c r="V111" s="86"/>
    </row>
    <row r="112" spans="1:22">
      <c r="A112" s="82"/>
      <c r="B112" s="83"/>
      <c r="C112" s="83"/>
      <c r="D112" s="84"/>
      <c r="E112" s="84"/>
      <c r="F112" s="84"/>
      <c r="G112" s="84"/>
      <c r="H112" s="84"/>
      <c r="I112" s="84"/>
      <c r="J112" s="84"/>
      <c r="K112" s="84"/>
      <c r="L112" s="84"/>
      <c r="M112" s="84"/>
      <c r="N112" s="84"/>
      <c r="O112" s="84"/>
      <c r="P112" s="83"/>
    </row>
    <row r="113" spans="1:16">
      <c r="A113" s="82"/>
      <c r="B113" s="347"/>
      <c r="C113" s="83"/>
      <c r="D113" s="84"/>
      <c r="E113" s="84"/>
      <c r="F113" s="84"/>
      <c r="G113" s="84"/>
      <c r="H113" s="84"/>
      <c r="I113" s="84"/>
      <c r="J113" s="84"/>
      <c r="K113" s="84"/>
      <c r="L113" s="84"/>
      <c r="M113" s="84"/>
      <c r="N113" s="84"/>
      <c r="O113" s="84"/>
      <c r="P113" s="83"/>
    </row>
    <row r="114" spans="1:16">
      <c r="A114" s="82"/>
      <c r="B114" s="83"/>
      <c r="C114" s="83"/>
      <c r="D114" s="84"/>
      <c r="E114" s="84"/>
      <c r="F114" s="84"/>
      <c r="G114" s="84"/>
      <c r="H114" s="84"/>
      <c r="I114" s="84"/>
      <c r="J114" s="84"/>
      <c r="K114" s="84"/>
      <c r="L114" s="84"/>
      <c r="M114" s="84"/>
      <c r="N114" s="84"/>
      <c r="O114" s="84"/>
      <c r="P114" s="83"/>
    </row>
    <row r="115" spans="1:16">
      <c r="A115" s="82"/>
      <c r="B115" s="83"/>
      <c r="C115" s="83"/>
      <c r="D115" s="84"/>
      <c r="E115" s="84"/>
      <c r="F115" s="84"/>
      <c r="G115" s="84"/>
      <c r="H115" s="84"/>
      <c r="I115" s="84"/>
      <c r="J115" s="84"/>
      <c r="K115" s="84"/>
      <c r="L115" s="84"/>
      <c r="M115" s="84"/>
      <c r="N115" s="84"/>
      <c r="O115" s="84"/>
      <c r="P115" s="83"/>
    </row>
    <row r="116" spans="1:16">
      <c r="A116" s="82"/>
      <c r="B116" s="83"/>
      <c r="C116" s="83"/>
      <c r="D116" s="84"/>
      <c r="E116" s="84"/>
      <c r="F116" s="84"/>
      <c r="G116" s="84"/>
      <c r="H116" s="84"/>
      <c r="I116" s="84"/>
      <c r="J116" s="84"/>
      <c r="K116" s="84"/>
      <c r="L116" s="84"/>
      <c r="M116" s="84"/>
      <c r="N116" s="84"/>
      <c r="O116" s="84"/>
      <c r="P116" s="83"/>
    </row>
    <row r="117" spans="1:16">
      <c r="A117" s="82"/>
      <c r="B117" s="83"/>
      <c r="C117" s="83"/>
      <c r="D117" s="84"/>
      <c r="E117" s="84"/>
      <c r="F117" s="84"/>
      <c r="G117" s="84"/>
      <c r="H117" s="84"/>
      <c r="I117" s="84"/>
      <c r="J117" s="84"/>
      <c r="K117" s="84"/>
      <c r="L117" s="84"/>
      <c r="M117" s="84"/>
      <c r="N117" s="84"/>
      <c r="O117" s="84"/>
      <c r="P117" s="83"/>
    </row>
    <row r="118" spans="1:16">
      <c r="A118" s="82"/>
      <c r="B118" s="83"/>
      <c r="C118" s="83"/>
      <c r="D118" s="84"/>
      <c r="E118" s="84"/>
      <c r="F118" s="84"/>
      <c r="G118" s="84"/>
      <c r="H118" s="84"/>
      <c r="I118" s="84"/>
      <c r="J118" s="84"/>
      <c r="K118" s="84"/>
      <c r="L118" s="84"/>
      <c r="M118" s="84"/>
      <c r="N118" s="84"/>
      <c r="O118" s="84"/>
      <c r="P118" s="83"/>
    </row>
    <row r="119" spans="1:16">
      <c r="A119" s="82"/>
      <c r="B119" s="83"/>
      <c r="C119" s="83"/>
      <c r="D119" s="84"/>
      <c r="E119" s="84"/>
      <c r="F119" s="84"/>
      <c r="G119" s="84"/>
      <c r="H119" s="84"/>
      <c r="I119" s="84"/>
      <c r="J119" s="84"/>
      <c r="K119" s="84"/>
      <c r="L119" s="84"/>
      <c r="M119" s="84"/>
      <c r="N119" s="84"/>
      <c r="O119" s="84"/>
      <c r="P119" s="83"/>
    </row>
    <row r="120" spans="1:16">
      <c r="A120" s="82"/>
      <c r="B120" s="83"/>
      <c r="C120" s="83"/>
      <c r="D120" s="84"/>
      <c r="E120" s="84"/>
      <c r="F120" s="84"/>
      <c r="G120" s="84"/>
      <c r="H120" s="84"/>
      <c r="I120" s="84"/>
      <c r="J120" s="84"/>
      <c r="K120" s="84"/>
      <c r="L120" s="84"/>
      <c r="M120" s="84"/>
      <c r="N120" s="84"/>
      <c r="O120" s="84"/>
      <c r="P120" s="83"/>
    </row>
    <row r="121" spans="1:16">
      <c r="A121" s="82"/>
      <c r="B121" s="83"/>
      <c r="C121" s="83"/>
      <c r="D121" s="84"/>
      <c r="E121" s="84"/>
      <c r="F121" s="84"/>
      <c r="G121" s="84"/>
      <c r="H121" s="84"/>
      <c r="I121" s="84"/>
      <c r="J121" s="84"/>
      <c r="K121" s="84"/>
      <c r="L121" s="84"/>
      <c r="M121" s="84"/>
      <c r="N121" s="84"/>
      <c r="O121" s="84"/>
      <c r="P121" s="83"/>
    </row>
    <row r="122" spans="1:16">
      <c r="A122" s="82"/>
      <c r="B122" s="83"/>
      <c r="C122" s="83"/>
      <c r="D122" s="84"/>
      <c r="E122" s="84"/>
      <c r="F122" s="84"/>
      <c r="G122" s="84"/>
      <c r="H122" s="84"/>
      <c r="I122" s="84"/>
      <c r="J122" s="84"/>
      <c r="K122" s="84"/>
      <c r="L122" s="84"/>
      <c r="M122" s="84"/>
      <c r="N122" s="84"/>
      <c r="O122" s="84"/>
      <c r="P122" s="83"/>
    </row>
    <row r="123" spans="1:16">
      <c r="A123" s="82"/>
      <c r="B123" s="83"/>
      <c r="C123" s="83"/>
      <c r="D123" s="84"/>
      <c r="E123" s="84"/>
      <c r="F123" s="84"/>
      <c r="G123" s="84"/>
      <c r="H123" s="84"/>
      <c r="I123" s="84"/>
      <c r="J123" s="84"/>
      <c r="K123" s="84"/>
      <c r="L123" s="84"/>
      <c r="M123" s="84"/>
      <c r="N123" s="84"/>
      <c r="O123" s="84"/>
      <c r="P123" s="83"/>
    </row>
    <row r="124" spans="1:16">
      <c r="A124" s="82"/>
      <c r="B124" s="83"/>
      <c r="C124" s="83"/>
      <c r="D124" s="84"/>
      <c r="E124" s="84"/>
      <c r="F124" s="84"/>
      <c r="G124" s="84"/>
      <c r="H124" s="84"/>
      <c r="I124" s="84"/>
      <c r="J124" s="84"/>
      <c r="K124" s="84"/>
      <c r="L124" s="84"/>
      <c r="M124" s="84"/>
      <c r="N124" s="84"/>
      <c r="O124" s="84"/>
      <c r="P124" s="83"/>
    </row>
    <row r="125" spans="1:16">
      <c r="A125" s="82"/>
      <c r="B125" s="83"/>
      <c r="C125" s="83"/>
      <c r="D125" s="84"/>
      <c r="E125" s="84"/>
      <c r="F125" s="84"/>
      <c r="G125" s="84"/>
      <c r="H125" s="84"/>
      <c r="I125" s="84"/>
      <c r="J125" s="84"/>
      <c r="K125" s="84"/>
      <c r="L125" s="84"/>
      <c r="M125" s="84"/>
      <c r="N125" s="84"/>
      <c r="O125" s="84"/>
      <c r="P125" s="83"/>
    </row>
    <row r="126" spans="1:16">
      <c r="A126" s="82"/>
      <c r="B126" s="83"/>
      <c r="C126" s="83"/>
      <c r="D126" s="84"/>
      <c r="E126" s="84"/>
      <c r="F126" s="84"/>
      <c r="G126" s="84"/>
      <c r="H126" s="84"/>
      <c r="I126" s="84"/>
      <c r="J126" s="84"/>
      <c r="K126" s="84"/>
      <c r="L126" s="84"/>
      <c r="M126" s="84"/>
      <c r="N126" s="84"/>
      <c r="O126" s="84"/>
      <c r="P126" s="83"/>
    </row>
    <row r="127" spans="1:16">
      <c r="A127" s="82"/>
      <c r="B127" s="83"/>
      <c r="C127" s="83"/>
      <c r="D127" s="84"/>
      <c r="E127" s="84"/>
      <c r="F127" s="84"/>
      <c r="G127" s="84"/>
      <c r="H127" s="84"/>
      <c r="I127" s="84"/>
      <c r="J127" s="84"/>
      <c r="K127" s="84"/>
      <c r="L127" s="84"/>
      <c r="M127" s="84"/>
      <c r="N127" s="84"/>
      <c r="O127" s="84"/>
      <c r="P127" s="83"/>
    </row>
    <row r="128" spans="1:16">
      <c r="A128" s="82"/>
      <c r="B128" s="83"/>
      <c r="C128" s="83"/>
      <c r="D128" s="84"/>
      <c r="E128" s="84"/>
      <c r="F128" s="84"/>
      <c r="G128" s="84"/>
      <c r="H128" s="84"/>
      <c r="I128" s="84"/>
      <c r="J128" s="84"/>
      <c r="K128" s="84"/>
      <c r="L128" s="84"/>
      <c r="M128" s="84"/>
      <c r="N128" s="84"/>
      <c r="O128" s="84"/>
      <c r="P128" s="83"/>
    </row>
    <row r="129" spans="1:16">
      <c r="A129" s="82"/>
      <c r="B129" s="83"/>
      <c r="C129" s="83"/>
      <c r="D129" s="84"/>
      <c r="E129" s="84"/>
      <c r="F129" s="84"/>
      <c r="G129" s="84"/>
      <c r="H129" s="84"/>
      <c r="I129" s="84"/>
      <c r="J129" s="84"/>
      <c r="K129" s="84"/>
      <c r="L129" s="84"/>
      <c r="M129" s="84"/>
      <c r="N129" s="84"/>
      <c r="O129" s="84"/>
      <c r="P129" s="83"/>
    </row>
    <row r="130" spans="1:16">
      <c r="A130" s="82"/>
      <c r="B130" s="83"/>
      <c r="C130" s="83"/>
      <c r="D130" s="84"/>
      <c r="E130" s="84"/>
      <c r="F130" s="84"/>
      <c r="G130" s="84"/>
      <c r="H130" s="84"/>
      <c r="I130" s="84"/>
      <c r="J130" s="84"/>
      <c r="K130" s="84"/>
      <c r="L130" s="84"/>
      <c r="M130" s="84"/>
      <c r="N130" s="84"/>
      <c r="O130" s="84"/>
      <c r="P130" s="83"/>
    </row>
    <row r="131" spans="1:16">
      <c r="A131" s="82"/>
      <c r="B131" s="83"/>
      <c r="C131" s="83"/>
      <c r="D131" s="84"/>
      <c r="E131" s="84"/>
      <c r="F131" s="84"/>
      <c r="G131" s="84"/>
      <c r="H131" s="84"/>
      <c r="I131" s="84"/>
      <c r="J131" s="84"/>
      <c r="K131" s="84"/>
      <c r="L131" s="84"/>
      <c r="M131" s="84"/>
      <c r="N131" s="84"/>
      <c r="O131" s="84"/>
      <c r="P131" s="83"/>
    </row>
    <row r="132" spans="1:16">
      <c r="A132" s="82"/>
      <c r="B132" s="83"/>
      <c r="C132" s="83"/>
      <c r="D132" s="84"/>
      <c r="E132" s="84"/>
      <c r="F132" s="84"/>
      <c r="G132" s="84"/>
      <c r="H132" s="84"/>
      <c r="I132" s="84"/>
      <c r="J132" s="84"/>
      <c r="K132" s="84"/>
      <c r="L132" s="84"/>
      <c r="M132" s="84"/>
      <c r="N132" s="84"/>
      <c r="O132" s="84"/>
      <c r="P132" s="83"/>
    </row>
    <row r="133" spans="1:16">
      <c r="A133" s="82"/>
      <c r="B133" s="83"/>
      <c r="C133" s="83"/>
      <c r="D133" s="84"/>
      <c r="E133" s="84"/>
      <c r="F133" s="84"/>
      <c r="G133" s="84"/>
      <c r="H133" s="84"/>
      <c r="I133" s="84"/>
      <c r="J133" s="84"/>
      <c r="K133" s="84"/>
      <c r="L133" s="84"/>
      <c r="M133" s="84"/>
      <c r="N133" s="84"/>
      <c r="O133" s="84"/>
      <c r="P133" s="83"/>
    </row>
    <row r="134" spans="1:16">
      <c r="A134" s="82"/>
      <c r="B134" s="83"/>
      <c r="C134" s="83"/>
      <c r="D134" s="84"/>
      <c r="E134" s="84"/>
      <c r="F134" s="84"/>
      <c r="G134" s="84"/>
      <c r="H134" s="84"/>
      <c r="I134" s="84"/>
      <c r="J134" s="84"/>
      <c r="K134" s="84"/>
      <c r="L134" s="84"/>
      <c r="M134" s="84"/>
      <c r="N134" s="84"/>
      <c r="O134" s="84"/>
      <c r="P134" s="83"/>
    </row>
    <row r="135" spans="1:16">
      <c r="A135" s="82"/>
      <c r="B135" s="83"/>
      <c r="C135" s="83"/>
      <c r="D135" s="84"/>
      <c r="E135" s="84"/>
      <c r="F135" s="84"/>
      <c r="G135" s="84"/>
      <c r="H135" s="84"/>
      <c r="I135" s="84"/>
      <c r="J135" s="84"/>
      <c r="K135" s="84"/>
      <c r="L135" s="84"/>
      <c r="M135" s="84"/>
      <c r="N135" s="84"/>
      <c r="O135" s="84"/>
      <c r="P135" s="83"/>
    </row>
    <row r="136" spans="1:16">
      <c r="A136" s="82"/>
      <c r="B136" s="83"/>
      <c r="C136" s="83"/>
      <c r="D136" s="84"/>
      <c r="E136" s="84"/>
      <c r="F136" s="84"/>
      <c r="G136" s="84"/>
      <c r="H136" s="84"/>
      <c r="I136" s="84"/>
      <c r="J136" s="84"/>
      <c r="K136" s="84"/>
      <c r="L136" s="84"/>
      <c r="M136" s="84"/>
      <c r="N136" s="84"/>
      <c r="O136" s="84"/>
      <c r="P136" s="83"/>
    </row>
    <row r="137" spans="1:16">
      <c r="A137" s="82"/>
      <c r="B137" s="83"/>
      <c r="C137" s="83"/>
      <c r="D137" s="84"/>
      <c r="E137" s="84"/>
      <c r="F137" s="84"/>
      <c r="G137" s="84"/>
      <c r="H137" s="84"/>
      <c r="I137" s="84"/>
      <c r="J137" s="84"/>
      <c r="K137" s="84"/>
      <c r="L137" s="84"/>
      <c r="M137" s="84"/>
      <c r="N137" s="84"/>
      <c r="O137" s="84"/>
      <c r="P137" s="83"/>
    </row>
    <row r="138" spans="1:16">
      <c r="A138" s="82"/>
      <c r="B138" s="83"/>
      <c r="C138" s="83"/>
      <c r="D138" s="84"/>
      <c r="E138" s="84"/>
      <c r="F138" s="84"/>
      <c r="G138" s="84"/>
      <c r="H138" s="84"/>
      <c r="I138" s="84"/>
      <c r="J138" s="84"/>
      <c r="K138" s="84"/>
      <c r="L138" s="84"/>
      <c r="M138" s="84"/>
      <c r="N138" s="84"/>
      <c r="O138" s="84"/>
      <c r="P138" s="83"/>
    </row>
    <row r="139" spans="1:16">
      <c r="A139" s="82"/>
      <c r="B139" s="83"/>
      <c r="C139" s="83"/>
      <c r="D139" s="84"/>
      <c r="E139" s="84"/>
      <c r="F139" s="84"/>
      <c r="G139" s="84"/>
      <c r="H139" s="84"/>
      <c r="I139" s="84"/>
      <c r="J139" s="84"/>
      <c r="K139" s="84"/>
      <c r="L139" s="84"/>
      <c r="M139" s="84"/>
      <c r="N139" s="84"/>
      <c r="O139" s="84"/>
      <c r="P139" s="83"/>
    </row>
    <row r="140" spans="1:16">
      <c r="A140" s="82"/>
      <c r="B140" s="83"/>
      <c r="C140" s="83"/>
      <c r="D140" s="84"/>
      <c r="E140" s="84"/>
      <c r="F140" s="84"/>
      <c r="G140" s="84"/>
      <c r="H140" s="84"/>
      <c r="I140" s="84"/>
      <c r="J140" s="84"/>
      <c r="K140" s="84"/>
      <c r="L140" s="84"/>
      <c r="M140" s="84"/>
      <c r="N140" s="84"/>
      <c r="O140" s="84"/>
      <c r="P140" s="83"/>
    </row>
    <row r="141" spans="1:16">
      <c r="A141" s="82"/>
      <c r="B141" s="83"/>
      <c r="C141" s="83"/>
      <c r="D141" s="84"/>
      <c r="E141" s="84"/>
      <c r="F141" s="84"/>
      <c r="G141" s="84"/>
      <c r="H141" s="84"/>
      <c r="I141" s="84"/>
      <c r="J141" s="84"/>
      <c r="K141" s="84"/>
      <c r="L141" s="84"/>
      <c r="M141" s="84"/>
      <c r="N141" s="84"/>
      <c r="O141" s="84"/>
      <c r="P141" s="83"/>
    </row>
    <row r="142" spans="1:16">
      <c r="A142" s="82"/>
      <c r="B142" s="83"/>
      <c r="C142" s="83"/>
      <c r="D142" s="84"/>
      <c r="E142" s="84"/>
      <c r="F142" s="84"/>
      <c r="G142" s="84"/>
      <c r="H142" s="84"/>
      <c r="I142" s="84"/>
      <c r="J142" s="84"/>
      <c r="K142" s="84"/>
      <c r="L142" s="84"/>
      <c r="M142" s="84"/>
      <c r="N142" s="84"/>
      <c r="O142" s="84"/>
      <c r="P142" s="83"/>
    </row>
    <row r="143" spans="1:16">
      <c r="A143" s="82"/>
      <c r="B143" s="83"/>
      <c r="C143" s="83"/>
      <c r="D143" s="84"/>
      <c r="E143" s="84"/>
      <c r="F143" s="84"/>
      <c r="G143" s="84"/>
      <c r="H143" s="84"/>
      <c r="I143" s="84"/>
      <c r="J143" s="84"/>
      <c r="K143" s="84"/>
      <c r="L143" s="84"/>
      <c r="M143" s="84"/>
      <c r="N143" s="84"/>
      <c r="O143" s="84"/>
      <c r="P143" s="83"/>
    </row>
    <row r="144" spans="1:16">
      <c r="A144" s="82"/>
      <c r="B144" s="83"/>
      <c r="C144" s="83"/>
      <c r="D144" s="84"/>
      <c r="E144" s="84"/>
      <c r="F144" s="84"/>
      <c r="G144" s="84"/>
      <c r="H144" s="84"/>
      <c r="I144" s="84"/>
      <c r="J144" s="84"/>
      <c r="K144" s="84"/>
      <c r="L144" s="84"/>
      <c r="M144" s="84"/>
      <c r="N144" s="84"/>
      <c r="O144" s="84"/>
      <c r="P144" s="83"/>
    </row>
    <row r="145" spans="1:16">
      <c r="A145" s="82"/>
      <c r="B145" s="83"/>
      <c r="C145" s="83"/>
      <c r="D145" s="84"/>
      <c r="E145" s="84"/>
      <c r="F145" s="84"/>
      <c r="G145" s="84"/>
      <c r="H145" s="84"/>
      <c r="I145" s="84"/>
      <c r="J145" s="84"/>
      <c r="K145" s="84"/>
      <c r="L145" s="84"/>
      <c r="M145" s="84"/>
      <c r="N145" s="84"/>
      <c r="O145" s="84"/>
      <c r="P145" s="83"/>
    </row>
    <row r="146" spans="1:16">
      <c r="A146" s="82"/>
      <c r="B146" s="83"/>
      <c r="C146" s="83"/>
      <c r="D146" s="84"/>
      <c r="E146" s="84"/>
      <c r="F146" s="84"/>
      <c r="G146" s="84"/>
      <c r="H146" s="84"/>
      <c r="I146" s="84"/>
      <c r="J146" s="84"/>
      <c r="K146" s="84"/>
      <c r="L146" s="84"/>
      <c r="M146" s="84"/>
      <c r="N146" s="84"/>
      <c r="O146" s="84"/>
      <c r="P146" s="83"/>
    </row>
    <row r="147" spans="1:16">
      <c r="A147" s="82"/>
      <c r="B147" s="83"/>
      <c r="C147" s="83"/>
      <c r="D147" s="84"/>
      <c r="E147" s="84"/>
      <c r="F147" s="84"/>
      <c r="G147" s="84"/>
      <c r="H147" s="84"/>
      <c r="I147" s="84"/>
      <c r="J147" s="84"/>
      <c r="K147" s="84"/>
      <c r="L147" s="84"/>
      <c r="M147" s="84"/>
      <c r="N147" s="84"/>
      <c r="O147" s="84"/>
      <c r="P147" s="83"/>
    </row>
    <row r="148" spans="1:16">
      <c r="A148" s="82"/>
      <c r="B148" s="83"/>
      <c r="C148" s="83"/>
      <c r="D148" s="84"/>
      <c r="E148" s="84"/>
      <c r="F148" s="84"/>
      <c r="G148" s="84"/>
      <c r="H148" s="84"/>
      <c r="I148" s="84"/>
      <c r="J148" s="84"/>
      <c r="K148" s="84"/>
      <c r="L148" s="84"/>
      <c r="M148" s="84"/>
      <c r="N148" s="84"/>
      <c r="O148" s="84"/>
      <c r="P148" s="83"/>
    </row>
    <row r="149" spans="1:16">
      <c r="A149" s="82"/>
      <c r="B149" s="83"/>
      <c r="C149" s="83"/>
      <c r="D149" s="84"/>
      <c r="E149" s="84"/>
      <c r="F149" s="84"/>
      <c r="G149" s="84"/>
      <c r="H149" s="84"/>
      <c r="I149" s="84"/>
      <c r="J149" s="84"/>
      <c r="K149" s="84"/>
      <c r="L149" s="84"/>
      <c r="M149" s="84"/>
      <c r="N149" s="84"/>
      <c r="O149" s="84"/>
      <c r="P149" s="83"/>
    </row>
    <row r="150" spans="1:16">
      <c r="A150" s="82"/>
      <c r="B150" s="83"/>
      <c r="C150" s="83"/>
      <c r="D150" s="84"/>
      <c r="E150" s="84"/>
      <c r="F150" s="84"/>
      <c r="G150" s="84"/>
      <c r="H150" s="84"/>
      <c r="I150" s="84"/>
      <c r="J150" s="84"/>
      <c r="K150" s="84"/>
      <c r="L150" s="84"/>
      <c r="M150" s="84"/>
      <c r="N150" s="84"/>
      <c r="O150" s="84"/>
      <c r="P150" s="83"/>
    </row>
    <row r="151" spans="1:16">
      <c r="A151" s="82"/>
      <c r="B151" s="83"/>
      <c r="C151" s="83"/>
      <c r="D151" s="84"/>
      <c r="E151" s="84"/>
      <c r="F151" s="84"/>
      <c r="G151" s="84"/>
      <c r="H151" s="84"/>
      <c r="I151" s="84"/>
      <c r="J151" s="84"/>
      <c r="K151" s="84"/>
      <c r="L151" s="84"/>
      <c r="M151" s="84"/>
      <c r="N151" s="84"/>
      <c r="O151" s="84"/>
      <c r="P151" s="83"/>
    </row>
    <row r="152" spans="1:16">
      <c r="A152" s="82"/>
      <c r="B152" s="83"/>
      <c r="C152" s="83"/>
      <c r="D152" s="84"/>
      <c r="E152" s="84"/>
      <c r="F152" s="84"/>
      <c r="G152" s="84"/>
      <c r="H152" s="84"/>
      <c r="I152" s="84"/>
      <c r="J152" s="84"/>
      <c r="K152" s="84"/>
      <c r="L152" s="84"/>
      <c r="M152" s="84"/>
      <c r="N152" s="84"/>
      <c r="O152" s="84"/>
      <c r="P152" s="83"/>
    </row>
    <row r="153" spans="1:16">
      <c r="A153" s="82"/>
      <c r="B153" s="83"/>
      <c r="C153" s="83"/>
      <c r="D153" s="84"/>
      <c r="E153" s="84"/>
      <c r="F153" s="84"/>
      <c r="G153" s="84"/>
      <c r="H153" s="84"/>
      <c r="I153" s="84"/>
      <c r="J153" s="84"/>
      <c r="K153" s="84"/>
      <c r="L153" s="84"/>
      <c r="M153" s="84"/>
      <c r="N153" s="84"/>
      <c r="O153" s="84"/>
      <c r="P153" s="83"/>
    </row>
    <row r="154" spans="1:16">
      <c r="A154" s="82"/>
      <c r="B154" s="83"/>
      <c r="C154" s="83"/>
      <c r="D154" s="84"/>
      <c r="E154" s="84"/>
      <c r="F154" s="84"/>
      <c r="G154" s="84"/>
      <c r="H154" s="84"/>
      <c r="I154" s="84"/>
      <c r="J154" s="84"/>
      <c r="K154" s="84"/>
      <c r="L154" s="84"/>
      <c r="M154" s="84"/>
      <c r="N154" s="84"/>
      <c r="O154" s="84"/>
      <c r="P154" s="83"/>
    </row>
    <row r="155" spans="1:16">
      <c r="A155" s="82"/>
      <c r="B155" s="83"/>
      <c r="C155" s="83"/>
      <c r="D155" s="84"/>
      <c r="E155" s="84"/>
      <c r="F155" s="84"/>
      <c r="G155" s="84"/>
      <c r="H155" s="84"/>
      <c r="I155" s="84"/>
      <c r="J155" s="84"/>
      <c r="K155" s="84"/>
      <c r="L155" s="84"/>
      <c r="M155" s="84"/>
      <c r="N155" s="84"/>
      <c r="O155" s="84"/>
      <c r="P155" s="83"/>
    </row>
    <row r="156" spans="1:16">
      <c r="A156" s="82"/>
      <c r="B156" s="83"/>
      <c r="C156" s="83"/>
      <c r="D156" s="84"/>
      <c r="E156" s="84"/>
      <c r="F156" s="84"/>
      <c r="G156" s="84"/>
      <c r="H156" s="84"/>
      <c r="I156" s="84"/>
      <c r="J156" s="84"/>
      <c r="K156" s="84"/>
      <c r="L156" s="84"/>
      <c r="M156" s="84"/>
      <c r="N156" s="84"/>
      <c r="O156" s="84"/>
      <c r="P156" s="83"/>
    </row>
    <row r="157" spans="1:16">
      <c r="A157" s="82"/>
      <c r="B157" s="83"/>
      <c r="C157" s="83"/>
      <c r="D157" s="84"/>
      <c r="E157" s="84"/>
      <c r="F157" s="84"/>
      <c r="G157" s="84"/>
      <c r="H157" s="84"/>
      <c r="I157" s="84"/>
      <c r="J157" s="84"/>
      <c r="K157" s="84"/>
      <c r="L157" s="84"/>
      <c r="M157" s="84"/>
      <c r="N157" s="84"/>
      <c r="O157" s="84"/>
      <c r="P157" s="83"/>
    </row>
    <row r="158" spans="1:16">
      <c r="A158" s="82"/>
      <c r="B158" s="83"/>
      <c r="C158" s="83"/>
      <c r="D158" s="84"/>
      <c r="E158" s="84"/>
      <c r="F158" s="84"/>
      <c r="G158" s="84"/>
      <c r="H158" s="84"/>
      <c r="I158" s="84"/>
      <c r="J158" s="84"/>
      <c r="K158" s="84"/>
      <c r="L158" s="84"/>
      <c r="M158" s="84"/>
      <c r="N158" s="84"/>
      <c r="O158" s="84"/>
      <c r="P158" s="83"/>
    </row>
    <row r="159" spans="1:16">
      <c r="A159" s="82"/>
      <c r="B159" s="83"/>
      <c r="C159" s="83"/>
      <c r="D159" s="84"/>
      <c r="E159" s="84"/>
      <c r="F159" s="84"/>
      <c r="G159" s="84"/>
      <c r="H159" s="84"/>
      <c r="I159" s="84"/>
      <c r="J159" s="84"/>
      <c r="K159" s="84"/>
      <c r="L159" s="84"/>
      <c r="M159" s="84"/>
      <c r="N159" s="84"/>
      <c r="O159" s="84"/>
      <c r="P159" s="83"/>
    </row>
    <row r="160" spans="1:16">
      <c r="A160" s="82"/>
      <c r="B160" s="83"/>
      <c r="C160" s="83"/>
      <c r="D160" s="84"/>
      <c r="E160" s="84"/>
      <c r="F160" s="84"/>
      <c r="G160" s="84"/>
      <c r="H160" s="84"/>
      <c r="I160" s="84"/>
      <c r="J160" s="84"/>
      <c r="K160" s="84"/>
      <c r="L160" s="84"/>
      <c r="M160" s="84"/>
      <c r="N160" s="84"/>
      <c r="O160" s="84"/>
      <c r="P160" s="83"/>
    </row>
    <row r="161" spans="1:16">
      <c r="A161" s="82"/>
      <c r="B161" s="83"/>
      <c r="C161" s="83"/>
      <c r="D161" s="84"/>
      <c r="E161" s="84"/>
      <c r="F161" s="84"/>
      <c r="G161" s="84"/>
      <c r="H161" s="84"/>
      <c r="I161" s="84"/>
      <c r="J161" s="84"/>
      <c r="K161" s="84"/>
      <c r="L161" s="84"/>
      <c r="M161" s="84"/>
      <c r="N161" s="84"/>
      <c r="O161" s="84"/>
      <c r="P161" s="83"/>
    </row>
    <row r="162" spans="1:16">
      <c r="A162" s="82"/>
      <c r="B162" s="83"/>
      <c r="C162" s="83"/>
      <c r="D162" s="84"/>
      <c r="E162" s="84"/>
      <c r="F162" s="84"/>
      <c r="G162" s="84"/>
      <c r="H162" s="84"/>
      <c r="I162" s="84"/>
      <c r="J162" s="84"/>
      <c r="K162" s="84"/>
      <c r="L162" s="84"/>
      <c r="M162" s="84"/>
      <c r="N162" s="84"/>
      <c r="O162" s="84"/>
      <c r="P162" s="83"/>
    </row>
    <row r="163" spans="1:16">
      <c r="A163" s="82"/>
      <c r="B163" s="83"/>
      <c r="C163" s="83"/>
      <c r="D163" s="84"/>
      <c r="E163" s="84"/>
      <c r="F163" s="84"/>
      <c r="G163" s="84"/>
      <c r="H163" s="84"/>
      <c r="I163" s="84"/>
      <c r="J163" s="84"/>
      <c r="K163" s="84"/>
      <c r="L163" s="84"/>
      <c r="M163" s="84"/>
      <c r="N163" s="84"/>
      <c r="O163" s="84"/>
      <c r="P163" s="83"/>
    </row>
    <row r="164" spans="1:16">
      <c r="A164" s="82"/>
      <c r="B164" s="83"/>
      <c r="C164" s="83"/>
      <c r="D164" s="84"/>
      <c r="E164" s="84"/>
      <c r="F164" s="84"/>
      <c r="G164" s="84"/>
      <c r="H164" s="84"/>
      <c r="I164" s="84"/>
      <c r="J164" s="84"/>
      <c r="K164" s="84"/>
      <c r="L164" s="84"/>
      <c r="M164" s="84"/>
      <c r="N164" s="84"/>
      <c r="O164" s="84"/>
      <c r="P164" s="83"/>
    </row>
    <row r="165" spans="1:16">
      <c r="A165" s="82"/>
      <c r="B165" s="83"/>
      <c r="C165" s="83"/>
      <c r="D165" s="84"/>
      <c r="E165" s="84"/>
      <c r="F165" s="84"/>
      <c r="G165" s="84"/>
      <c r="H165" s="84"/>
      <c r="I165" s="84"/>
      <c r="J165" s="84"/>
      <c r="K165" s="84"/>
      <c r="L165" s="84"/>
      <c r="M165" s="84"/>
      <c r="N165" s="84"/>
      <c r="O165" s="84"/>
      <c r="P165" s="83"/>
    </row>
    <row r="166" spans="1:16">
      <c r="A166" s="82"/>
      <c r="B166" s="83"/>
      <c r="C166" s="83"/>
      <c r="D166" s="84"/>
      <c r="E166" s="84"/>
      <c r="F166" s="84"/>
      <c r="G166" s="84"/>
      <c r="H166" s="84"/>
      <c r="I166" s="84"/>
      <c r="J166" s="84"/>
      <c r="K166" s="84"/>
      <c r="L166" s="84"/>
      <c r="M166" s="84"/>
      <c r="N166" s="84"/>
      <c r="O166" s="84"/>
      <c r="P166" s="83"/>
    </row>
    <row r="167" spans="1:16">
      <c r="A167" s="82"/>
      <c r="B167" s="83"/>
      <c r="C167" s="83"/>
      <c r="D167" s="84"/>
      <c r="E167" s="84"/>
      <c r="F167" s="84"/>
      <c r="G167" s="84"/>
      <c r="H167" s="84"/>
      <c r="I167" s="84"/>
      <c r="J167" s="84"/>
      <c r="K167" s="84"/>
      <c r="L167" s="84"/>
      <c r="M167" s="84"/>
      <c r="N167" s="84"/>
      <c r="O167" s="84"/>
      <c r="P167" s="83"/>
    </row>
    <row r="168" spans="1:16">
      <c r="A168" s="82"/>
      <c r="B168" s="83"/>
      <c r="C168" s="83"/>
      <c r="D168" s="84"/>
      <c r="E168" s="84"/>
      <c r="F168" s="84"/>
      <c r="G168" s="84"/>
      <c r="H168" s="84"/>
      <c r="I168" s="84"/>
      <c r="J168" s="84"/>
      <c r="K168" s="84"/>
      <c r="L168" s="84"/>
      <c r="M168" s="84"/>
      <c r="N168" s="84"/>
      <c r="O168" s="84"/>
      <c r="P168" s="83"/>
    </row>
    <row r="169" spans="1:16">
      <c r="A169" s="82"/>
      <c r="B169" s="83"/>
      <c r="C169" s="83"/>
      <c r="D169" s="84"/>
      <c r="E169" s="84"/>
      <c r="F169" s="84"/>
      <c r="G169" s="84"/>
      <c r="H169" s="84"/>
      <c r="I169" s="84"/>
      <c r="J169" s="84"/>
      <c r="K169" s="84"/>
      <c r="L169" s="84"/>
      <c r="M169" s="84"/>
      <c r="N169" s="84"/>
      <c r="O169" s="84"/>
      <c r="P169" s="83"/>
    </row>
    <row r="170" spans="1:16">
      <c r="A170" s="82"/>
      <c r="B170" s="83"/>
      <c r="C170" s="83"/>
      <c r="D170" s="84"/>
      <c r="E170" s="84"/>
      <c r="F170" s="84"/>
      <c r="G170" s="84"/>
      <c r="H170" s="84"/>
      <c r="I170" s="84"/>
      <c r="J170" s="84"/>
      <c r="K170" s="84"/>
      <c r="L170" s="84"/>
      <c r="M170" s="84"/>
      <c r="N170" s="84"/>
      <c r="O170" s="84"/>
      <c r="P170" s="83"/>
    </row>
    <row r="171" spans="1:16">
      <c r="A171" s="82"/>
      <c r="B171" s="83"/>
      <c r="C171" s="83"/>
      <c r="D171" s="84"/>
      <c r="E171" s="84"/>
      <c r="F171" s="84"/>
      <c r="G171" s="84"/>
      <c r="H171" s="84"/>
      <c r="I171" s="84"/>
      <c r="J171" s="84"/>
      <c r="K171" s="84"/>
      <c r="L171" s="84"/>
      <c r="M171" s="84"/>
      <c r="N171" s="84"/>
      <c r="O171" s="84"/>
      <c r="P171" s="83"/>
    </row>
    <row r="172" spans="1:16">
      <c r="A172" s="82"/>
      <c r="B172" s="83"/>
      <c r="C172" s="83"/>
      <c r="D172" s="84"/>
      <c r="E172" s="84"/>
      <c r="F172" s="84"/>
      <c r="G172" s="84"/>
      <c r="H172" s="84"/>
      <c r="I172" s="84"/>
      <c r="J172" s="84"/>
      <c r="K172" s="84"/>
      <c r="L172" s="84"/>
      <c r="M172" s="84"/>
      <c r="N172" s="84"/>
      <c r="O172" s="84"/>
      <c r="P172" s="83"/>
    </row>
    <row r="173" spans="1:16">
      <c r="A173" s="82"/>
      <c r="B173" s="83"/>
      <c r="C173" s="83"/>
      <c r="D173" s="84"/>
      <c r="E173" s="84"/>
      <c r="F173" s="84"/>
      <c r="G173" s="84"/>
      <c r="H173" s="84"/>
      <c r="I173" s="84"/>
      <c r="J173" s="84"/>
      <c r="K173" s="84"/>
      <c r="L173" s="84"/>
      <c r="M173" s="84"/>
      <c r="N173" s="84"/>
      <c r="O173" s="84"/>
      <c r="P173" s="83"/>
    </row>
    <row r="174" spans="1:16">
      <c r="A174" s="82"/>
      <c r="B174" s="83"/>
      <c r="C174" s="83"/>
      <c r="D174" s="84"/>
      <c r="E174" s="84"/>
      <c r="F174" s="84"/>
      <c r="G174" s="84"/>
      <c r="H174" s="84"/>
      <c r="I174" s="84"/>
      <c r="J174" s="84"/>
      <c r="K174" s="84"/>
      <c r="L174" s="84"/>
      <c r="M174" s="84"/>
      <c r="N174" s="84"/>
      <c r="O174" s="84"/>
      <c r="P174" s="83"/>
    </row>
    <row r="175" spans="1:16">
      <c r="A175" s="82"/>
      <c r="B175" s="83"/>
      <c r="C175" s="83"/>
      <c r="D175" s="84"/>
      <c r="E175" s="84"/>
      <c r="F175" s="84"/>
      <c r="G175" s="84"/>
      <c r="H175" s="84"/>
      <c r="I175" s="84"/>
      <c r="J175" s="84"/>
      <c r="K175" s="84"/>
      <c r="L175" s="84"/>
      <c r="M175" s="84"/>
      <c r="N175" s="84"/>
      <c r="O175" s="84"/>
      <c r="P175" s="83"/>
    </row>
    <row r="176" spans="1:16">
      <c r="A176" s="82"/>
      <c r="B176" s="83"/>
      <c r="C176" s="83"/>
      <c r="D176" s="84"/>
      <c r="E176" s="84"/>
      <c r="F176" s="84"/>
      <c r="G176" s="84"/>
      <c r="H176" s="84"/>
      <c r="I176" s="84"/>
      <c r="J176" s="84"/>
      <c r="K176" s="84"/>
      <c r="L176" s="84"/>
      <c r="M176" s="84"/>
      <c r="N176" s="84"/>
      <c r="O176" s="84"/>
      <c r="P176" s="83"/>
    </row>
    <row r="177" spans="1:16">
      <c r="A177" s="82"/>
      <c r="B177" s="83"/>
      <c r="C177" s="83"/>
      <c r="D177" s="84"/>
      <c r="E177" s="84"/>
      <c r="F177" s="84"/>
      <c r="G177" s="84"/>
      <c r="H177" s="84"/>
      <c r="I177" s="84"/>
      <c r="J177" s="84"/>
      <c r="K177" s="84"/>
      <c r="L177" s="84"/>
      <c r="M177" s="84"/>
      <c r="N177" s="84"/>
      <c r="O177" s="84"/>
      <c r="P177" s="83"/>
    </row>
    <row r="178" spans="1:16">
      <c r="A178" s="82"/>
      <c r="B178" s="83"/>
      <c r="C178" s="83"/>
      <c r="D178" s="84"/>
      <c r="E178" s="84"/>
      <c r="F178" s="84"/>
      <c r="G178" s="84"/>
      <c r="H178" s="84"/>
      <c r="I178" s="84"/>
      <c r="J178" s="84"/>
      <c r="K178" s="84"/>
      <c r="L178" s="84"/>
      <c r="M178" s="84"/>
      <c r="N178" s="84"/>
      <c r="O178" s="84"/>
      <c r="P178" s="83"/>
    </row>
    <row r="179" spans="1:16">
      <c r="A179" s="82"/>
      <c r="B179" s="83"/>
      <c r="C179" s="83"/>
      <c r="D179" s="84"/>
      <c r="E179" s="84"/>
      <c r="F179" s="84"/>
      <c r="G179" s="84"/>
      <c r="H179" s="84"/>
      <c r="I179" s="84"/>
      <c r="J179" s="84"/>
      <c r="K179" s="84"/>
      <c r="L179" s="84"/>
      <c r="M179" s="84"/>
      <c r="N179" s="84"/>
      <c r="O179" s="84"/>
      <c r="P179" s="83"/>
    </row>
    <row r="180" spans="1:16">
      <c r="A180" s="82"/>
      <c r="B180" s="83"/>
      <c r="C180" s="83"/>
      <c r="D180" s="84"/>
      <c r="E180" s="84"/>
      <c r="F180" s="84"/>
      <c r="G180" s="84"/>
      <c r="H180" s="84"/>
      <c r="I180" s="84"/>
      <c r="J180" s="84"/>
      <c r="K180" s="84"/>
      <c r="L180" s="84"/>
      <c r="M180" s="84"/>
      <c r="N180" s="84"/>
      <c r="O180" s="84"/>
      <c r="P180" s="83"/>
    </row>
    <row r="181" spans="1:16">
      <c r="A181" s="82"/>
      <c r="B181" s="83"/>
      <c r="C181" s="83"/>
      <c r="D181" s="84"/>
      <c r="E181" s="84"/>
      <c r="F181" s="84"/>
      <c r="G181" s="84"/>
      <c r="H181" s="84"/>
      <c r="I181" s="84"/>
      <c r="J181" s="84"/>
      <c r="K181" s="84"/>
      <c r="L181" s="84"/>
      <c r="M181" s="84"/>
      <c r="N181" s="84"/>
      <c r="O181" s="84"/>
      <c r="P181" s="83"/>
    </row>
    <row r="182" spans="1:16">
      <c r="A182" s="82"/>
      <c r="B182" s="83"/>
      <c r="C182" s="83"/>
      <c r="D182" s="84"/>
      <c r="E182" s="84"/>
      <c r="F182" s="84"/>
      <c r="G182" s="84"/>
      <c r="H182" s="84"/>
      <c r="I182" s="84"/>
      <c r="J182" s="84"/>
      <c r="K182" s="84"/>
      <c r="L182" s="84"/>
      <c r="M182" s="84"/>
      <c r="N182" s="84"/>
      <c r="O182" s="84"/>
      <c r="P182" s="83"/>
    </row>
    <row r="183" spans="1:16">
      <c r="A183" s="82"/>
      <c r="B183" s="83"/>
      <c r="C183" s="83"/>
      <c r="D183" s="84"/>
      <c r="E183" s="84"/>
      <c r="F183" s="84"/>
      <c r="G183" s="84"/>
      <c r="H183" s="84"/>
      <c r="I183" s="84"/>
      <c r="J183" s="84"/>
      <c r="K183" s="84"/>
      <c r="L183" s="84"/>
      <c r="M183" s="84"/>
      <c r="N183" s="84"/>
      <c r="O183" s="84"/>
      <c r="P183" s="83"/>
    </row>
    <row r="184" spans="1:16">
      <c r="A184" s="82"/>
      <c r="B184" s="83"/>
      <c r="C184" s="83"/>
      <c r="D184" s="84"/>
      <c r="E184" s="84"/>
      <c r="F184" s="84"/>
      <c r="G184" s="84"/>
      <c r="H184" s="84"/>
      <c r="I184" s="84"/>
      <c r="J184" s="84"/>
      <c r="K184" s="84"/>
      <c r="L184" s="84"/>
      <c r="M184" s="84"/>
      <c r="N184" s="84"/>
      <c r="O184" s="84"/>
      <c r="P184" s="83"/>
    </row>
    <row r="185" spans="1:16">
      <c r="A185" s="82"/>
      <c r="B185" s="83"/>
      <c r="C185" s="83"/>
      <c r="D185" s="84"/>
      <c r="E185" s="84"/>
      <c r="F185" s="84"/>
      <c r="G185" s="84"/>
      <c r="H185" s="84"/>
      <c r="I185" s="84"/>
      <c r="J185" s="84"/>
      <c r="K185" s="84"/>
      <c r="L185" s="84"/>
      <c r="M185" s="84"/>
      <c r="N185" s="84"/>
      <c r="O185" s="84"/>
      <c r="P185" s="83"/>
    </row>
    <row r="186" spans="1:16">
      <c r="A186" s="82"/>
      <c r="B186" s="83"/>
      <c r="C186" s="83"/>
      <c r="D186" s="84"/>
      <c r="E186" s="84"/>
      <c r="F186" s="84"/>
      <c r="G186" s="84"/>
      <c r="H186" s="84"/>
      <c r="I186" s="84"/>
      <c r="J186" s="84"/>
      <c r="K186" s="84"/>
      <c r="L186" s="84"/>
      <c r="M186" s="84"/>
      <c r="N186" s="84"/>
      <c r="O186" s="84"/>
      <c r="P186" s="83"/>
    </row>
    <row r="187" spans="1:16">
      <c r="A187" s="82"/>
      <c r="B187" s="83"/>
      <c r="C187" s="83"/>
      <c r="D187" s="84"/>
      <c r="E187" s="84"/>
      <c r="F187" s="84"/>
      <c r="G187" s="84"/>
      <c r="H187" s="84"/>
      <c r="I187" s="84"/>
      <c r="J187" s="84"/>
      <c r="K187" s="84"/>
      <c r="L187" s="84"/>
      <c r="M187" s="84"/>
      <c r="N187" s="84"/>
      <c r="O187" s="84"/>
      <c r="P187" s="83"/>
    </row>
    <row r="188" spans="1:16">
      <c r="A188" s="82"/>
      <c r="B188" s="83"/>
      <c r="C188" s="83"/>
      <c r="D188" s="84"/>
      <c r="E188" s="84"/>
      <c r="F188" s="84"/>
      <c r="G188" s="84"/>
      <c r="H188" s="84"/>
      <c r="I188" s="84"/>
      <c r="J188" s="84"/>
      <c r="K188" s="84"/>
      <c r="L188" s="84"/>
      <c r="M188" s="84"/>
      <c r="N188" s="84"/>
      <c r="O188" s="84"/>
      <c r="P188" s="83"/>
    </row>
    <row r="189" spans="1:16">
      <c r="A189" s="82"/>
      <c r="B189" s="83"/>
      <c r="C189" s="83"/>
      <c r="D189" s="84"/>
      <c r="E189" s="84"/>
      <c r="F189" s="84"/>
      <c r="G189" s="84"/>
      <c r="H189" s="84"/>
      <c r="I189" s="84"/>
      <c r="J189" s="84"/>
      <c r="K189" s="84"/>
      <c r="L189" s="84"/>
      <c r="M189" s="84"/>
      <c r="N189" s="84"/>
      <c r="O189" s="84"/>
      <c r="P189" s="83"/>
    </row>
    <row r="190" spans="1:16">
      <c r="A190" s="82"/>
      <c r="B190" s="83"/>
      <c r="C190" s="83"/>
      <c r="D190" s="84"/>
      <c r="E190" s="84"/>
      <c r="F190" s="84"/>
      <c r="G190" s="84"/>
      <c r="H190" s="84"/>
      <c r="I190" s="84"/>
      <c r="J190" s="84"/>
      <c r="K190" s="84"/>
      <c r="L190" s="84"/>
      <c r="M190" s="84"/>
      <c r="N190" s="84"/>
      <c r="O190" s="84"/>
      <c r="P190" s="83"/>
    </row>
    <row r="191" spans="1:16">
      <c r="A191" s="82"/>
      <c r="B191" s="83"/>
      <c r="C191" s="83"/>
      <c r="D191" s="84"/>
      <c r="E191" s="84"/>
      <c r="F191" s="84"/>
      <c r="G191" s="84"/>
      <c r="H191" s="84"/>
      <c r="I191" s="84"/>
      <c r="J191" s="84"/>
      <c r="K191" s="84"/>
      <c r="L191" s="84"/>
      <c r="M191" s="84"/>
      <c r="N191" s="84"/>
      <c r="O191" s="84"/>
      <c r="P191" s="83"/>
    </row>
    <row r="192" spans="1:16">
      <c r="A192" s="82"/>
      <c r="B192" s="83"/>
      <c r="C192" s="83"/>
      <c r="D192" s="84"/>
      <c r="E192" s="84"/>
      <c r="F192" s="84"/>
      <c r="G192" s="84"/>
      <c r="H192" s="84"/>
      <c r="I192" s="84"/>
      <c r="J192" s="84"/>
      <c r="K192" s="84"/>
      <c r="L192" s="84"/>
      <c r="M192" s="84"/>
      <c r="N192" s="84"/>
      <c r="O192" s="84"/>
      <c r="P192" s="83"/>
    </row>
    <row r="193" spans="1:16">
      <c r="A193" s="82"/>
      <c r="B193" s="83"/>
      <c r="C193" s="83"/>
      <c r="D193" s="84"/>
      <c r="E193" s="84"/>
      <c r="F193" s="84"/>
      <c r="G193" s="84"/>
      <c r="H193" s="84"/>
      <c r="I193" s="84"/>
      <c r="J193" s="84"/>
      <c r="K193" s="84"/>
      <c r="L193" s="84"/>
      <c r="M193" s="84"/>
      <c r="N193" s="84"/>
      <c r="O193" s="84"/>
      <c r="P193" s="83"/>
    </row>
    <row r="194" spans="1:16">
      <c r="A194" s="82"/>
      <c r="B194" s="83"/>
      <c r="C194" s="83"/>
      <c r="D194" s="84"/>
      <c r="E194" s="84"/>
      <c r="F194" s="84"/>
      <c r="G194" s="84"/>
      <c r="H194" s="84"/>
      <c r="I194" s="84"/>
      <c r="J194" s="84"/>
      <c r="K194" s="84"/>
      <c r="L194" s="84"/>
      <c r="M194" s="84"/>
      <c r="N194" s="84"/>
      <c r="O194" s="84"/>
      <c r="P194" s="83"/>
    </row>
    <row r="195" spans="1:16">
      <c r="A195" s="82"/>
      <c r="B195" s="83"/>
      <c r="C195" s="83"/>
      <c r="D195" s="84"/>
      <c r="E195" s="84"/>
      <c r="F195" s="84"/>
      <c r="G195" s="84"/>
      <c r="H195" s="84"/>
      <c r="I195" s="84"/>
      <c r="J195" s="84"/>
      <c r="K195" s="84"/>
      <c r="L195" s="84"/>
      <c r="M195" s="84"/>
      <c r="N195" s="84"/>
      <c r="O195" s="84"/>
      <c r="P195" s="83"/>
    </row>
    <row r="196" spans="1:16">
      <c r="A196" s="82"/>
      <c r="B196" s="83"/>
      <c r="C196" s="83"/>
      <c r="D196" s="84"/>
      <c r="E196" s="84"/>
      <c r="F196" s="84"/>
      <c r="G196" s="84"/>
      <c r="H196" s="84"/>
      <c r="I196" s="84"/>
      <c r="J196" s="84"/>
      <c r="K196" s="84"/>
      <c r="L196" s="84"/>
      <c r="M196" s="84"/>
      <c r="N196" s="84"/>
      <c r="O196" s="84"/>
      <c r="P196" s="83"/>
    </row>
    <row r="197" spans="1:16">
      <c r="A197" s="82"/>
      <c r="B197" s="83"/>
      <c r="C197" s="83"/>
      <c r="D197" s="84"/>
      <c r="E197" s="84"/>
      <c r="F197" s="84"/>
      <c r="G197" s="84"/>
      <c r="H197" s="84"/>
      <c r="I197" s="84"/>
      <c r="J197" s="84"/>
      <c r="K197" s="84"/>
      <c r="L197" s="84"/>
      <c r="M197" s="84"/>
      <c r="N197" s="84"/>
      <c r="O197" s="84"/>
      <c r="P197" s="83"/>
    </row>
    <row r="198" spans="1:16">
      <c r="A198" s="82"/>
      <c r="B198" s="83"/>
      <c r="C198" s="83"/>
      <c r="D198" s="84"/>
      <c r="E198" s="84"/>
      <c r="F198" s="84"/>
      <c r="G198" s="84"/>
      <c r="H198" s="84"/>
      <c r="I198" s="84"/>
      <c r="J198" s="84"/>
      <c r="K198" s="84"/>
      <c r="L198" s="84"/>
      <c r="M198" s="84"/>
      <c r="N198" s="84"/>
      <c r="O198" s="84"/>
      <c r="P198" s="83"/>
    </row>
    <row r="199" spans="1:16">
      <c r="A199" s="82"/>
      <c r="B199" s="83"/>
      <c r="C199" s="83"/>
      <c r="D199" s="84"/>
      <c r="E199" s="84"/>
      <c r="F199" s="84"/>
      <c r="G199" s="84"/>
      <c r="H199" s="84"/>
      <c r="I199" s="84"/>
      <c r="J199" s="84"/>
      <c r="K199" s="84"/>
      <c r="L199" s="84"/>
      <c r="M199" s="84"/>
      <c r="N199" s="84"/>
      <c r="O199" s="84"/>
      <c r="P199" s="83"/>
    </row>
    <row r="200" spans="1:16">
      <c r="A200" s="82"/>
      <c r="B200" s="83"/>
      <c r="C200" s="83"/>
      <c r="D200" s="84"/>
      <c r="E200" s="84"/>
      <c r="F200" s="84"/>
      <c r="G200" s="84"/>
      <c r="H200" s="84"/>
      <c r="I200" s="84"/>
      <c r="J200" s="84"/>
      <c r="K200" s="84"/>
      <c r="L200" s="84"/>
      <c r="M200" s="84"/>
      <c r="N200" s="84"/>
      <c r="O200" s="84"/>
      <c r="P200" s="83"/>
    </row>
    <row r="201" spans="1:16">
      <c r="A201" s="82"/>
      <c r="B201" s="83"/>
      <c r="C201" s="83"/>
      <c r="D201" s="84"/>
      <c r="E201" s="84"/>
      <c r="F201" s="84"/>
      <c r="G201" s="84"/>
      <c r="H201" s="84"/>
      <c r="I201" s="84"/>
      <c r="J201" s="84"/>
      <c r="K201" s="84"/>
      <c r="L201" s="84"/>
      <c r="M201" s="84"/>
      <c r="N201" s="84"/>
      <c r="O201" s="84"/>
      <c r="P201" s="83"/>
    </row>
    <row r="202" spans="1:16">
      <c r="A202" s="82"/>
      <c r="B202" s="83"/>
      <c r="C202" s="83"/>
      <c r="D202" s="84"/>
      <c r="E202" s="84"/>
      <c r="F202" s="84"/>
      <c r="G202" s="84"/>
      <c r="H202" s="84"/>
      <c r="I202" s="84"/>
      <c r="J202" s="84"/>
      <c r="K202" s="84"/>
      <c r="L202" s="84"/>
      <c r="M202" s="84"/>
      <c r="N202" s="84"/>
      <c r="O202" s="84"/>
      <c r="P202" s="83"/>
    </row>
    <row r="203" spans="1:16">
      <c r="A203" s="82"/>
      <c r="B203" s="83"/>
      <c r="C203" s="83"/>
      <c r="D203" s="84"/>
      <c r="E203" s="84"/>
      <c r="F203" s="84"/>
      <c r="G203" s="84"/>
      <c r="H203" s="84"/>
      <c r="I203" s="84"/>
      <c r="J203" s="84"/>
      <c r="K203" s="84"/>
      <c r="L203" s="84"/>
      <c r="M203" s="84"/>
      <c r="N203" s="84"/>
      <c r="O203" s="84"/>
      <c r="P203" s="83"/>
    </row>
    <row r="204" spans="1:16">
      <c r="A204" s="82"/>
      <c r="B204" s="83"/>
      <c r="C204" s="83"/>
      <c r="D204" s="84"/>
      <c r="E204" s="84"/>
      <c r="F204" s="84"/>
      <c r="G204" s="84"/>
      <c r="H204" s="84"/>
      <c r="I204" s="84"/>
      <c r="J204" s="84"/>
      <c r="K204" s="84"/>
      <c r="L204" s="84"/>
      <c r="M204" s="84"/>
      <c r="N204" s="84"/>
      <c r="O204" s="84"/>
      <c r="P204" s="83"/>
    </row>
    <row r="205" spans="1:16">
      <c r="A205" s="82"/>
      <c r="B205" s="83"/>
      <c r="C205" s="83"/>
      <c r="D205" s="84"/>
      <c r="E205" s="84"/>
      <c r="F205" s="84"/>
      <c r="G205" s="84"/>
      <c r="H205" s="84"/>
      <c r="I205" s="84"/>
      <c r="J205" s="84"/>
      <c r="K205" s="84"/>
      <c r="L205" s="84"/>
      <c r="M205" s="84"/>
      <c r="N205" s="84"/>
      <c r="O205" s="84"/>
      <c r="P205" s="83"/>
    </row>
    <row r="206" spans="1:16">
      <c r="A206" s="82"/>
      <c r="B206" s="83"/>
      <c r="C206" s="83"/>
      <c r="D206" s="84"/>
      <c r="E206" s="84"/>
      <c r="F206" s="84"/>
      <c r="G206" s="84"/>
      <c r="H206" s="84"/>
      <c r="I206" s="84"/>
      <c r="J206" s="84"/>
      <c r="K206" s="84"/>
      <c r="L206" s="84"/>
      <c r="M206" s="84"/>
      <c r="N206" s="84"/>
      <c r="O206" s="84"/>
      <c r="P206" s="83"/>
    </row>
    <row r="207" spans="1:16">
      <c r="A207" s="82"/>
      <c r="B207" s="83"/>
      <c r="C207" s="83"/>
      <c r="D207" s="84"/>
      <c r="E207" s="84"/>
      <c r="F207" s="84"/>
      <c r="G207" s="84"/>
      <c r="H207" s="84"/>
      <c r="I207" s="84"/>
      <c r="J207" s="84"/>
      <c r="K207" s="84"/>
      <c r="L207" s="84"/>
      <c r="M207" s="84"/>
      <c r="N207" s="84"/>
      <c r="O207" s="84"/>
      <c r="P207" s="83"/>
    </row>
    <row r="208" spans="1:16">
      <c r="A208" s="82"/>
      <c r="B208" s="83"/>
      <c r="C208" s="83"/>
      <c r="D208" s="84"/>
      <c r="E208" s="84"/>
      <c r="F208" s="84"/>
      <c r="G208" s="84"/>
      <c r="H208" s="84"/>
      <c r="I208" s="84"/>
      <c r="J208" s="84"/>
      <c r="K208" s="84"/>
      <c r="L208" s="84"/>
      <c r="M208" s="84"/>
      <c r="N208" s="84"/>
      <c r="O208" s="84"/>
      <c r="P208" s="83"/>
    </row>
    <row r="209" spans="1:16">
      <c r="A209" s="82"/>
      <c r="B209" s="83"/>
      <c r="C209" s="83"/>
      <c r="D209" s="84"/>
      <c r="E209" s="84"/>
      <c r="F209" s="84"/>
      <c r="G209" s="84"/>
      <c r="H209" s="84"/>
      <c r="I209" s="84"/>
      <c r="J209" s="84"/>
      <c r="K209" s="84"/>
      <c r="L209" s="84"/>
      <c r="M209" s="84"/>
      <c r="N209" s="84"/>
      <c r="O209" s="84"/>
      <c r="P209" s="83"/>
    </row>
    <row r="210" spans="1:16">
      <c r="A210" s="82"/>
      <c r="B210" s="83"/>
      <c r="C210" s="83"/>
      <c r="D210" s="84"/>
      <c r="E210" s="84"/>
      <c r="F210" s="84"/>
      <c r="G210" s="84"/>
      <c r="H210" s="84"/>
      <c r="I210" s="84"/>
      <c r="J210" s="84"/>
      <c r="K210" s="84"/>
      <c r="L210" s="84"/>
      <c r="M210" s="84"/>
      <c r="N210" s="84"/>
      <c r="O210" s="84"/>
      <c r="P210" s="83"/>
    </row>
    <row r="211" spans="1:16">
      <c r="A211" s="82"/>
      <c r="B211" s="83"/>
      <c r="C211" s="83"/>
      <c r="D211" s="84"/>
      <c r="E211" s="84"/>
      <c r="F211" s="84"/>
      <c r="G211" s="84"/>
      <c r="H211" s="84"/>
      <c r="I211" s="84"/>
      <c r="J211" s="84"/>
      <c r="K211" s="84"/>
      <c r="L211" s="84"/>
      <c r="M211" s="84"/>
      <c r="N211" s="84"/>
      <c r="O211" s="84"/>
      <c r="P211" s="83"/>
    </row>
    <row r="212" spans="1:16">
      <c r="A212" s="82"/>
      <c r="B212" s="83"/>
      <c r="C212" s="83"/>
      <c r="D212" s="84"/>
      <c r="E212" s="84"/>
      <c r="F212" s="84"/>
      <c r="G212" s="84"/>
      <c r="H212" s="84"/>
      <c r="I212" s="84"/>
      <c r="J212" s="84"/>
      <c r="K212" s="84"/>
      <c r="L212" s="84"/>
      <c r="M212" s="84"/>
      <c r="N212" s="84"/>
      <c r="O212" s="84"/>
      <c r="P212" s="83"/>
    </row>
    <row r="213" spans="1:16">
      <c r="A213" s="82"/>
      <c r="B213" s="83"/>
      <c r="C213" s="83"/>
      <c r="D213" s="84"/>
      <c r="E213" s="84"/>
      <c r="F213" s="84"/>
      <c r="G213" s="84"/>
      <c r="H213" s="84"/>
      <c r="I213" s="84"/>
      <c r="J213" s="84"/>
      <c r="K213" s="84"/>
      <c r="L213" s="84"/>
      <c r="M213" s="84"/>
      <c r="N213" s="84"/>
      <c r="O213" s="84"/>
      <c r="P213" s="83"/>
    </row>
    <row r="214" spans="1:16">
      <c r="A214" s="82"/>
      <c r="B214" s="83"/>
      <c r="C214" s="83"/>
      <c r="D214" s="84"/>
      <c r="E214" s="84"/>
      <c r="F214" s="84"/>
      <c r="G214" s="84"/>
      <c r="H214" s="84"/>
      <c r="I214" s="84"/>
      <c r="J214" s="84"/>
      <c r="K214" s="84"/>
      <c r="L214" s="84"/>
      <c r="M214" s="84"/>
      <c r="N214" s="84"/>
      <c r="O214" s="84"/>
      <c r="P214" s="83"/>
    </row>
    <row r="215" spans="1:16">
      <c r="A215" s="82"/>
      <c r="B215" s="83"/>
      <c r="C215" s="83"/>
      <c r="D215" s="84"/>
      <c r="E215" s="84"/>
      <c r="F215" s="84"/>
      <c r="G215" s="84"/>
      <c r="H215" s="84"/>
      <c r="I215" s="84"/>
      <c r="J215" s="84"/>
      <c r="K215" s="84"/>
      <c r="L215" s="84"/>
      <c r="M215" s="84"/>
      <c r="N215" s="84"/>
      <c r="O215" s="84"/>
      <c r="P215" s="83"/>
    </row>
    <row r="216" spans="1:16">
      <c r="A216" s="82"/>
      <c r="B216" s="83"/>
      <c r="C216" s="83"/>
      <c r="D216" s="84"/>
      <c r="E216" s="84"/>
      <c r="F216" s="84"/>
      <c r="G216" s="84"/>
      <c r="H216" s="84"/>
      <c r="I216" s="84"/>
      <c r="J216" s="84"/>
      <c r="K216" s="84"/>
      <c r="L216" s="84"/>
      <c r="M216" s="84"/>
      <c r="N216" s="84"/>
      <c r="O216" s="84"/>
      <c r="P216" s="83"/>
    </row>
    <row r="217" spans="1:16">
      <c r="A217" s="82"/>
      <c r="B217" s="83"/>
      <c r="C217" s="83"/>
      <c r="D217" s="84"/>
      <c r="E217" s="84"/>
      <c r="F217" s="84"/>
      <c r="G217" s="84"/>
      <c r="H217" s="84"/>
      <c r="I217" s="84"/>
      <c r="J217" s="84"/>
      <c r="K217" s="84"/>
      <c r="L217" s="84"/>
      <c r="M217" s="84"/>
      <c r="N217" s="84"/>
      <c r="O217" s="84"/>
      <c r="P217" s="83"/>
    </row>
    <row r="218" spans="1:16">
      <c r="A218" s="82"/>
      <c r="B218" s="83"/>
      <c r="C218" s="83"/>
      <c r="D218" s="84"/>
      <c r="E218" s="84"/>
      <c r="F218" s="84"/>
      <c r="G218" s="84"/>
      <c r="H218" s="84"/>
      <c r="I218" s="84"/>
      <c r="J218" s="84"/>
      <c r="K218" s="84"/>
      <c r="L218" s="84"/>
      <c r="M218" s="84"/>
      <c r="N218" s="84"/>
      <c r="O218" s="84"/>
      <c r="P218" s="83"/>
    </row>
    <row r="219" spans="1:16">
      <c r="A219" s="82"/>
      <c r="B219" s="83"/>
      <c r="C219" s="83"/>
      <c r="D219" s="84"/>
      <c r="E219" s="84"/>
      <c r="F219" s="84"/>
      <c r="G219" s="84"/>
      <c r="H219" s="84"/>
      <c r="I219" s="84"/>
      <c r="J219" s="84"/>
      <c r="K219" s="84"/>
      <c r="L219" s="84"/>
      <c r="M219" s="84"/>
      <c r="N219" s="84"/>
      <c r="O219" s="84"/>
      <c r="P219" s="83"/>
    </row>
    <row r="220" spans="1:16">
      <c r="A220" s="82"/>
      <c r="B220" s="83"/>
      <c r="C220" s="83"/>
      <c r="D220" s="84"/>
      <c r="E220" s="84"/>
      <c r="F220" s="84"/>
      <c r="G220" s="84"/>
      <c r="H220" s="84"/>
      <c r="I220" s="84"/>
      <c r="J220" s="84"/>
      <c r="K220" s="84"/>
      <c r="L220" s="84"/>
      <c r="M220" s="84"/>
      <c r="N220" s="84"/>
      <c r="O220" s="84"/>
      <c r="P220" s="83"/>
    </row>
    <row r="221" spans="1:16">
      <c r="A221" s="82"/>
      <c r="B221" s="83"/>
      <c r="C221" s="83"/>
      <c r="D221" s="84"/>
      <c r="E221" s="84"/>
      <c r="F221" s="84"/>
      <c r="G221" s="84"/>
      <c r="H221" s="84"/>
      <c r="I221" s="84"/>
      <c r="J221" s="84"/>
      <c r="K221" s="84"/>
      <c r="L221" s="84"/>
      <c r="M221" s="84"/>
      <c r="N221" s="84"/>
      <c r="O221" s="84"/>
      <c r="P221" s="83"/>
    </row>
    <row r="222" spans="1:16">
      <c r="A222" s="82"/>
      <c r="B222" s="83"/>
      <c r="C222" s="83"/>
      <c r="D222" s="84"/>
      <c r="E222" s="84"/>
      <c r="F222" s="84"/>
      <c r="G222" s="84"/>
      <c r="H222" s="84"/>
      <c r="I222" s="84"/>
      <c r="J222" s="84"/>
      <c r="K222" s="84"/>
      <c r="L222" s="84"/>
      <c r="M222" s="84"/>
      <c r="N222" s="84"/>
      <c r="O222" s="84"/>
      <c r="P222" s="83"/>
    </row>
    <row r="223" spans="1:16">
      <c r="A223" s="82"/>
      <c r="B223" s="83"/>
      <c r="C223" s="83"/>
      <c r="D223" s="84"/>
      <c r="E223" s="84"/>
      <c r="F223" s="84"/>
      <c r="G223" s="84"/>
      <c r="H223" s="84"/>
      <c r="I223" s="84"/>
      <c r="J223" s="84"/>
      <c r="K223" s="84"/>
      <c r="L223" s="84"/>
      <c r="M223" s="84"/>
      <c r="N223" s="84"/>
      <c r="O223" s="84"/>
      <c r="P223" s="83"/>
    </row>
    <row r="224" spans="1:16">
      <c r="A224" s="82"/>
      <c r="B224" s="83"/>
      <c r="C224" s="83"/>
      <c r="D224" s="84"/>
      <c r="E224" s="84"/>
      <c r="F224" s="84"/>
      <c r="G224" s="84"/>
      <c r="H224" s="84"/>
      <c r="I224" s="84"/>
      <c r="J224" s="84"/>
      <c r="K224" s="84"/>
      <c r="L224" s="84"/>
      <c r="M224" s="84"/>
      <c r="N224" s="84"/>
      <c r="O224" s="84"/>
      <c r="P224" s="83"/>
    </row>
    <row r="225" spans="1:16">
      <c r="A225" s="82"/>
      <c r="B225" s="83"/>
      <c r="C225" s="83"/>
      <c r="D225" s="84"/>
      <c r="E225" s="84"/>
      <c r="F225" s="84"/>
      <c r="G225" s="84"/>
      <c r="H225" s="84"/>
      <c r="I225" s="84"/>
      <c r="J225" s="84"/>
      <c r="K225" s="84"/>
      <c r="L225" s="84"/>
      <c r="M225" s="84"/>
      <c r="N225" s="84"/>
      <c r="O225" s="84"/>
      <c r="P225" s="83"/>
    </row>
    <row r="226" spans="1:16">
      <c r="A226" s="82"/>
      <c r="B226" s="83"/>
      <c r="C226" s="83"/>
      <c r="D226" s="84"/>
      <c r="E226" s="84"/>
      <c r="F226" s="84"/>
      <c r="G226" s="84"/>
      <c r="H226" s="84"/>
      <c r="I226" s="84"/>
      <c r="J226" s="84"/>
      <c r="K226" s="84"/>
      <c r="L226" s="84"/>
      <c r="M226" s="84"/>
      <c r="N226" s="84"/>
      <c r="O226" s="84"/>
      <c r="P226" s="83"/>
    </row>
    <row r="227" spans="1:16">
      <c r="A227" s="82"/>
      <c r="B227" s="83"/>
      <c r="C227" s="83"/>
      <c r="D227" s="84"/>
      <c r="E227" s="84"/>
      <c r="F227" s="84"/>
      <c r="G227" s="84"/>
      <c r="H227" s="84"/>
      <c r="I227" s="84"/>
      <c r="J227" s="84"/>
      <c r="K227" s="84"/>
      <c r="L227" s="84"/>
      <c r="M227" s="84"/>
      <c r="N227" s="84"/>
      <c r="O227" s="84"/>
      <c r="P227" s="83"/>
    </row>
    <row r="228" spans="1:16">
      <c r="A228" s="82"/>
      <c r="B228" s="83"/>
      <c r="C228" s="83"/>
      <c r="D228" s="84"/>
      <c r="E228" s="84"/>
      <c r="F228" s="84"/>
      <c r="G228" s="84"/>
      <c r="H228" s="84"/>
      <c r="I228" s="84"/>
      <c r="J228" s="84"/>
      <c r="K228" s="84"/>
      <c r="L228" s="84"/>
      <c r="M228" s="84"/>
      <c r="N228" s="84"/>
      <c r="O228" s="84"/>
      <c r="P228" s="83"/>
    </row>
    <row r="229" spans="1:16">
      <c r="A229" s="82"/>
      <c r="B229" s="83"/>
      <c r="C229" s="83"/>
      <c r="D229" s="84"/>
      <c r="E229" s="84"/>
      <c r="F229" s="84"/>
      <c r="G229" s="84"/>
      <c r="H229" s="84"/>
      <c r="I229" s="84"/>
      <c r="J229" s="84"/>
      <c r="K229" s="84"/>
      <c r="L229" s="84"/>
      <c r="M229" s="84"/>
      <c r="N229" s="84"/>
      <c r="O229" s="84"/>
      <c r="P229" s="83"/>
    </row>
    <row r="230" spans="1:16">
      <c r="A230" s="82"/>
      <c r="B230" s="83"/>
      <c r="C230" s="83"/>
      <c r="D230" s="84"/>
      <c r="E230" s="84"/>
      <c r="F230" s="84"/>
      <c r="G230" s="84"/>
      <c r="H230" s="84"/>
      <c r="I230" s="84"/>
      <c r="J230" s="84"/>
      <c r="K230" s="84"/>
      <c r="L230" s="84"/>
      <c r="M230" s="84"/>
      <c r="N230" s="84"/>
      <c r="O230" s="84"/>
      <c r="P230" s="83"/>
    </row>
    <row r="231" spans="1:16">
      <c r="A231" s="82"/>
      <c r="B231" s="83"/>
      <c r="C231" s="83"/>
      <c r="D231" s="84"/>
      <c r="E231" s="84"/>
      <c r="F231" s="84"/>
      <c r="G231" s="84"/>
      <c r="H231" s="84"/>
      <c r="I231" s="84"/>
      <c r="J231" s="84"/>
      <c r="K231" s="84"/>
      <c r="L231" s="84"/>
      <c r="M231" s="84"/>
      <c r="N231" s="84"/>
      <c r="O231" s="84"/>
      <c r="P231" s="83"/>
    </row>
    <row r="232" spans="1:16">
      <c r="A232" s="82"/>
      <c r="B232" s="83"/>
      <c r="C232" s="83"/>
      <c r="D232" s="84"/>
      <c r="E232" s="84"/>
      <c r="F232" s="84"/>
      <c r="G232" s="84"/>
      <c r="H232" s="84"/>
      <c r="I232" s="84"/>
      <c r="J232" s="84"/>
      <c r="K232" s="84"/>
      <c r="L232" s="84"/>
      <c r="M232" s="84"/>
      <c r="N232" s="84"/>
      <c r="O232" s="84"/>
      <c r="P232" s="83"/>
    </row>
    <row r="233" spans="1:16">
      <c r="A233" s="82"/>
      <c r="B233" s="83"/>
      <c r="C233" s="83"/>
      <c r="D233" s="84"/>
      <c r="E233" s="84"/>
      <c r="F233" s="84"/>
      <c r="G233" s="84"/>
      <c r="H233" s="84"/>
      <c r="I233" s="84"/>
      <c r="J233" s="84"/>
      <c r="K233" s="84"/>
      <c r="L233" s="84"/>
      <c r="M233" s="84"/>
      <c r="N233" s="84"/>
      <c r="O233" s="84"/>
      <c r="P233" s="83"/>
    </row>
    <row r="234" spans="1:16">
      <c r="A234" s="82"/>
      <c r="B234" s="83"/>
      <c r="C234" s="83"/>
      <c r="D234" s="84"/>
      <c r="E234" s="84"/>
      <c r="F234" s="84"/>
      <c r="G234" s="84"/>
      <c r="H234" s="84"/>
      <c r="I234" s="84"/>
      <c r="J234" s="84"/>
      <c r="K234" s="84"/>
      <c r="L234" s="84"/>
      <c r="M234" s="84"/>
      <c r="N234" s="84"/>
      <c r="O234" s="84"/>
      <c r="P234" s="83"/>
    </row>
    <row r="235" spans="1:16">
      <c r="A235" s="82"/>
      <c r="B235" s="83"/>
      <c r="C235" s="83"/>
      <c r="D235" s="84"/>
      <c r="E235" s="84"/>
      <c r="F235" s="84"/>
      <c r="G235" s="84"/>
      <c r="H235" s="84"/>
      <c r="I235" s="84"/>
      <c r="J235" s="84"/>
      <c r="K235" s="84"/>
      <c r="L235" s="84"/>
      <c r="M235" s="84"/>
      <c r="N235" s="84"/>
      <c r="O235" s="84"/>
      <c r="P235" s="83"/>
    </row>
    <row r="236" spans="1:16">
      <c r="A236" s="82"/>
      <c r="B236" s="83"/>
      <c r="C236" s="83"/>
      <c r="D236" s="84"/>
      <c r="E236" s="84"/>
      <c r="F236" s="84"/>
      <c r="G236" s="84"/>
      <c r="H236" s="84"/>
      <c r="I236" s="84"/>
      <c r="J236" s="84"/>
      <c r="K236" s="84"/>
      <c r="L236" s="84"/>
      <c r="M236" s="84"/>
      <c r="N236" s="84"/>
      <c r="O236" s="84"/>
      <c r="P236" s="83"/>
    </row>
    <row r="237" spans="1:16">
      <c r="A237" s="82"/>
      <c r="B237" s="83"/>
      <c r="C237" s="83"/>
      <c r="D237" s="84"/>
      <c r="E237" s="84"/>
      <c r="F237" s="84"/>
      <c r="G237" s="84"/>
      <c r="H237" s="84"/>
      <c r="I237" s="84"/>
      <c r="J237" s="84"/>
      <c r="K237" s="84"/>
      <c r="L237" s="84"/>
      <c r="M237" s="84"/>
      <c r="N237" s="84"/>
      <c r="O237" s="84"/>
      <c r="P237" s="83"/>
    </row>
    <row r="238" spans="1:16">
      <c r="A238" s="82"/>
      <c r="B238" s="83"/>
      <c r="C238" s="83"/>
      <c r="D238" s="84"/>
      <c r="E238" s="84"/>
      <c r="F238" s="84"/>
      <c r="G238" s="84"/>
      <c r="H238" s="84"/>
      <c r="I238" s="84"/>
      <c r="J238" s="84"/>
      <c r="K238" s="84"/>
      <c r="L238" s="84"/>
      <c r="M238" s="84"/>
      <c r="N238" s="84"/>
      <c r="O238" s="84"/>
      <c r="P238" s="83"/>
    </row>
    <row r="239" spans="1:16">
      <c r="A239" s="82"/>
      <c r="B239" s="83"/>
      <c r="C239" s="83"/>
      <c r="D239" s="84"/>
      <c r="E239" s="84"/>
      <c r="F239" s="84"/>
      <c r="G239" s="84"/>
      <c r="H239" s="84"/>
      <c r="I239" s="84"/>
      <c r="J239" s="84"/>
      <c r="K239" s="84"/>
      <c r="L239" s="84"/>
      <c r="M239" s="84"/>
      <c r="N239" s="84"/>
      <c r="O239" s="84"/>
      <c r="P239" s="83"/>
    </row>
    <row r="240" spans="1:16">
      <c r="A240" s="82"/>
      <c r="B240" s="83"/>
      <c r="C240" s="83"/>
      <c r="D240" s="84"/>
      <c r="E240" s="84"/>
      <c r="F240" s="84"/>
      <c r="G240" s="84"/>
      <c r="H240" s="84"/>
      <c r="I240" s="84"/>
      <c r="J240" s="84"/>
      <c r="K240" s="84"/>
      <c r="L240" s="84"/>
      <c r="M240" s="84"/>
      <c r="N240" s="84"/>
      <c r="O240" s="84"/>
      <c r="P240" s="83"/>
    </row>
    <row r="241" spans="1:16">
      <c r="A241" s="82"/>
      <c r="B241" s="83"/>
      <c r="C241" s="83"/>
      <c r="D241" s="84"/>
      <c r="E241" s="84"/>
      <c r="F241" s="84"/>
      <c r="G241" s="84"/>
      <c r="H241" s="84"/>
      <c r="I241" s="84"/>
      <c r="J241" s="84"/>
      <c r="K241" s="84"/>
      <c r="L241" s="84"/>
      <c r="M241" s="84"/>
      <c r="N241" s="84"/>
      <c r="O241" s="84"/>
      <c r="P241" s="83"/>
    </row>
    <row r="242" spans="1:16">
      <c r="A242" s="82"/>
      <c r="B242" s="83"/>
      <c r="C242" s="83"/>
      <c r="D242" s="84"/>
      <c r="E242" s="84"/>
      <c r="F242" s="84"/>
      <c r="G242" s="84"/>
      <c r="H242" s="84"/>
      <c r="I242" s="84"/>
      <c r="J242" s="84"/>
      <c r="K242" s="84"/>
      <c r="L242" s="84"/>
      <c r="M242" s="84"/>
      <c r="N242" s="84"/>
      <c r="O242" s="84"/>
      <c r="P242" s="83"/>
    </row>
    <row r="243" spans="1:16">
      <c r="A243" s="82"/>
      <c r="B243" s="83"/>
      <c r="C243" s="83"/>
      <c r="D243" s="84"/>
      <c r="E243" s="84"/>
      <c r="F243" s="84"/>
      <c r="G243" s="84"/>
      <c r="H243" s="84"/>
      <c r="I243" s="84"/>
      <c r="J243" s="84"/>
      <c r="K243" s="84"/>
      <c r="L243" s="84"/>
      <c r="M243" s="84"/>
      <c r="N243" s="84"/>
      <c r="O243" s="84"/>
      <c r="P243" s="83"/>
    </row>
    <row r="244" spans="1:16">
      <c r="A244" s="82"/>
      <c r="B244" s="83"/>
      <c r="C244" s="83"/>
      <c r="D244" s="84"/>
      <c r="E244" s="84"/>
      <c r="F244" s="84"/>
      <c r="G244" s="84"/>
      <c r="H244" s="84"/>
      <c r="I244" s="84"/>
      <c r="J244" s="84"/>
      <c r="K244" s="84"/>
      <c r="L244" s="84"/>
      <c r="M244" s="84"/>
      <c r="N244" s="84"/>
      <c r="O244" s="84"/>
      <c r="P244" s="83"/>
    </row>
    <row r="245" spans="1:16">
      <c r="A245" s="82"/>
      <c r="B245" s="83"/>
      <c r="C245" s="83"/>
      <c r="D245" s="84"/>
      <c r="E245" s="84"/>
      <c r="F245" s="84"/>
      <c r="G245" s="84"/>
      <c r="H245" s="84"/>
      <c r="I245" s="84"/>
      <c r="J245" s="84"/>
      <c r="K245" s="84"/>
      <c r="L245" s="84"/>
      <c r="M245" s="84"/>
      <c r="N245" s="84"/>
      <c r="O245" s="84"/>
      <c r="P245" s="83"/>
    </row>
    <row r="246" spans="1:16">
      <c r="A246" s="82"/>
      <c r="B246" s="83"/>
      <c r="C246" s="83"/>
      <c r="D246" s="84"/>
      <c r="E246" s="84"/>
      <c r="F246" s="84"/>
      <c r="G246" s="84"/>
      <c r="H246" s="84"/>
      <c r="I246" s="84"/>
      <c r="J246" s="84"/>
      <c r="K246" s="84"/>
      <c r="L246" s="84"/>
      <c r="M246" s="84"/>
      <c r="N246" s="84"/>
      <c r="O246" s="84"/>
      <c r="P246" s="83"/>
    </row>
    <row r="247" spans="1:16">
      <c r="A247" s="82"/>
      <c r="B247" s="83"/>
      <c r="C247" s="83"/>
      <c r="D247" s="84"/>
      <c r="E247" s="84"/>
      <c r="F247" s="84"/>
      <c r="G247" s="84"/>
      <c r="H247" s="84"/>
      <c r="I247" s="84"/>
      <c r="J247" s="84"/>
      <c r="K247" s="84"/>
      <c r="L247" s="84"/>
      <c r="M247" s="84"/>
      <c r="N247" s="84"/>
      <c r="O247" s="84"/>
      <c r="P247" s="83"/>
    </row>
    <row r="248" spans="1:16">
      <c r="A248" s="82"/>
      <c r="B248" s="83"/>
      <c r="C248" s="83"/>
      <c r="D248" s="84"/>
      <c r="E248" s="84"/>
      <c r="F248" s="84"/>
      <c r="G248" s="84"/>
      <c r="H248" s="84"/>
      <c r="I248" s="84"/>
      <c r="J248" s="84"/>
      <c r="K248" s="84"/>
      <c r="L248" s="84"/>
      <c r="M248" s="84"/>
      <c r="N248" s="84"/>
      <c r="O248" s="84"/>
      <c r="P248" s="83"/>
    </row>
    <row r="249" spans="1:16">
      <c r="A249" s="82"/>
      <c r="B249" s="83"/>
      <c r="C249" s="83"/>
      <c r="D249" s="84"/>
      <c r="E249" s="84"/>
      <c r="F249" s="84"/>
      <c r="G249" s="84"/>
      <c r="H249" s="84"/>
      <c r="I249" s="84"/>
      <c r="J249" s="84"/>
      <c r="K249" s="84"/>
      <c r="L249" s="84"/>
      <c r="M249" s="84"/>
      <c r="N249" s="84"/>
      <c r="O249" s="84"/>
      <c r="P249" s="83"/>
    </row>
    <row r="250" spans="1:16">
      <c r="A250" s="82"/>
      <c r="B250" s="83"/>
      <c r="C250" s="83"/>
      <c r="D250" s="84"/>
      <c r="E250" s="84"/>
      <c r="F250" s="84"/>
      <c r="G250" s="84"/>
      <c r="H250" s="84"/>
      <c r="I250" s="84"/>
      <c r="J250" s="84"/>
      <c r="K250" s="84"/>
      <c r="L250" s="84"/>
      <c r="M250" s="84"/>
      <c r="N250" s="84"/>
      <c r="O250" s="84"/>
      <c r="P250" s="83"/>
    </row>
    <row r="251" spans="1:16">
      <c r="A251" s="82"/>
      <c r="B251" s="83"/>
      <c r="C251" s="83"/>
      <c r="D251" s="84"/>
      <c r="E251" s="84"/>
      <c r="F251" s="84"/>
      <c r="G251" s="84"/>
      <c r="H251" s="84"/>
      <c r="I251" s="84"/>
      <c r="J251" s="84"/>
      <c r="K251" s="84"/>
      <c r="L251" s="84"/>
      <c r="M251" s="84"/>
      <c r="N251" s="84"/>
      <c r="O251" s="84"/>
      <c r="P251" s="83"/>
    </row>
    <row r="252" spans="1:16">
      <c r="A252" s="82"/>
      <c r="B252" s="83"/>
      <c r="C252" s="83"/>
      <c r="D252" s="84"/>
      <c r="E252" s="84"/>
      <c r="F252" s="84"/>
      <c r="G252" s="84"/>
      <c r="H252" s="84"/>
      <c r="I252" s="84"/>
      <c r="J252" s="84"/>
      <c r="K252" s="84"/>
      <c r="L252" s="84"/>
      <c r="M252" s="84"/>
      <c r="N252" s="84"/>
      <c r="O252" s="84"/>
      <c r="P252" s="83"/>
    </row>
    <row r="253" spans="1:16">
      <c r="A253" s="82"/>
      <c r="B253" s="83"/>
      <c r="C253" s="83"/>
      <c r="D253" s="84"/>
      <c r="E253" s="84"/>
      <c r="F253" s="84"/>
      <c r="G253" s="84"/>
      <c r="H253" s="84"/>
      <c r="I253" s="84"/>
      <c r="J253" s="84"/>
      <c r="K253" s="84"/>
      <c r="L253" s="84"/>
      <c r="M253" s="84"/>
      <c r="N253" s="84"/>
      <c r="O253" s="84"/>
      <c r="P253" s="83"/>
    </row>
    <row r="254" spans="1:16">
      <c r="A254" s="82"/>
      <c r="B254" s="83"/>
      <c r="C254" s="83"/>
      <c r="D254" s="84"/>
      <c r="E254" s="84"/>
      <c r="F254" s="84"/>
      <c r="G254" s="84"/>
      <c r="H254" s="84"/>
      <c r="I254" s="84"/>
      <c r="J254" s="84"/>
      <c r="K254" s="84"/>
      <c r="L254" s="84"/>
      <c r="M254" s="84"/>
      <c r="N254" s="84"/>
      <c r="O254" s="84"/>
      <c r="P254" s="83"/>
    </row>
    <row r="255" spans="1:16">
      <c r="A255" s="82"/>
      <c r="B255" s="83"/>
      <c r="C255" s="83"/>
      <c r="D255" s="84"/>
      <c r="E255" s="84"/>
      <c r="F255" s="84"/>
      <c r="G255" s="84"/>
      <c r="H255" s="84"/>
      <c r="I255" s="84"/>
      <c r="J255" s="84"/>
      <c r="K255" s="84"/>
      <c r="L255" s="84"/>
      <c r="M255" s="84"/>
      <c r="N255" s="84"/>
      <c r="O255" s="84"/>
      <c r="P255" s="83"/>
    </row>
    <row r="256" spans="1:16">
      <c r="A256" s="82"/>
      <c r="B256" s="83"/>
      <c r="C256" s="83"/>
      <c r="D256" s="84"/>
      <c r="E256" s="84"/>
      <c r="F256" s="84"/>
      <c r="G256" s="84"/>
      <c r="H256" s="84"/>
      <c r="I256" s="84"/>
      <c r="J256" s="84"/>
      <c r="K256" s="84"/>
      <c r="L256" s="84"/>
      <c r="M256" s="84"/>
      <c r="N256" s="84"/>
      <c r="O256" s="84"/>
      <c r="P256" s="83"/>
    </row>
    <row r="257" spans="1:16">
      <c r="A257" s="82"/>
      <c r="B257" s="83"/>
      <c r="C257" s="83"/>
      <c r="D257" s="84"/>
      <c r="E257" s="84"/>
      <c r="F257" s="84"/>
      <c r="G257" s="84"/>
      <c r="H257" s="84"/>
      <c r="I257" s="84"/>
      <c r="J257" s="84"/>
      <c r="K257" s="84"/>
      <c r="L257" s="84"/>
      <c r="M257" s="84"/>
      <c r="N257" s="84"/>
      <c r="O257" s="84"/>
      <c r="P257" s="83"/>
    </row>
    <row r="258" spans="1:16">
      <c r="A258" s="82"/>
      <c r="B258" s="83"/>
      <c r="C258" s="83"/>
      <c r="D258" s="84"/>
      <c r="E258" s="84"/>
      <c r="F258" s="84"/>
      <c r="G258" s="84"/>
      <c r="H258" s="84"/>
      <c r="I258" s="84"/>
      <c r="J258" s="84"/>
      <c r="K258" s="84"/>
      <c r="L258" s="84"/>
      <c r="M258" s="84"/>
      <c r="N258" s="84"/>
      <c r="O258" s="84"/>
      <c r="P258" s="83"/>
    </row>
    <row r="259" spans="1:16">
      <c r="A259" s="82"/>
      <c r="B259" s="83"/>
      <c r="C259" s="83"/>
      <c r="D259" s="84"/>
      <c r="E259" s="84"/>
      <c r="F259" s="84"/>
      <c r="G259" s="84"/>
      <c r="H259" s="84"/>
      <c r="I259" s="84"/>
      <c r="J259" s="84"/>
      <c r="K259" s="84"/>
      <c r="L259" s="84"/>
      <c r="M259" s="84"/>
      <c r="N259" s="84"/>
      <c r="O259" s="84"/>
      <c r="P259" s="83"/>
    </row>
    <row r="260" spans="1:16">
      <c r="A260" s="82"/>
      <c r="B260" s="83"/>
      <c r="C260" s="83"/>
      <c r="D260" s="84"/>
      <c r="E260" s="84"/>
      <c r="F260" s="84"/>
      <c r="G260" s="84"/>
      <c r="H260" s="84"/>
      <c r="I260" s="84"/>
      <c r="J260" s="84"/>
      <c r="K260" s="84"/>
      <c r="L260" s="84"/>
      <c r="M260" s="84"/>
      <c r="N260" s="84"/>
      <c r="O260" s="84"/>
      <c r="P260" s="83"/>
    </row>
    <row r="261" spans="1:16">
      <c r="A261" s="82"/>
      <c r="B261" s="83"/>
      <c r="C261" s="83"/>
      <c r="D261" s="84"/>
      <c r="E261" s="84"/>
      <c r="F261" s="84"/>
      <c r="G261" s="84"/>
      <c r="H261" s="84"/>
      <c r="I261" s="84"/>
      <c r="J261" s="84"/>
      <c r="K261" s="84"/>
      <c r="L261" s="84"/>
      <c r="M261" s="84"/>
      <c r="N261" s="84"/>
      <c r="O261" s="84"/>
      <c r="P261" s="83"/>
    </row>
    <row r="262" spans="1:16">
      <c r="A262" s="82"/>
      <c r="B262" s="83"/>
      <c r="C262" s="83"/>
      <c r="D262" s="84"/>
      <c r="E262" s="84"/>
      <c r="F262" s="84"/>
      <c r="G262" s="84"/>
      <c r="H262" s="84"/>
      <c r="I262" s="84"/>
      <c r="J262" s="84"/>
      <c r="K262" s="84"/>
      <c r="L262" s="84"/>
      <c r="M262" s="84"/>
      <c r="N262" s="84"/>
      <c r="O262" s="84"/>
      <c r="P262" s="83"/>
    </row>
    <row r="263" spans="1:16">
      <c r="A263" s="82"/>
      <c r="B263" s="83"/>
      <c r="C263" s="83"/>
      <c r="D263" s="84"/>
      <c r="E263" s="84"/>
      <c r="F263" s="84"/>
      <c r="G263" s="84"/>
      <c r="H263" s="84"/>
      <c r="I263" s="84"/>
      <c r="J263" s="84"/>
      <c r="K263" s="84"/>
      <c r="L263" s="84"/>
      <c r="M263" s="84"/>
      <c r="N263" s="84"/>
      <c r="O263" s="84"/>
      <c r="P263" s="83"/>
    </row>
    <row r="264" spans="1:16">
      <c r="A264" s="82"/>
      <c r="B264" s="83"/>
      <c r="C264" s="83"/>
      <c r="D264" s="84"/>
      <c r="E264" s="84"/>
      <c r="F264" s="84"/>
      <c r="G264" s="84"/>
      <c r="H264" s="84"/>
      <c r="I264" s="84"/>
      <c r="J264" s="84"/>
      <c r="K264" s="84"/>
      <c r="L264" s="84"/>
      <c r="M264" s="84"/>
      <c r="N264" s="84"/>
      <c r="O264" s="84"/>
      <c r="P264" s="83"/>
    </row>
    <row r="265" spans="1:16">
      <c r="A265" s="82"/>
      <c r="B265" s="83"/>
      <c r="C265" s="83"/>
      <c r="D265" s="84"/>
      <c r="E265" s="84"/>
      <c r="F265" s="84"/>
      <c r="G265" s="84"/>
      <c r="H265" s="84"/>
      <c r="I265" s="84"/>
      <c r="J265" s="84"/>
      <c r="K265" s="84"/>
      <c r="L265" s="84"/>
      <c r="M265" s="84"/>
      <c r="N265" s="84"/>
      <c r="O265" s="84"/>
      <c r="P265" s="83"/>
    </row>
    <row r="266" spans="1:16">
      <c r="A266" s="82"/>
      <c r="B266" s="83"/>
      <c r="C266" s="83"/>
      <c r="D266" s="84"/>
      <c r="E266" s="84"/>
      <c r="F266" s="84"/>
      <c r="G266" s="84"/>
      <c r="H266" s="84"/>
      <c r="I266" s="84"/>
      <c r="J266" s="84"/>
      <c r="K266" s="84"/>
      <c r="L266" s="84"/>
      <c r="M266" s="84"/>
      <c r="N266" s="84"/>
      <c r="O266" s="84"/>
      <c r="P266" s="83"/>
    </row>
    <row r="267" spans="1:16">
      <c r="A267" s="82"/>
      <c r="B267" s="83"/>
      <c r="C267" s="83"/>
      <c r="D267" s="84"/>
      <c r="E267" s="84"/>
      <c r="F267" s="84"/>
      <c r="G267" s="84"/>
      <c r="H267" s="84"/>
      <c r="I267" s="84"/>
      <c r="J267" s="84"/>
      <c r="K267" s="84"/>
      <c r="L267" s="84"/>
      <c r="M267" s="84"/>
      <c r="N267" s="84"/>
      <c r="O267" s="84"/>
      <c r="P267" s="83"/>
    </row>
    <row r="268" spans="1:16">
      <c r="A268" s="82"/>
      <c r="B268" s="83"/>
      <c r="C268" s="83"/>
      <c r="D268" s="84"/>
      <c r="E268" s="84"/>
      <c r="F268" s="84"/>
      <c r="G268" s="84"/>
      <c r="H268" s="84"/>
      <c r="I268" s="84"/>
      <c r="J268" s="84"/>
      <c r="K268" s="84"/>
      <c r="L268" s="84"/>
      <c r="M268" s="84"/>
      <c r="N268" s="84"/>
      <c r="O268" s="84"/>
      <c r="P268" s="83"/>
    </row>
    <row r="269" spans="1:16">
      <c r="A269" s="82"/>
      <c r="B269" s="83"/>
      <c r="C269" s="83"/>
      <c r="D269" s="84"/>
      <c r="E269" s="84"/>
      <c r="F269" s="84"/>
      <c r="G269" s="84"/>
      <c r="H269" s="84"/>
      <c r="I269" s="84"/>
      <c r="J269" s="84"/>
      <c r="K269" s="84"/>
      <c r="L269" s="84"/>
      <c r="M269" s="84"/>
      <c r="N269" s="84"/>
      <c r="O269" s="84"/>
      <c r="P269" s="83"/>
    </row>
    <row r="270" spans="1:16">
      <c r="A270" s="82"/>
      <c r="B270" s="83"/>
      <c r="C270" s="83"/>
      <c r="D270" s="84"/>
      <c r="E270" s="84"/>
      <c r="F270" s="84"/>
      <c r="G270" s="84"/>
      <c r="H270" s="84"/>
      <c r="I270" s="84"/>
      <c r="J270" s="84"/>
      <c r="K270" s="84"/>
      <c r="L270" s="84"/>
      <c r="M270" s="84"/>
      <c r="N270" s="84"/>
      <c r="O270" s="84"/>
      <c r="P270" s="83"/>
    </row>
    <row r="271" spans="1:16">
      <c r="A271" s="82"/>
      <c r="B271" s="83"/>
      <c r="C271" s="83"/>
      <c r="D271" s="84"/>
      <c r="E271" s="84"/>
      <c r="F271" s="84"/>
      <c r="G271" s="84"/>
      <c r="H271" s="84"/>
      <c r="I271" s="84"/>
      <c r="J271" s="84"/>
      <c r="K271" s="84"/>
      <c r="L271" s="84"/>
      <c r="M271" s="84"/>
      <c r="N271" s="84"/>
      <c r="O271" s="84"/>
      <c r="P271" s="83"/>
    </row>
    <row r="272" spans="1:16">
      <c r="A272" s="82"/>
      <c r="B272" s="83"/>
      <c r="C272" s="83"/>
      <c r="D272" s="84"/>
      <c r="E272" s="84"/>
      <c r="F272" s="84"/>
      <c r="G272" s="84"/>
      <c r="H272" s="84"/>
      <c r="I272" s="84"/>
      <c r="J272" s="84"/>
      <c r="K272" s="84"/>
      <c r="L272" s="84"/>
      <c r="M272" s="84"/>
      <c r="N272" s="84"/>
      <c r="O272" s="84"/>
      <c r="P272" s="83"/>
    </row>
    <row r="273" spans="1:16">
      <c r="A273" s="82"/>
      <c r="B273" s="83"/>
      <c r="C273" s="83"/>
      <c r="D273" s="84"/>
      <c r="E273" s="84"/>
      <c r="F273" s="84"/>
      <c r="G273" s="84"/>
      <c r="H273" s="84"/>
      <c r="I273" s="84"/>
      <c r="J273" s="84"/>
      <c r="K273" s="84"/>
      <c r="L273" s="84"/>
      <c r="M273" s="84"/>
      <c r="N273" s="84"/>
      <c r="O273" s="84"/>
      <c r="P273" s="83"/>
    </row>
    <row r="274" spans="1:16">
      <c r="A274" s="82"/>
      <c r="B274" s="83"/>
      <c r="C274" s="83"/>
      <c r="D274" s="84"/>
      <c r="E274" s="84"/>
      <c r="F274" s="84"/>
      <c r="G274" s="84"/>
      <c r="H274" s="84"/>
      <c r="I274" s="84"/>
      <c r="J274" s="84"/>
      <c r="K274" s="84"/>
      <c r="L274" s="84"/>
      <c r="M274" s="84"/>
      <c r="N274" s="84"/>
      <c r="O274" s="84"/>
      <c r="P274" s="83"/>
    </row>
    <row r="275" spans="1:16">
      <c r="A275" s="82"/>
      <c r="B275" s="83"/>
      <c r="C275" s="83"/>
      <c r="D275" s="84"/>
      <c r="E275" s="84"/>
      <c r="F275" s="84"/>
      <c r="G275" s="84"/>
      <c r="H275" s="84"/>
      <c r="I275" s="84"/>
      <c r="J275" s="84"/>
      <c r="K275" s="84"/>
      <c r="L275" s="84"/>
      <c r="M275" s="84"/>
      <c r="N275" s="84"/>
      <c r="O275" s="84"/>
      <c r="P275" s="83"/>
    </row>
    <row r="276" spans="1:16">
      <c r="A276" s="82"/>
      <c r="B276" s="83"/>
      <c r="C276" s="83"/>
      <c r="D276" s="84"/>
      <c r="E276" s="84"/>
      <c r="F276" s="84"/>
      <c r="G276" s="84"/>
      <c r="H276" s="84"/>
      <c r="I276" s="84"/>
      <c r="J276" s="84"/>
      <c r="K276" s="84"/>
      <c r="L276" s="84"/>
      <c r="M276" s="84"/>
      <c r="N276" s="84"/>
      <c r="O276" s="84"/>
      <c r="P276" s="83"/>
    </row>
    <row r="277" spans="1:16">
      <c r="A277" s="82"/>
      <c r="B277" s="83"/>
      <c r="C277" s="83"/>
      <c r="D277" s="84"/>
      <c r="E277" s="84"/>
      <c r="F277" s="84"/>
      <c r="G277" s="84"/>
      <c r="H277" s="84"/>
      <c r="I277" s="84"/>
      <c r="J277" s="84"/>
      <c r="K277" s="84"/>
      <c r="L277" s="84"/>
      <c r="M277" s="84"/>
      <c r="N277" s="84"/>
      <c r="O277" s="84"/>
      <c r="P277" s="83"/>
    </row>
    <row r="278" spans="1:16">
      <c r="A278" s="82"/>
      <c r="B278" s="83"/>
      <c r="C278" s="83"/>
      <c r="D278" s="84"/>
      <c r="E278" s="84"/>
      <c r="F278" s="84"/>
      <c r="G278" s="84"/>
      <c r="H278" s="84"/>
      <c r="I278" s="84"/>
      <c r="J278" s="84"/>
      <c r="K278" s="84"/>
      <c r="L278" s="84"/>
      <c r="M278" s="84"/>
      <c r="N278" s="84"/>
      <c r="O278" s="84"/>
      <c r="P278" s="83"/>
    </row>
    <row r="279" spans="1:16">
      <c r="A279" s="82"/>
      <c r="B279" s="83"/>
      <c r="C279" s="83"/>
      <c r="D279" s="84"/>
      <c r="E279" s="84"/>
      <c r="F279" s="84"/>
      <c r="G279" s="84"/>
      <c r="H279" s="84"/>
      <c r="I279" s="84"/>
      <c r="J279" s="84"/>
      <c r="K279" s="84"/>
      <c r="L279" s="84"/>
      <c r="M279" s="84"/>
      <c r="N279" s="84"/>
      <c r="O279" s="84"/>
      <c r="P279" s="83"/>
    </row>
    <row r="280" spans="1:16">
      <c r="A280" s="82"/>
      <c r="B280" s="83"/>
      <c r="C280" s="83"/>
      <c r="D280" s="84"/>
      <c r="E280" s="84"/>
      <c r="F280" s="84"/>
      <c r="G280" s="84"/>
      <c r="H280" s="84"/>
      <c r="I280" s="84"/>
      <c r="J280" s="84"/>
      <c r="K280" s="84"/>
      <c r="L280" s="84"/>
      <c r="M280" s="84"/>
      <c r="N280" s="84"/>
      <c r="O280" s="84"/>
      <c r="P280" s="83"/>
    </row>
    <row r="281" spans="1:16">
      <c r="A281" s="82"/>
      <c r="B281" s="83"/>
      <c r="C281" s="83"/>
      <c r="D281" s="84"/>
      <c r="E281" s="84"/>
      <c r="F281" s="84"/>
      <c r="G281" s="84"/>
      <c r="H281" s="84"/>
      <c r="I281" s="84"/>
      <c r="J281" s="84"/>
      <c r="K281" s="84"/>
      <c r="L281" s="84"/>
      <c r="M281" s="84"/>
      <c r="N281" s="84"/>
      <c r="O281" s="84"/>
      <c r="P281" s="83"/>
    </row>
    <row r="282" spans="1:16">
      <c r="A282" s="82"/>
      <c r="B282" s="83"/>
      <c r="C282" s="83"/>
      <c r="D282" s="84"/>
      <c r="E282" s="84"/>
      <c r="F282" s="84"/>
      <c r="G282" s="84"/>
      <c r="H282" s="84"/>
      <c r="I282" s="84"/>
      <c r="J282" s="84"/>
      <c r="K282" s="84"/>
      <c r="L282" s="84"/>
      <c r="M282" s="84"/>
      <c r="N282" s="84"/>
      <c r="O282" s="84"/>
      <c r="P282" s="83"/>
    </row>
    <row r="283" spans="1:16">
      <c r="A283" s="82"/>
      <c r="B283" s="83"/>
      <c r="C283" s="83"/>
      <c r="D283" s="84"/>
      <c r="E283" s="84"/>
      <c r="F283" s="84"/>
      <c r="G283" s="84"/>
      <c r="H283" s="84"/>
      <c r="I283" s="84"/>
      <c r="J283" s="84"/>
      <c r="K283" s="84"/>
      <c r="L283" s="84"/>
      <c r="M283" s="84"/>
      <c r="N283" s="84"/>
      <c r="O283" s="84"/>
      <c r="P283" s="83"/>
    </row>
    <row r="284" spans="1:16">
      <c r="A284" s="82"/>
      <c r="B284" s="83"/>
      <c r="C284" s="83"/>
      <c r="D284" s="84"/>
      <c r="E284" s="84"/>
      <c r="F284" s="84"/>
      <c r="G284" s="84"/>
      <c r="H284" s="84"/>
      <c r="I284" s="84"/>
      <c r="J284" s="84"/>
      <c r="K284" s="84"/>
      <c r="L284" s="84"/>
      <c r="M284" s="84"/>
      <c r="N284" s="84"/>
      <c r="O284" s="84"/>
      <c r="P284" s="83"/>
    </row>
    <row r="285" spans="1:16">
      <c r="A285" s="82"/>
      <c r="B285" s="83"/>
      <c r="C285" s="83"/>
      <c r="D285" s="84"/>
      <c r="E285" s="84"/>
      <c r="F285" s="84"/>
      <c r="G285" s="84"/>
      <c r="H285" s="84"/>
      <c r="I285" s="84"/>
      <c r="J285" s="84"/>
      <c r="K285" s="84"/>
      <c r="L285" s="84"/>
      <c r="M285" s="84"/>
      <c r="N285" s="84"/>
      <c r="O285" s="84"/>
      <c r="P285" s="83"/>
    </row>
    <row r="286" spans="1:16">
      <c r="A286" s="82"/>
      <c r="B286" s="83"/>
      <c r="C286" s="83"/>
      <c r="D286" s="84"/>
      <c r="E286" s="84"/>
      <c r="F286" s="84"/>
      <c r="G286" s="84"/>
      <c r="H286" s="84"/>
      <c r="I286" s="84"/>
      <c r="J286" s="84"/>
      <c r="K286" s="84"/>
      <c r="L286" s="84"/>
      <c r="M286" s="84"/>
      <c r="N286" s="84"/>
      <c r="O286" s="84"/>
      <c r="P286" s="83"/>
    </row>
    <row r="287" spans="1:16">
      <c r="A287" s="82"/>
      <c r="B287" s="83"/>
      <c r="C287" s="83"/>
      <c r="D287" s="84"/>
      <c r="E287" s="84"/>
      <c r="F287" s="84"/>
      <c r="G287" s="84"/>
      <c r="H287" s="84"/>
      <c r="I287" s="84"/>
      <c r="J287" s="84"/>
      <c r="K287" s="84"/>
      <c r="L287" s="84"/>
      <c r="M287" s="84"/>
      <c r="N287" s="84"/>
      <c r="O287" s="84"/>
      <c r="P287" s="83"/>
    </row>
    <row r="288" spans="1:16">
      <c r="A288" s="82"/>
      <c r="B288" s="83"/>
      <c r="C288" s="83"/>
      <c r="D288" s="84"/>
      <c r="E288" s="84"/>
      <c r="F288" s="84"/>
      <c r="G288" s="84"/>
      <c r="H288" s="84"/>
      <c r="I288" s="84"/>
      <c r="J288" s="84"/>
      <c r="K288" s="84"/>
      <c r="L288" s="84"/>
      <c r="M288" s="84"/>
      <c r="N288" s="84"/>
      <c r="O288" s="84"/>
      <c r="P288" s="83"/>
    </row>
    <row r="289" spans="1:16">
      <c r="A289" s="82"/>
      <c r="B289" s="83"/>
      <c r="C289" s="83"/>
      <c r="D289" s="84"/>
      <c r="E289" s="84"/>
      <c r="F289" s="84"/>
      <c r="G289" s="84"/>
      <c r="H289" s="84"/>
      <c r="I289" s="84"/>
      <c r="J289" s="84"/>
      <c r="K289" s="84"/>
      <c r="L289" s="84"/>
      <c r="M289" s="84"/>
      <c r="N289" s="84"/>
      <c r="O289" s="84"/>
      <c r="P289" s="83"/>
    </row>
    <row r="290" spans="1:16">
      <c r="A290" s="82"/>
      <c r="B290" s="83"/>
      <c r="C290" s="83"/>
      <c r="D290" s="84"/>
      <c r="E290" s="84"/>
      <c r="F290" s="84"/>
      <c r="G290" s="84"/>
      <c r="H290" s="84"/>
      <c r="I290" s="84"/>
      <c r="J290" s="84"/>
      <c r="K290" s="84"/>
      <c r="L290" s="84"/>
      <c r="M290" s="84"/>
      <c r="N290" s="84"/>
      <c r="O290" s="84"/>
      <c r="P290" s="83"/>
    </row>
    <row r="291" spans="1:16">
      <c r="A291" s="82"/>
      <c r="B291" s="83"/>
      <c r="C291" s="83"/>
      <c r="D291" s="84"/>
      <c r="E291" s="84"/>
      <c r="F291" s="84"/>
      <c r="G291" s="84"/>
      <c r="H291" s="84"/>
      <c r="I291" s="84"/>
      <c r="J291" s="84"/>
      <c r="K291" s="84"/>
      <c r="L291" s="84"/>
      <c r="M291" s="84"/>
      <c r="N291" s="84"/>
      <c r="O291" s="84"/>
      <c r="P291" s="83"/>
    </row>
    <row r="292" spans="1:16">
      <c r="A292" s="82"/>
      <c r="B292" s="83"/>
      <c r="C292" s="83"/>
      <c r="D292" s="84"/>
      <c r="E292" s="84"/>
      <c r="F292" s="84"/>
      <c r="G292" s="84"/>
      <c r="H292" s="84"/>
      <c r="I292" s="84"/>
      <c r="J292" s="84"/>
      <c r="K292" s="84"/>
      <c r="L292" s="84"/>
      <c r="M292" s="84"/>
      <c r="N292" s="84"/>
      <c r="O292" s="84"/>
      <c r="P292" s="83"/>
    </row>
    <row r="293" spans="1:16">
      <c r="A293" s="82"/>
      <c r="B293" s="83"/>
      <c r="C293" s="83"/>
      <c r="D293" s="84"/>
      <c r="E293" s="84"/>
      <c r="F293" s="84"/>
      <c r="G293" s="84"/>
      <c r="H293" s="84"/>
      <c r="I293" s="84"/>
      <c r="J293" s="84"/>
      <c r="K293" s="84"/>
      <c r="L293" s="84"/>
      <c r="M293" s="84"/>
      <c r="N293" s="84"/>
      <c r="O293" s="84"/>
      <c r="P293" s="83"/>
    </row>
    <row r="294" spans="1:16">
      <c r="A294" s="82"/>
      <c r="B294" s="83"/>
      <c r="C294" s="83"/>
      <c r="D294" s="84"/>
      <c r="E294" s="84"/>
      <c r="F294" s="84"/>
      <c r="G294" s="84"/>
      <c r="H294" s="84"/>
      <c r="I294" s="84"/>
      <c r="J294" s="84"/>
      <c r="K294" s="84"/>
      <c r="L294" s="84"/>
      <c r="M294" s="84"/>
      <c r="N294" s="84"/>
      <c r="O294" s="84"/>
      <c r="P294" s="83"/>
    </row>
    <row r="295" spans="1:16">
      <c r="A295" s="82"/>
      <c r="B295" s="83"/>
      <c r="C295" s="83"/>
      <c r="D295" s="84"/>
      <c r="E295" s="84"/>
      <c r="F295" s="84"/>
      <c r="G295" s="84"/>
      <c r="H295" s="84"/>
      <c r="I295" s="84"/>
      <c r="J295" s="84"/>
      <c r="K295" s="84"/>
      <c r="L295" s="84"/>
      <c r="M295" s="84"/>
      <c r="N295" s="84"/>
      <c r="O295" s="84"/>
      <c r="P295" s="83"/>
    </row>
  </sheetData>
  <sheetProtection formatCells="0" formatColumns="0" formatRows="0" insertColumns="0"/>
  <mergeCells count="1">
    <mergeCell ref="C3:C42"/>
  </mergeCells>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42"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pageSetUpPr fitToPage="1"/>
  </sheetPr>
  <dimension ref="A1:I46"/>
  <sheetViews>
    <sheetView workbookViewId="0">
      <selection activeCell="D25" sqref="D25"/>
    </sheetView>
  </sheetViews>
  <sheetFormatPr baseColWidth="10" defaultColWidth="9.28515625" defaultRowHeight="16"/>
  <cols>
    <col min="1" max="1" width="4.28515625" style="360" customWidth="1"/>
    <col min="2" max="2" width="55.5703125" style="352" customWidth="1"/>
    <col min="3" max="5" width="12.28515625" style="352" customWidth="1"/>
    <col min="6" max="8" width="12" style="352" customWidth="1"/>
    <col min="9" max="9" width="61" style="352" bestFit="1" customWidth="1"/>
    <col min="10" max="16384" width="9.28515625" style="352"/>
  </cols>
  <sheetData>
    <row r="1" spans="1:9" ht="18" customHeight="1">
      <c r="A1" s="349">
        <v>1</v>
      </c>
      <c r="B1" s="350" t="s">
        <v>355</v>
      </c>
      <c r="C1" s="351" t="s">
        <v>578</v>
      </c>
      <c r="D1" s="351" t="s">
        <v>356</v>
      </c>
      <c r="E1" s="351" t="s">
        <v>356</v>
      </c>
      <c r="F1" s="351" t="s">
        <v>370</v>
      </c>
      <c r="G1" s="351"/>
      <c r="H1" s="351"/>
      <c r="I1" s="352" t="s">
        <v>371</v>
      </c>
    </row>
    <row r="2" spans="1:9" ht="18" customHeight="1">
      <c r="A2" s="349">
        <v>2</v>
      </c>
      <c r="B2" s="353" t="s">
        <v>357</v>
      </c>
      <c r="C2" s="354"/>
      <c r="D2" s="354"/>
      <c r="E2" s="354"/>
      <c r="F2" s="354"/>
      <c r="G2" s="354"/>
      <c r="H2" s="354"/>
    </row>
    <row r="3" spans="1:9" ht="18" customHeight="1">
      <c r="A3" s="349">
        <v>3</v>
      </c>
      <c r="B3" s="355" t="s">
        <v>358</v>
      </c>
      <c r="C3" s="356">
        <f t="shared" ref="C3:H3" si="0">325699*(C$2="L")+290311*(C$2="B")*OR(C2="L",C2="B")</f>
        <v>0</v>
      </c>
      <c r="D3" s="356">
        <f t="shared" si="0"/>
        <v>0</v>
      </c>
      <c r="E3" s="356">
        <f t="shared" si="0"/>
        <v>0</v>
      </c>
      <c r="F3" s="356">
        <f t="shared" si="0"/>
        <v>0</v>
      </c>
      <c r="G3" s="356">
        <f t="shared" si="0"/>
        <v>0</v>
      </c>
      <c r="H3" s="356">
        <f t="shared" si="0"/>
        <v>0</v>
      </c>
    </row>
    <row r="4" spans="1:9" ht="18" customHeight="1">
      <c r="A4" s="349">
        <v>4</v>
      </c>
      <c r="B4" s="355" t="s">
        <v>359</v>
      </c>
      <c r="C4" s="357"/>
      <c r="D4" s="357"/>
      <c r="E4" s="357"/>
      <c r="F4" s="357"/>
      <c r="G4" s="357"/>
      <c r="H4" s="357"/>
      <c r="I4" s="352" t="s">
        <v>372</v>
      </c>
    </row>
    <row r="5" spans="1:9" ht="18" customHeight="1">
      <c r="A5" s="349">
        <v>5</v>
      </c>
      <c r="B5" s="355" t="s">
        <v>360</v>
      </c>
      <c r="C5" s="357"/>
      <c r="D5" s="357"/>
      <c r="E5" s="357"/>
      <c r="F5" s="357"/>
      <c r="G5" s="357"/>
      <c r="H5" s="357"/>
      <c r="I5" s="352" t="s">
        <v>373</v>
      </c>
    </row>
    <row r="6" spans="1:9" ht="18" customHeight="1">
      <c r="A6" s="349">
        <v>6</v>
      </c>
      <c r="B6" s="355" t="s">
        <v>361</v>
      </c>
      <c r="C6" s="357"/>
      <c r="D6" s="357"/>
      <c r="E6" s="357"/>
      <c r="F6" s="357"/>
      <c r="G6" s="357"/>
      <c r="H6" s="357"/>
      <c r="I6" s="352" t="s">
        <v>373</v>
      </c>
    </row>
    <row r="7" spans="1:9" ht="18" customHeight="1">
      <c r="A7" s="349">
        <v>7</v>
      </c>
      <c r="B7" s="355" t="s">
        <v>362</v>
      </c>
      <c r="C7" s="357"/>
      <c r="D7" s="357"/>
      <c r="E7" s="357"/>
      <c r="F7" s="357"/>
      <c r="G7" s="357"/>
      <c r="H7" s="357"/>
      <c r="I7" s="352" t="s">
        <v>373</v>
      </c>
    </row>
    <row r="8" spans="1:9" ht="18" customHeight="1">
      <c r="A8" s="349">
        <v>8</v>
      </c>
      <c r="B8" s="355" t="s">
        <v>363</v>
      </c>
      <c r="C8" s="357"/>
      <c r="D8" s="357"/>
      <c r="E8" s="357"/>
      <c r="F8" s="357"/>
      <c r="G8" s="357"/>
      <c r="H8" s="357"/>
      <c r="I8" s="352" t="s">
        <v>373</v>
      </c>
    </row>
    <row r="9" spans="1:9" ht="18" customHeight="1">
      <c r="A9" s="349">
        <v>9</v>
      </c>
      <c r="B9" s="355" t="s">
        <v>374</v>
      </c>
      <c r="C9" s="356">
        <f t="shared" ref="C9:H9" si="1">IF(C11-SUM(C3:C6)&gt;0,C11-SUM(C3:C6),0)*OR(C2="L",C2="B")</f>
        <v>0</v>
      </c>
      <c r="D9" s="356">
        <f t="shared" si="1"/>
        <v>0</v>
      </c>
      <c r="E9" s="356">
        <f t="shared" si="1"/>
        <v>0</v>
      </c>
      <c r="F9" s="356">
        <f t="shared" si="1"/>
        <v>0</v>
      </c>
      <c r="G9" s="356">
        <f t="shared" si="1"/>
        <v>0</v>
      </c>
      <c r="H9" s="356">
        <f t="shared" si="1"/>
        <v>0</v>
      </c>
      <c r="I9" s="352" t="s">
        <v>375</v>
      </c>
    </row>
    <row r="10" spans="1:9" ht="18" customHeight="1">
      <c r="A10" s="349">
        <v>10</v>
      </c>
      <c r="B10" s="355" t="s">
        <v>376</v>
      </c>
      <c r="C10" s="356">
        <f t="shared" ref="C10:H10" si="2">IF(7900-C9&gt;0,7900-C9,0)*OR(C2="L",C2="B")</f>
        <v>0</v>
      </c>
      <c r="D10" s="356">
        <f t="shared" si="2"/>
        <v>0</v>
      </c>
      <c r="E10" s="356">
        <f t="shared" si="2"/>
        <v>0</v>
      </c>
      <c r="F10" s="356">
        <f t="shared" si="2"/>
        <v>0</v>
      </c>
      <c r="G10" s="356">
        <f t="shared" si="2"/>
        <v>0</v>
      </c>
      <c r="H10" s="356">
        <f t="shared" si="2"/>
        <v>0</v>
      </c>
      <c r="I10" s="352" t="s">
        <v>375</v>
      </c>
    </row>
    <row r="11" spans="1:9" ht="22" customHeight="1">
      <c r="A11" s="349">
        <v>11</v>
      </c>
      <c r="B11" s="358" t="s">
        <v>364</v>
      </c>
      <c r="C11" s="359">
        <f t="shared" ref="C11:H11" si="3">351388*(C$2="L")+309054*(C$2="B")</f>
        <v>0</v>
      </c>
      <c r="D11" s="359">
        <f t="shared" si="3"/>
        <v>0</v>
      </c>
      <c r="E11" s="359">
        <f t="shared" si="3"/>
        <v>0</v>
      </c>
      <c r="F11" s="359">
        <f t="shared" si="3"/>
        <v>0</v>
      </c>
      <c r="G11" s="359">
        <f t="shared" si="3"/>
        <v>0</v>
      </c>
      <c r="H11" s="359">
        <f t="shared" si="3"/>
        <v>0</v>
      </c>
      <c r="I11" s="352" t="s">
        <v>377</v>
      </c>
    </row>
    <row r="12" spans="1:9" ht="31" customHeight="1">
      <c r="A12" s="349">
        <v>12</v>
      </c>
      <c r="B12" s="358" t="s">
        <v>365</v>
      </c>
      <c r="C12" s="359">
        <f t="shared" ref="C12:H12" si="4">IF(SUM(C3:C10)-C11&gt;0,SUM(C3:C10)-C11,0)</f>
        <v>0</v>
      </c>
      <c r="D12" s="359">
        <f t="shared" si="4"/>
        <v>0</v>
      </c>
      <c r="E12" s="359">
        <f t="shared" si="4"/>
        <v>0</v>
      </c>
      <c r="F12" s="359">
        <f t="shared" si="4"/>
        <v>0</v>
      </c>
      <c r="G12" s="359">
        <f t="shared" si="4"/>
        <v>0</v>
      </c>
      <c r="H12" s="359">
        <f t="shared" si="4"/>
        <v>0</v>
      </c>
      <c r="I12" s="378" t="s">
        <v>399</v>
      </c>
    </row>
    <row r="13" spans="1:9" ht="19" customHeight="1">
      <c r="B13" s="352" t="s">
        <v>366</v>
      </c>
      <c r="C13" s="361"/>
      <c r="D13" s="361"/>
      <c r="E13" s="361"/>
      <c r="F13" s="361"/>
      <c r="G13" s="361"/>
      <c r="H13" s="361"/>
    </row>
    <row r="14" spans="1:9">
      <c r="B14" s="352" t="s">
        <v>378</v>
      </c>
      <c r="C14" s="361"/>
      <c r="D14" s="361"/>
      <c r="E14" s="361"/>
      <c r="F14" s="361"/>
      <c r="G14" s="361"/>
      <c r="H14" s="361"/>
    </row>
    <row r="15" spans="1:9" ht="22" customHeight="1">
      <c r="A15" s="349">
        <v>13</v>
      </c>
      <c r="B15" s="358" t="s">
        <v>379</v>
      </c>
      <c r="C15" s="374"/>
      <c r="D15" s="374"/>
      <c r="E15" s="374"/>
      <c r="F15" s="374"/>
      <c r="G15" s="374"/>
      <c r="H15" s="374"/>
    </row>
    <row r="16" spans="1:9" ht="22" customHeight="1">
      <c r="A16" s="349">
        <v>14</v>
      </c>
      <c r="B16" s="358" t="s">
        <v>380</v>
      </c>
      <c r="C16" s="359">
        <f t="shared" ref="C16:E17" si="5">C11*C$15*1.01304/12</f>
        <v>0</v>
      </c>
      <c r="D16" s="359">
        <f t="shared" si="5"/>
        <v>0</v>
      </c>
      <c r="E16" s="359">
        <f t="shared" si="5"/>
        <v>0</v>
      </c>
      <c r="F16" s="359">
        <f t="shared" ref="F16:H17" si="6">F11*F$15*1.01304/12</f>
        <v>0</v>
      </c>
      <c r="G16" s="359">
        <f t="shared" si="6"/>
        <v>0</v>
      </c>
      <c r="H16" s="359">
        <f t="shared" si="6"/>
        <v>0</v>
      </c>
    </row>
    <row r="17" spans="1:8" ht="22" customHeight="1">
      <c r="A17" s="349">
        <v>15</v>
      </c>
      <c r="B17" s="358" t="s">
        <v>381</v>
      </c>
      <c r="C17" s="359">
        <f t="shared" si="5"/>
        <v>0</v>
      </c>
      <c r="D17" s="359">
        <f t="shared" si="5"/>
        <v>0</v>
      </c>
      <c r="E17" s="359">
        <f t="shared" si="5"/>
        <v>0</v>
      </c>
      <c r="F17" s="359">
        <f t="shared" si="6"/>
        <v>0</v>
      </c>
      <c r="G17" s="359">
        <f t="shared" si="6"/>
        <v>0</v>
      </c>
      <c r="H17" s="359">
        <f t="shared" si="6"/>
        <v>0</v>
      </c>
    </row>
    <row r="18" spans="1:8">
      <c r="C18" s="361"/>
      <c r="D18" s="361"/>
      <c r="E18" s="361"/>
      <c r="F18" s="361"/>
      <c r="G18" s="361"/>
      <c r="H18" s="361"/>
    </row>
    <row r="19" spans="1:8">
      <c r="B19" s="375" t="s">
        <v>384</v>
      </c>
      <c r="C19" s="361"/>
      <c r="D19" s="361"/>
      <c r="E19" s="361"/>
      <c r="F19" s="361"/>
      <c r="G19" s="361"/>
      <c r="H19" s="361"/>
    </row>
    <row r="20" spans="1:8">
      <c r="B20" s="375"/>
      <c r="C20" s="361"/>
      <c r="D20" s="361"/>
      <c r="E20" s="361"/>
      <c r="F20" s="361"/>
      <c r="G20" s="361"/>
      <c r="H20" s="361"/>
    </row>
    <row r="21" spans="1:8" ht="17">
      <c r="B21" s="376" t="s">
        <v>385</v>
      </c>
      <c r="C21" s="361"/>
      <c r="D21" s="361"/>
      <c r="E21" s="361"/>
      <c r="F21" s="361"/>
      <c r="G21" s="361"/>
      <c r="H21" s="361"/>
    </row>
    <row r="22" spans="1:8" ht="34">
      <c r="B22" s="377" t="s">
        <v>386</v>
      </c>
    </row>
    <row r="23" spans="1:8">
      <c r="B23" s="377"/>
    </row>
    <row r="24" spans="1:8" ht="68">
      <c r="B24" s="377" t="s">
        <v>387</v>
      </c>
    </row>
    <row r="25" spans="1:8">
      <c r="B25" s="377"/>
    </row>
    <row r="26" spans="1:8" ht="119">
      <c r="B26" s="377" t="s">
        <v>388</v>
      </c>
    </row>
    <row r="27" spans="1:8">
      <c r="B27" s="377"/>
    </row>
    <row r="28" spans="1:8" ht="102">
      <c r="B28" s="377" t="s">
        <v>389</v>
      </c>
    </row>
    <row r="29" spans="1:8">
      <c r="B29" s="377"/>
    </row>
    <row r="30" spans="1:8" ht="85">
      <c r="B30" s="377" t="s">
        <v>390</v>
      </c>
    </row>
    <row r="31" spans="1:8">
      <c r="B31" s="377"/>
    </row>
    <row r="32" spans="1:8" ht="119">
      <c r="B32" s="377" t="s">
        <v>391</v>
      </c>
    </row>
    <row r="33" spans="2:2">
      <c r="B33" s="377"/>
    </row>
    <row r="34" spans="2:2" ht="17">
      <c r="B34" s="376" t="s">
        <v>392</v>
      </c>
    </row>
    <row r="35" spans="2:2" ht="170">
      <c r="B35" s="377" t="s">
        <v>393</v>
      </c>
    </row>
    <row r="36" spans="2:2">
      <c r="B36" s="377"/>
    </row>
    <row r="37" spans="2:2" ht="17">
      <c r="B37" s="376" t="s">
        <v>394</v>
      </c>
    </row>
    <row r="38" spans="2:2" ht="51">
      <c r="B38" s="377" t="s">
        <v>395</v>
      </c>
    </row>
    <row r="39" spans="2:2">
      <c r="B39" s="377"/>
    </row>
    <row r="40" spans="2:2" ht="136">
      <c r="B40" s="377" t="s">
        <v>396</v>
      </c>
    </row>
    <row r="41" spans="2:2">
      <c r="B41" s="377"/>
    </row>
    <row r="42" spans="2:2" ht="85">
      <c r="B42" s="377" t="s">
        <v>397</v>
      </c>
    </row>
    <row r="43" spans="2:2">
      <c r="B43" s="377"/>
    </row>
    <row r="44" spans="2:2" ht="85">
      <c r="B44" s="377" t="s">
        <v>398</v>
      </c>
    </row>
    <row r="45" spans="2:2">
      <c r="B45" s="377"/>
    </row>
    <row r="46" spans="2:2">
      <c r="B46" s="377"/>
    </row>
  </sheetData>
  <sheetProtection sheet="1" objects="1" scenarios="1" formatCells="0" formatColumns="0" formatRows="0" insertColumns="0"/>
  <phoneticPr fontId="12" type="noConversion"/>
  <pageMargins left="0.75" right="0.75" top="1" bottom="1" header="0.5" footer="0.5"/>
  <pageSetup paperSize="9" orientation="portrait" horizontalDpi="0" verticalDpi="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34">
    <tabColor theme="3" tint="0.59999389629810485"/>
    <pageSetUpPr fitToPage="1"/>
  </sheetPr>
  <dimension ref="A1:V295"/>
  <sheetViews>
    <sheetView workbookViewId="0">
      <pane xSplit="3" ySplit="2" topLeftCell="D3" activePane="bottomRight" state="frozen"/>
      <selection activeCell="G1" sqref="G1"/>
      <selection pane="topRight" activeCell="G1" sqref="G1"/>
      <selection pane="bottomLeft" activeCell="G1" sqref="G1"/>
      <selection pane="bottomRight" activeCell="G1" sqref="G1"/>
    </sheetView>
  </sheetViews>
  <sheetFormatPr baseColWidth="10" defaultColWidth="20.85546875" defaultRowHeight="13"/>
  <cols>
    <col min="1" max="1" width="3.5703125" style="22" customWidth="1"/>
    <col min="2" max="2" width="32.42578125" style="3" customWidth="1"/>
    <col min="3" max="3" width="10.140625" style="3" customWidth="1"/>
    <col min="4" max="15" width="9.7109375" style="24" customWidth="1"/>
    <col min="16" max="16" width="44.85546875" style="3" customWidth="1"/>
    <col min="17" max="17" width="9.7109375" style="3" customWidth="1"/>
    <col min="18" max="18" width="10.140625" style="3" customWidth="1"/>
    <col min="19" max="22" width="8.7109375" style="3" customWidth="1"/>
    <col min="23" max="16384" width="20.85546875" style="83"/>
  </cols>
  <sheetData>
    <row r="1" spans="1:22" ht="27" customHeight="1">
      <c r="A1" s="1">
        <v>1</v>
      </c>
      <c r="B1" s="62" t="s">
        <v>151</v>
      </c>
      <c r="C1" s="348" t="s">
        <v>329</v>
      </c>
      <c r="D1" s="78" t="str">
        <f>Ex12_13!D1</f>
        <v>NN</v>
      </c>
      <c r="E1" s="77" t="str">
        <f>D1</f>
        <v>NN</v>
      </c>
      <c r="F1" s="77" t="str">
        <f t="shared" ref="F1:O1" si="0">E1</f>
        <v>NN</v>
      </c>
      <c r="G1" s="77" t="str">
        <f t="shared" si="0"/>
        <v>NN</v>
      </c>
      <c r="H1" s="77" t="str">
        <f t="shared" si="0"/>
        <v>NN</v>
      </c>
      <c r="I1" s="77" t="str">
        <f t="shared" si="0"/>
        <v>NN</v>
      </c>
      <c r="J1" s="77" t="str">
        <f t="shared" si="0"/>
        <v>NN</v>
      </c>
      <c r="K1" s="77" t="str">
        <f t="shared" si="0"/>
        <v>NN</v>
      </c>
      <c r="L1" s="77" t="str">
        <f t="shared" si="0"/>
        <v>NN</v>
      </c>
      <c r="M1" s="77" t="str">
        <f t="shared" si="0"/>
        <v>NN</v>
      </c>
      <c r="N1" s="77" t="str">
        <f t="shared" si="0"/>
        <v>NN</v>
      </c>
      <c r="O1" s="77" t="str">
        <f t="shared" si="0"/>
        <v>NN</v>
      </c>
      <c r="P1" s="3" t="s">
        <v>185</v>
      </c>
      <c r="Q1" s="86"/>
      <c r="R1" s="86"/>
      <c r="S1" s="86"/>
      <c r="T1" s="86"/>
      <c r="U1" s="86"/>
      <c r="V1" s="86"/>
    </row>
    <row r="2" spans="1:22" ht="14" customHeight="1">
      <c r="A2" s="4">
        <f t="shared" ref="A2:A44" si="1">A1+1</f>
        <v>2</v>
      </c>
      <c r="B2" s="89" t="s">
        <v>36</v>
      </c>
      <c r="C2" s="234" t="s">
        <v>330</v>
      </c>
      <c r="D2" s="76" t="str">
        <f>"AUG 13"</f>
        <v>AUG 13</v>
      </c>
      <c r="E2" s="76" t="str">
        <f>"SEP13"</f>
        <v>SEP13</v>
      </c>
      <c r="F2" s="76" t="str">
        <f>"OKT 13"</f>
        <v>OKT 13</v>
      </c>
      <c r="G2" s="76" t="str">
        <f>"NOV 13"</f>
        <v>NOV 13</v>
      </c>
      <c r="H2" s="76" t="str">
        <f>"DEC 13"</f>
        <v>DEC 13</v>
      </c>
      <c r="I2" s="76" t="str">
        <f>"JAN 14"</f>
        <v>JAN 14</v>
      </c>
      <c r="J2" s="76" t="str">
        <f>"FEB 14"</f>
        <v>FEB 14</v>
      </c>
      <c r="K2" s="76" t="str">
        <f>"MAR 14"</f>
        <v>MAR 14</v>
      </c>
      <c r="L2" s="256" t="str">
        <f>"APR 14"</f>
        <v>APR 14</v>
      </c>
      <c r="M2" s="256" t="str">
        <f>"MAJ14"</f>
        <v>MAJ14</v>
      </c>
      <c r="N2" s="256" t="str">
        <f>"JUN 14"</f>
        <v>JUN 14</v>
      </c>
      <c r="O2" s="256" t="str">
        <f>"JUL 14"</f>
        <v>JUL 14</v>
      </c>
      <c r="P2" s="254" t="str">
        <f>Ex12_13!P2</f>
        <v>ansat 14. feb 10</v>
      </c>
      <c r="Q2" s="86"/>
      <c r="R2" s="86"/>
      <c r="S2" s="86"/>
      <c r="T2" s="86"/>
      <c r="U2" s="86"/>
      <c r="V2" s="86"/>
    </row>
    <row r="3" spans="1:22" ht="27" customHeight="1">
      <c r="A3" s="4">
        <f t="shared" si="1"/>
        <v>3</v>
      </c>
      <c r="B3" s="160" t="s">
        <v>37</v>
      </c>
      <c r="C3" s="1277" t="s">
        <v>67</v>
      </c>
      <c r="D3" s="188">
        <v>1</v>
      </c>
      <c r="E3" s="237">
        <f>D3</f>
        <v>1</v>
      </c>
      <c r="F3" s="237">
        <f t="shared" ref="F3:M3" si="2">E3</f>
        <v>1</v>
      </c>
      <c r="G3" s="237">
        <f t="shared" si="2"/>
        <v>1</v>
      </c>
      <c r="H3" s="237">
        <f t="shared" si="2"/>
        <v>1</v>
      </c>
      <c r="I3" s="237">
        <f t="shared" si="2"/>
        <v>1</v>
      </c>
      <c r="J3" s="237">
        <f t="shared" si="2"/>
        <v>1</v>
      </c>
      <c r="K3" s="237">
        <f t="shared" si="2"/>
        <v>1</v>
      </c>
      <c r="L3" s="237">
        <f t="shared" si="2"/>
        <v>1</v>
      </c>
      <c r="M3" s="237">
        <f t="shared" si="2"/>
        <v>1</v>
      </c>
      <c r="N3" s="238">
        <f>M3</f>
        <v>1</v>
      </c>
      <c r="O3" s="238">
        <f>N3</f>
        <v>1</v>
      </c>
      <c r="P3" s="6" t="s">
        <v>347</v>
      </c>
      <c r="Q3" s="86"/>
      <c r="R3" s="86"/>
      <c r="S3" s="86"/>
      <c r="T3" s="86"/>
      <c r="U3" s="86"/>
      <c r="V3" s="86"/>
    </row>
    <row r="4" spans="1:22" ht="14" customHeight="1">
      <c r="A4" s="4">
        <f t="shared" si="1"/>
        <v>4</v>
      </c>
      <c r="B4" s="161" t="s">
        <v>334</v>
      </c>
      <c r="C4" s="1278"/>
      <c r="D4" s="189" t="str">
        <f>Ex12_13!O4</f>
        <v>Bh2</v>
      </c>
      <c r="E4" s="239" t="str">
        <f>D4</f>
        <v>Bh2</v>
      </c>
      <c r="F4" s="239" t="str">
        <f t="shared" ref="F4:O4" si="3">E4</f>
        <v>Bh2</v>
      </c>
      <c r="G4" s="239" t="str">
        <f t="shared" si="3"/>
        <v>Bh2</v>
      </c>
      <c r="H4" s="239" t="str">
        <f t="shared" si="3"/>
        <v>Bh2</v>
      </c>
      <c r="I4" s="239" t="str">
        <f t="shared" si="3"/>
        <v>Bh2</v>
      </c>
      <c r="J4" s="239" t="str">
        <f t="shared" si="3"/>
        <v>Bh2</v>
      </c>
      <c r="K4" s="239" t="str">
        <f t="shared" si="3"/>
        <v>Bh2</v>
      </c>
      <c r="L4" s="239" t="str">
        <f t="shared" si="3"/>
        <v>Bh2</v>
      </c>
      <c r="M4" s="239" t="str">
        <f t="shared" si="3"/>
        <v>Bh2</v>
      </c>
      <c r="N4" s="239" t="str">
        <f t="shared" si="3"/>
        <v>Bh2</v>
      </c>
      <c r="O4" s="239" t="str">
        <f t="shared" si="3"/>
        <v>Bh2</v>
      </c>
      <c r="P4" s="6" t="s">
        <v>203</v>
      </c>
      <c r="Q4" s="86"/>
      <c r="R4" s="86"/>
      <c r="S4" s="86"/>
      <c r="T4" s="86"/>
      <c r="U4" s="86"/>
      <c r="V4" s="86"/>
    </row>
    <row r="5" spans="1:22" ht="24" customHeight="1">
      <c r="A5" s="4">
        <f>A4+1</f>
        <v>5</v>
      </c>
      <c r="B5" s="161" t="s">
        <v>112</v>
      </c>
      <c r="C5" s="1278"/>
      <c r="D5" s="189" t="s">
        <v>265</v>
      </c>
      <c r="E5" s="71" t="str">
        <f>$D5</f>
        <v>L</v>
      </c>
      <c r="F5" s="71" t="str">
        <f t="shared" ref="F5:O7" si="4">$D5</f>
        <v>L</v>
      </c>
      <c r="G5" s="71" t="str">
        <f t="shared" si="4"/>
        <v>L</v>
      </c>
      <c r="H5" s="71" t="str">
        <f t="shared" si="4"/>
        <v>L</v>
      </c>
      <c r="I5" s="71" t="str">
        <f t="shared" si="4"/>
        <v>L</v>
      </c>
      <c r="J5" s="71" t="str">
        <f t="shared" si="4"/>
        <v>L</v>
      </c>
      <c r="K5" s="71" t="str">
        <f t="shared" si="4"/>
        <v>L</v>
      </c>
      <c r="L5" s="71" t="str">
        <f t="shared" si="4"/>
        <v>L</v>
      </c>
      <c r="M5" s="71" t="str">
        <f t="shared" si="4"/>
        <v>L</v>
      </c>
      <c r="N5" s="71" t="str">
        <f t="shared" si="4"/>
        <v>L</v>
      </c>
      <c r="O5" s="71" t="str">
        <f t="shared" si="4"/>
        <v>L</v>
      </c>
      <c r="P5" s="6" t="s">
        <v>13</v>
      </c>
      <c r="Q5" s="86"/>
      <c r="R5" s="86"/>
      <c r="S5" s="86"/>
      <c r="T5" s="86"/>
      <c r="U5" s="86"/>
      <c r="V5" s="86"/>
    </row>
    <row r="6" spans="1:22" ht="14" customHeight="1">
      <c r="A6" s="4">
        <f t="shared" si="1"/>
        <v>6</v>
      </c>
      <c r="B6" s="161" t="s">
        <v>210</v>
      </c>
      <c r="C6" s="1278"/>
      <c r="D6" s="69">
        <v>1.0130399999999999</v>
      </c>
      <c r="E6" s="69">
        <v>1.0130399999999999</v>
      </c>
      <c r="F6" s="69">
        <v>1.0130399999999999</v>
      </c>
      <c r="G6" s="69">
        <v>1.0130399999999999</v>
      </c>
      <c r="H6" s="69">
        <v>1.0130399999999999</v>
      </c>
      <c r="I6" s="69">
        <v>1.0130399999999999</v>
      </c>
      <c r="J6" s="69">
        <v>1.0130399999999999</v>
      </c>
      <c r="K6" s="69">
        <v>1.0130399999999999</v>
      </c>
      <c r="L6" s="346">
        <v>1.0900000000000001</v>
      </c>
      <c r="M6" s="69">
        <f>L6</f>
        <v>1.0900000000000001</v>
      </c>
      <c r="N6" s="69">
        <f>M6</f>
        <v>1.0900000000000001</v>
      </c>
      <c r="O6" s="69">
        <f>N6</f>
        <v>1.0900000000000001</v>
      </c>
      <c r="P6" s="70" t="s">
        <v>182</v>
      </c>
      <c r="Q6" s="86"/>
      <c r="R6" s="86"/>
      <c r="S6" s="86"/>
      <c r="T6" s="86"/>
      <c r="U6" s="86"/>
      <c r="V6" s="86"/>
    </row>
    <row r="7" spans="1:22" ht="14" customHeight="1">
      <c r="A7" s="4">
        <f t="shared" si="1"/>
        <v>7</v>
      </c>
      <c r="B7" s="161" t="s">
        <v>127</v>
      </c>
      <c r="C7" s="1278"/>
      <c r="D7" s="191">
        <f>Ex12_13!D8</f>
        <v>3</v>
      </c>
      <c r="E7" s="71">
        <f>$D7</f>
        <v>3</v>
      </c>
      <c r="F7" s="71">
        <f t="shared" si="4"/>
        <v>3</v>
      </c>
      <c r="G7" s="71">
        <f t="shared" si="4"/>
        <v>3</v>
      </c>
      <c r="H7" s="71">
        <f t="shared" si="4"/>
        <v>3</v>
      </c>
      <c r="I7" s="71">
        <f t="shared" si="4"/>
        <v>3</v>
      </c>
      <c r="J7" s="71">
        <f t="shared" si="4"/>
        <v>3</v>
      </c>
      <c r="K7" s="71">
        <f t="shared" si="4"/>
        <v>3</v>
      </c>
      <c r="L7" s="71">
        <f t="shared" si="4"/>
        <v>3</v>
      </c>
      <c r="M7" s="71">
        <f t="shared" si="4"/>
        <v>3</v>
      </c>
      <c r="N7" s="71">
        <f t="shared" si="4"/>
        <v>3</v>
      </c>
      <c r="O7" s="71">
        <f t="shared" si="4"/>
        <v>3</v>
      </c>
      <c r="P7" s="3" t="s">
        <v>99</v>
      </c>
      <c r="Q7" s="86"/>
      <c r="R7" s="86"/>
      <c r="S7" s="86"/>
      <c r="T7" s="86"/>
      <c r="U7" s="86"/>
      <c r="V7" s="86"/>
    </row>
    <row r="8" spans="1:22" ht="28">
      <c r="A8" s="4">
        <f>A7+1</f>
        <v>8</v>
      </c>
      <c r="B8" s="161" t="s">
        <v>34</v>
      </c>
      <c r="C8" s="1278"/>
      <c r="D8" s="365">
        <v>0.8</v>
      </c>
      <c r="E8" s="240">
        <f>D8</f>
        <v>0.8</v>
      </c>
      <c r="F8" s="240">
        <f t="shared" ref="F8:O11" si="5">E8</f>
        <v>0.8</v>
      </c>
      <c r="G8" s="240">
        <f t="shared" si="5"/>
        <v>0.8</v>
      </c>
      <c r="H8" s="240">
        <f t="shared" si="5"/>
        <v>0.8</v>
      </c>
      <c r="I8" s="240">
        <f t="shared" si="5"/>
        <v>0.8</v>
      </c>
      <c r="J8" s="240">
        <f t="shared" si="5"/>
        <v>0.8</v>
      </c>
      <c r="K8" s="240">
        <f t="shared" si="5"/>
        <v>0.8</v>
      </c>
      <c r="L8" s="240">
        <f t="shared" si="5"/>
        <v>0.8</v>
      </c>
      <c r="M8" s="240">
        <f t="shared" si="5"/>
        <v>0.8</v>
      </c>
      <c r="N8" s="240">
        <f t="shared" si="5"/>
        <v>0.8</v>
      </c>
      <c r="O8" s="240">
        <f t="shared" si="5"/>
        <v>0.8</v>
      </c>
      <c r="P8" s="6" t="s">
        <v>73</v>
      </c>
      <c r="Q8" s="86"/>
      <c r="R8" s="86"/>
      <c r="S8" s="86"/>
      <c r="T8" s="86"/>
      <c r="U8" s="86"/>
      <c r="V8" s="86"/>
    </row>
    <row r="9" spans="1:22" ht="24" customHeight="1">
      <c r="A9" s="4">
        <f t="shared" si="1"/>
        <v>9</v>
      </c>
      <c r="B9" s="161" t="s">
        <v>212</v>
      </c>
      <c r="C9" s="1278"/>
      <c r="D9" s="192">
        <f>Ex12_13!D10</f>
        <v>660</v>
      </c>
      <c r="E9" s="241">
        <f>D9</f>
        <v>660</v>
      </c>
      <c r="F9" s="241">
        <f t="shared" si="5"/>
        <v>660</v>
      </c>
      <c r="G9" s="241">
        <f t="shared" si="5"/>
        <v>660</v>
      </c>
      <c r="H9" s="241">
        <f t="shared" si="5"/>
        <v>660</v>
      </c>
      <c r="I9" s="241">
        <f t="shared" si="5"/>
        <v>660</v>
      </c>
      <c r="J9" s="241">
        <f t="shared" si="5"/>
        <v>660</v>
      </c>
      <c r="K9" s="241">
        <f t="shared" si="5"/>
        <v>660</v>
      </c>
      <c r="L9" s="241">
        <f t="shared" si="5"/>
        <v>660</v>
      </c>
      <c r="M9" s="241">
        <f t="shared" si="5"/>
        <v>660</v>
      </c>
      <c r="N9" s="241">
        <f t="shared" si="5"/>
        <v>660</v>
      </c>
      <c r="O9" s="241">
        <f t="shared" si="5"/>
        <v>660</v>
      </c>
      <c r="P9" s="6" t="s">
        <v>68</v>
      </c>
      <c r="Q9" s="86"/>
      <c r="R9" s="86"/>
      <c r="S9" s="86"/>
      <c r="T9" s="86"/>
      <c r="U9" s="86"/>
      <c r="V9" s="86"/>
    </row>
    <row r="10" spans="1:22" ht="24" customHeight="1">
      <c r="A10" s="4">
        <f t="shared" si="1"/>
        <v>10</v>
      </c>
      <c r="B10" s="163" t="s">
        <v>331</v>
      </c>
      <c r="C10" s="1278"/>
      <c r="D10" s="193"/>
      <c r="E10" s="242">
        <f>D10</f>
        <v>0</v>
      </c>
      <c r="F10" s="242">
        <f t="shared" si="5"/>
        <v>0</v>
      </c>
      <c r="G10" s="242">
        <f t="shared" si="5"/>
        <v>0</v>
      </c>
      <c r="H10" s="242">
        <f t="shared" si="5"/>
        <v>0</v>
      </c>
      <c r="I10" s="242">
        <f t="shared" si="5"/>
        <v>0</v>
      </c>
      <c r="J10" s="242">
        <f t="shared" si="5"/>
        <v>0</v>
      </c>
      <c r="K10" s="242">
        <f t="shared" si="5"/>
        <v>0</v>
      </c>
      <c r="L10" s="242">
        <f t="shared" si="5"/>
        <v>0</v>
      </c>
      <c r="M10" s="242">
        <f t="shared" si="5"/>
        <v>0</v>
      </c>
      <c r="N10" s="242">
        <f t="shared" si="5"/>
        <v>0</v>
      </c>
      <c r="O10" s="242">
        <f t="shared" si="5"/>
        <v>0</v>
      </c>
      <c r="P10" s="12" t="s">
        <v>332</v>
      </c>
      <c r="Q10" s="86"/>
      <c r="R10" s="86"/>
      <c r="S10" s="86"/>
      <c r="T10" s="86"/>
      <c r="U10" s="86"/>
      <c r="V10" s="86"/>
    </row>
    <row r="11" spans="1:22" ht="24" customHeight="1">
      <c r="A11" s="4">
        <f t="shared" si="1"/>
        <v>11</v>
      </c>
      <c r="B11" s="164" t="s">
        <v>255</v>
      </c>
      <c r="C11" s="1278"/>
      <c r="D11" s="193"/>
      <c r="E11" s="242">
        <f>D11</f>
        <v>0</v>
      </c>
      <c r="F11" s="242">
        <f t="shared" si="5"/>
        <v>0</v>
      </c>
      <c r="G11" s="242">
        <f t="shared" si="5"/>
        <v>0</v>
      </c>
      <c r="H11" s="242">
        <f t="shared" si="5"/>
        <v>0</v>
      </c>
      <c r="I11" s="242">
        <f t="shared" si="5"/>
        <v>0</v>
      </c>
      <c r="J11" s="242">
        <f t="shared" si="5"/>
        <v>0</v>
      </c>
      <c r="K11" s="242">
        <f t="shared" si="5"/>
        <v>0</v>
      </c>
      <c r="L11" s="242">
        <f t="shared" si="5"/>
        <v>0</v>
      </c>
      <c r="M11" s="242">
        <f t="shared" si="5"/>
        <v>0</v>
      </c>
      <c r="N11" s="242">
        <f t="shared" si="5"/>
        <v>0</v>
      </c>
      <c r="O11" s="242">
        <f t="shared" si="5"/>
        <v>0</v>
      </c>
      <c r="P11" s="3" t="s">
        <v>333</v>
      </c>
      <c r="Q11" s="86"/>
      <c r="R11" s="86"/>
      <c r="S11" s="86"/>
      <c r="T11" s="86"/>
      <c r="U11" s="86"/>
      <c r="V11" s="86"/>
    </row>
    <row r="12" spans="1:22" ht="24" customHeight="1">
      <c r="A12" s="4">
        <f>A11+1</f>
        <v>12</v>
      </c>
      <c r="B12" s="165" t="s">
        <v>255</v>
      </c>
      <c r="C12" s="1278"/>
      <c r="D12" s="194"/>
      <c r="E12" s="243">
        <f t="shared" ref="E12:O20" si="6">D12</f>
        <v>0</v>
      </c>
      <c r="F12" s="243">
        <f t="shared" si="6"/>
        <v>0</v>
      </c>
      <c r="G12" s="243">
        <f t="shared" si="6"/>
        <v>0</v>
      </c>
      <c r="H12" s="243">
        <f t="shared" si="6"/>
        <v>0</v>
      </c>
      <c r="I12" s="243">
        <f t="shared" si="6"/>
        <v>0</v>
      </c>
      <c r="J12" s="243">
        <f t="shared" si="6"/>
        <v>0</v>
      </c>
      <c r="K12" s="243">
        <f t="shared" si="6"/>
        <v>0</v>
      </c>
      <c r="L12" s="243">
        <f t="shared" si="6"/>
        <v>0</v>
      </c>
      <c r="M12" s="243">
        <f t="shared" si="6"/>
        <v>0</v>
      </c>
      <c r="N12" s="243">
        <f t="shared" si="6"/>
        <v>0</v>
      </c>
      <c r="O12" s="243">
        <f t="shared" si="6"/>
        <v>0</v>
      </c>
      <c r="P12" s="3" t="s">
        <v>333</v>
      </c>
      <c r="Q12" s="86"/>
      <c r="R12" s="86"/>
      <c r="S12" s="86"/>
      <c r="T12" s="86"/>
      <c r="U12" s="86"/>
      <c r="V12" s="86"/>
    </row>
    <row r="13" spans="1:22" ht="24" customHeight="1">
      <c r="A13" s="4">
        <f t="shared" si="1"/>
        <v>13</v>
      </c>
      <c r="B13" s="166" t="s">
        <v>255</v>
      </c>
      <c r="C13" s="1278"/>
      <c r="D13" s="195"/>
      <c r="E13" s="244">
        <f t="shared" si="6"/>
        <v>0</v>
      </c>
      <c r="F13" s="244">
        <f t="shared" si="6"/>
        <v>0</v>
      </c>
      <c r="G13" s="244">
        <f t="shared" si="6"/>
        <v>0</v>
      </c>
      <c r="H13" s="244">
        <f t="shared" si="6"/>
        <v>0</v>
      </c>
      <c r="I13" s="244">
        <f t="shared" si="6"/>
        <v>0</v>
      </c>
      <c r="J13" s="244">
        <f t="shared" si="6"/>
        <v>0</v>
      </c>
      <c r="K13" s="244">
        <f t="shared" si="6"/>
        <v>0</v>
      </c>
      <c r="L13" s="244">
        <f t="shared" si="6"/>
        <v>0</v>
      </c>
      <c r="M13" s="244">
        <f t="shared" si="6"/>
        <v>0</v>
      </c>
      <c r="N13" s="244">
        <f t="shared" si="6"/>
        <v>0</v>
      </c>
      <c r="O13" s="244">
        <f t="shared" si="6"/>
        <v>0</v>
      </c>
      <c r="P13" s="3" t="s">
        <v>333</v>
      </c>
      <c r="Q13" s="86"/>
      <c r="R13" s="86"/>
      <c r="S13" s="86"/>
      <c r="T13" s="86"/>
      <c r="U13" s="86"/>
      <c r="V13" s="86"/>
    </row>
    <row r="14" spans="1:22" ht="24" customHeight="1">
      <c r="A14" s="4">
        <f t="shared" si="1"/>
        <v>14</v>
      </c>
      <c r="B14" s="167" t="s">
        <v>188</v>
      </c>
      <c r="C14" s="1278"/>
      <c r="D14" s="196"/>
      <c r="E14" s="245">
        <f t="shared" si="6"/>
        <v>0</v>
      </c>
      <c r="F14" s="245">
        <f t="shared" si="6"/>
        <v>0</v>
      </c>
      <c r="G14" s="245">
        <f t="shared" si="6"/>
        <v>0</v>
      </c>
      <c r="H14" s="245">
        <f t="shared" si="6"/>
        <v>0</v>
      </c>
      <c r="I14" s="245">
        <f t="shared" si="6"/>
        <v>0</v>
      </c>
      <c r="J14" s="245">
        <f t="shared" si="6"/>
        <v>0</v>
      </c>
      <c r="K14" s="245">
        <f t="shared" si="6"/>
        <v>0</v>
      </c>
      <c r="L14" s="245">
        <f t="shared" si="6"/>
        <v>0</v>
      </c>
      <c r="M14" s="245">
        <f t="shared" si="6"/>
        <v>0</v>
      </c>
      <c r="N14" s="245">
        <f t="shared" si="6"/>
        <v>0</v>
      </c>
      <c r="O14" s="245">
        <f t="shared" si="6"/>
        <v>0</v>
      </c>
      <c r="P14" s="3" t="s">
        <v>333</v>
      </c>
      <c r="Q14" s="86"/>
      <c r="R14" s="86"/>
      <c r="S14" s="86"/>
      <c r="T14" s="86"/>
      <c r="U14" s="86"/>
      <c r="V14" s="86"/>
    </row>
    <row r="15" spans="1:22" ht="24" customHeight="1">
      <c r="A15" s="4">
        <f t="shared" si="1"/>
        <v>15</v>
      </c>
      <c r="B15" s="164" t="s">
        <v>189</v>
      </c>
      <c r="C15" s="1278"/>
      <c r="D15" s="367">
        <v>14700</v>
      </c>
      <c r="E15" s="242">
        <f t="shared" si="6"/>
        <v>14700</v>
      </c>
      <c r="F15" s="242">
        <f t="shared" si="6"/>
        <v>14700</v>
      </c>
      <c r="G15" s="242">
        <f t="shared" si="6"/>
        <v>14700</v>
      </c>
      <c r="H15" s="242">
        <f t="shared" si="6"/>
        <v>14700</v>
      </c>
      <c r="I15" s="242">
        <f t="shared" si="6"/>
        <v>14700</v>
      </c>
      <c r="J15" s="242">
        <f t="shared" si="6"/>
        <v>14700</v>
      </c>
      <c r="K15" s="242">
        <f t="shared" si="6"/>
        <v>14700</v>
      </c>
      <c r="L15" s="242">
        <f t="shared" si="6"/>
        <v>14700</v>
      </c>
      <c r="M15" s="242">
        <f t="shared" si="6"/>
        <v>14700</v>
      </c>
      <c r="N15" s="242">
        <f t="shared" si="6"/>
        <v>14700</v>
      </c>
      <c r="O15" s="242">
        <f t="shared" si="6"/>
        <v>14700</v>
      </c>
      <c r="P15" s="3" t="s">
        <v>333</v>
      </c>
      <c r="Q15" s="86"/>
      <c r="R15" s="86"/>
      <c r="S15" s="86"/>
      <c r="T15" s="86"/>
      <c r="U15" s="86"/>
      <c r="V15" s="86"/>
    </row>
    <row r="16" spans="1:22" ht="24" customHeight="1">
      <c r="A16" s="4">
        <f>A15+1</f>
        <v>16</v>
      </c>
      <c r="B16" s="168" t="s">
        <v>336</v>
      </c>
      <c r="C16" s="1278"/>
      <c r="D16" s="192"/>
      <c r="E16" s="243">
        <f t="shared" si="6"/>
        <v>0</v>
      </c>
      <c r="F16" s="243">
        <f t="shared" si="6"/>
        <v>0</v>
      </c>
      <c r="G16" s="243">
        <f t="shared" si="6"/>
        <v>0</v>
      </c>
      <c r="H16" s="243">
        <f t="shared" si="6"/>
        <v>0</v>
      </c>
      <c r="I16" s="243">
        <f t="shared" si="6"/>
        <v>0</v>
      </c>
      <c r="J16" s="243">
        <f t="shared" si="6"/>
        <v>0</v>
      </c>
      <c r="K16" s="243">
        <f t="shared" si="6"/>
        <v>0</v>
      </c>
      <c r="L16" s="243">
        <f t="shared" si="6"/>
        <v>0</v>
      </c>
      <c r="M16" s="243">
        <f t="shared" si="6"/>
        <v>0</v>
      </c>
      <c r="N16" s="243">
        <f t="shared" si="6"/>
        <v>0</v>
      </c>
      <c r="O16" s="243">
        <f t="shared" si="6"/>
        <v>0</v>
      </c>
      <c r="P16" s="3" t="s">
        <v>333</v>
      </c>
      <c r="Q16" s="86"/>
      <c r="R16" s="86"/>
      <c r="S16" s="86"/>
      <c r="T16" s="86"/>
      <c r="U16" s="86"/>
      <c r="V16" s="86"/>
    </row>
    <row r="17" spans="1:22" ht="24" customHeight="1">
      <c r="A17" s="73">
        <f>A16+1</f>
        <v>17</v>
      </c>
      <c r="B17" s="362" t="s">
        <v>335</v>
      </c>
      <c r="C17" s="1278"/>
      <c r="D17" s="193"/>
      <c r="E17" s="363">
        <f t="shared" si="6"/>
        <v>0</v>
      </c>
      <c r="F17" s="363">
        <f t="shared" si="6"/>
        <v>0</v>
      </c>
      <c r="G17" s="363">
        <f t="shared" si="6"/>
        <v>0</v>
      </c>
      <c r="H17" s="363">
        <f t="shared" si="6"/>
        <v>0</v>
      </c>
      <c r="I17" s="363">
        <f t="shared" si="6"/>
        <v>0</v>
      </c>
      <c r="J17" s="363">
        <f t="shared" si="6"/>
        <v>0</v>
      </c>
      <c r="K17" s="363">
        <f t="shared" si="6"/>
        <v>0</v>
      </c>
      <c r="L17" s="363">
        <f t="shared" si="6"/>
        <v>0</v>
      </c>
      <c r="M17" s="363">
        <f t="shared" si="6"/>
        <v>0</v>
      </c>
      <c r="N17" s="363">
        <f t="shared" si="6"/>
        <v>0</v>
      </c>
      <c r="O17" s="363">
        <f t="shared" si="6"/>
        <v>0</v>
      </c>
      <c r="P17" s="6" t="s">
        <v>338</v>
      </c>
      <c r="Q17" s="86"/>
      <c r="R17" s="86"/>
      <c r="S17" s="86"/>
      <c r="T17" s="86"/>
      <c r="U17" s="86"/>
      <c r="V17" s="86"/>
    </row>
    <row r="18" spans="1:22" ht="24" customHeight="1">
      <c r="A18" s="4">
        <f>A17+1</f>
        <v>18</v>
      </c>
      <c r="B18" s="166" t="s">
        <v>204</v>
      </c>
      <c r="C18" s="1278"/>
      <c r="D18" s="197"/>
      <c r="E18" s="246">
        <f t="shared" si="6"/>
        <v>0</v>
      </c>
      <c r="F18" s="246">
        <f t="shared" si="6"/>
        <v>0</v>
      </c>
      <c r="G18" s="246">
        <f t="shared" si="6"/>
        <v>0</v>
      </c>
      <c r="H18" s="246">
        <f t="shared" si="6"/>
        <v>0</v>
      </c>
      <c r="I18" s="246">
        <f t="shared" si="6"/>
        <v>0</v>
      </c>
      <c r="J18" s="246">
        <f t="shared" si="6"/>
        <v>0</v>
      </c>
      <c r="K18" s="246">
        <f t="shared" si="6"/>
        <v>0</v>
      </c>
      <c r="L18" s="246">
        <f t="shared" si="6"/>
        <v>0</v>
      </c>
      <c r="M18" s="246">
        <f t="shared" si="6"/>
        <v>0</v>
      </c>
      <c r="N18" s="246">
        <f t="shared" si="6"/>
        <v>0</v>
      </c>
      <c r="O18" s="246">
        <f t="shared" si="6"/>
        <v>0</v>
      </c>
      <c r="P18" s="6" t="s">
        <v>337</v>
      </c>
      <c r="Q18" s="86"/>
      <c r="R18" s="86"/>
      <c r="S18" s="86"/>
      <c r="T18" s="86"/>
      <c r="U18" s="86"/>
      <c r="V18" s="86"/>
    </row>
    <row r="19" spans="1:22" ht="24" customHeight="1">
      <c r="A19" s="4">
        <f t="shared" si="1"/>
        <v>19</v>
      </c>
      <c r="B19" s="169" t="s">
        <v>205</v>
      </c>
      <c r="C19" s="1278"/>
      <c r="D19" s="198" t="s">
        <v>223</v>
      </c>
      <c r="E19" s="247" t="str">
        <f>D19</f>
        <v>NEJ</v>
      </c>
      <c r="F19" s="247" t="str">
        <f t="shared" si="6"/>
        <v>NEJ</v>
      </c>
      <c r="G19" s="247" t="str">
        <f t="shared" si="6"/>
        <v>NEJ</v>
      </c>
      <c r="H19" s="247" t="str">
        <f t="shared" si="6"/>
        <v>NEJ</v>
      </c>
      <c r="I19" s="247" t="str">
        <f t="shared" si="6"/>
        <v>NEJ</v>
      </c>
      <c r="J19" s="247" t="str">
        <f t="shared" si="6"/>
        <v>NEJ</v>
      </c>
      <c r="K19" s="247" t="str">
        <f t="shared" si="6"/>
        <v>NEJ</v>
      </c>
      <c r="L19" s="247" t="str">
        <f t="shared" si="6"/>
        <v>NEJ</v>
      </c>
      <c r="M19" s="247" t="str">
        <f t="shared" si="6"/>
        <v>NEJ</v>
      </c>
      <c r="N19" s="247" t="str">
        <f t="shared" si="6"/>
        <v>NEJ</v>
      </c>
      <c r="O19" s="247" t="str">
        <f t="shared" si="6"/>
        <v>NEJ</v>
      </c>
      <c r="P19" s="6" t="s">
        <v>187</v>
      </c>
      <c r="Q19" s="86"/>
      <c r="R19" s="86"/>
      <c r="S19" s="86"/>
      <c r="T19" s="86"/>
      <c r="U19" s="86"/>
      <c r="V19" s="86"/>
    </row>
    <row r="20" spans="1:22" ht="14" customHeight="1">
      <c r="A20" s="4">
        <f t="shared" si="1"/>
        <v>20</v>
      </c>
      <c r="B20" s="170" t="s">
        <v>251</v>
      </c>
      <c r="C20" s="1278"/>
      <c r="D20" s="199"/>
      <c r="E20" s="248">
        <f>D20</f>
        <v>0</v>
      </c>
      <c r="F20" s="248">
        <f t="shared" si="6"/>
        <v>0</v>
      </c>
      <c r="G20" s="248">
        <f t="shared" si="6"/>
        <v>0</v>
      </c>
      <c r="H20" s="248">
        <f t="shared" si="6"/>
        <v>0</v>
      </c>
      <c r="I20" s="248">
        <f t="shared" si="6"/>
        <v>0</v>
      </c>
      <c r="J20" s="248">
        <f t="shared" si="6"/>
        <v>0</v>
      </c>
      <c r="K20" s="248">
        <f t="shared" si="6"/>
        <v>0</v>
      </c>
      <c r="L20" s="248">
        <f>K20</f>
        <v>0</v>
      </c>
      <c r="M20" s="248">
        <f t="shared" si="6"/>
        <v>0</v>
      </c>
      <c r="N20" s="248">
        <f t="shared" si="6"/>
        <v>0</v>
      </c>
      <c r="O20" s="248">
        <f t="shared" si="6"/>
        <v>0</v>
      </c>
      <c r="P20" s="140" t="s">
        <v>153</v>
      </c>
      <c r="Q20" s="86"/>
      <c r="R20" s="86"/>
      <c r="S20" s="86"/>
      <c r="T20" s="86"/>
      <c r="U20" s="86"/>
      <c r="V20" s="86"/>
    </row>
    <row r="21" spans="1:22" ht="14" customHeight="1">
      <c r="A21" s="4">
        <f t="shared" si="1"/>
        <v>21</v>
      </c>
      <c r="B21" s="171" t="s">
        <v>218</v>
      </c>
      <c r="C21" s="1278"/>
      <c r="D21" s="200">
        <v>5</v>
      </c>
      <c r="E21" s="144"/>
      <c r="F21" s="144"/>
      <c r="G21" s="144"/>
      <c r="H21" s="144"/>
      <c r="I21" s="144"/>
      <c r="J21" s="144"/>
      <c r="K21" s="144"/>
      <c r="L21" s="144"/>
      <c r="M21" s="144">
        <v>9.9999999999999995E-8</v>
      </c>
      <c r="N21" s="144"/>
      <c r="O21" s="144">
        <v>20</v>
      </c>
      <c r="P21" s="3" t="s">
        <v>219</v>
      </c>
      <c r="Q21" s="86"/>
      <c r="R21" s="86"/>
      <c r="S21" s="86"/>
      <c r="T21" s="86"/>
      <c r="U21" s="86"/>
      <c r="V21" s="86"/>
    </row>
    <row r="22" spans="1:22" ht="27" customHeight="1">
      <c r="A22" s="4">
        <f t="shared" si="1"/>
        <v>22</v>
      </c>
      <c r="B22" s="127" t="s">
        <v>224</v>
      </c>
      <c r="C22" s="1278"/>
      <c r="D22" s="201">
        <v>0</v>
      </c>
      <c r="E22" s="145"/>
      <c r="F22" s="145"/>
      <c r="G22" s="145"/>
      <c r="H22" s="145"/>
      <c r="I22" s="145"/>
      <c r="J22" s="145"/>
      <c r="K22" s="145"/>
      <c r="L22" s="145"/>
      <c r="M22" s="145"/>
      <c r="N22" s="145"/>
      <c r="O22" s="145">
        <v>0</v>
      </c>
      <c r="P22" s="3" t="s">
        <v>342</v>
      </c>
      <c r="Q22" s="86"/>
      <c r="R22" s="86"/>
      <c r="S22" s="86"/>
      <c r="T22" s="86"/>
      <c r="U22" s="86"/>
      <c r="V22" s="86"/>
    </row>
    <row r="23" spans="1:22" ht="14" customHeight="1">
      <c r="A23" s="4">
        <f t="shared" si="1"/>
        <v>23</v>
      </c>
      <c r="B23" s="172" t="s">
        <v>318</v>
      </c>
      <c r="C23" s="1279"/>
      <c r="D23" s="202">
        <f>Ex12_13!O24</f>
        <v>0.69414999999999993</v>
      </c>
      <c r="E23" s="249">
        <f t="shared" ref="E23:L23" si="7">D23</f>
        <v>0.69414999999999993</v>
      </c>
      <c r="F23" s="249">
        <f t="shared" si="7"/>
        <v>0.69414999999999993</v>
      </c>
      <c r="G23" s="249">
        <f t="shared" si="7"/>
        <v>0.69414999999999993</v>
      </c>
      <c r="H23" s="249">
        <f t="shared" si="7"/>
        <v>0.69414999999999993</v>
      </c>
      <c r="I23" s="249">
        <f t="shared" si="7"/>
        <v>0.69414999999999993</v>
      </c>
      <c r="J23" s="249">
        <f t="shared" si="7"/>
        <v>0.69414999999999993</v>
      </c>
      <c r="K23" s="249">
        <f t="shared" si="7"/>
        <v>0.69414999999999993</v>
      </c>
      <c r="L23" s="249">
        <f t="shared" si="7"/>
        <v>0.69414999999999993</v>
      </c>
      <c r="M23" s="158"/>
      <c r="N23" s="146"/>
      <c r="O23" s="146"/>
      <c r="P23" s="142" t="s">
        <v>254</v>
      </c>
      <c r="Q23" s="86"/>
      <c r="R23" s="86"/>
      <c r="S23" s="86"/>
      <c r="T23" s="86"/>
      <c r="U23" s="86"/>
      <c r="V23" s="86"/>
    </row>
    <row r="24" spans="1:22" ht="14" customHeight="1">
      <c r="A24" s="4">
        <f t="shared" si="1"/>
        <v>24</v>
      </c>
      <c r="B24" s="173" t="s">
        <v>341</v>
      </c>
      <c r="C24" s="1279"/>
      <c r="D24" s="135" t="s">
        <v>208</v>
      </c>
      <c r="E24" s="147"/>
      <c r="F24" s="147"/>
      <c r="G24" s="147"/>
      <c r="H24" s="147"/>
      <c r="I24" s="147"/>
      <c r="J24" s="147"/>
      <c r="K24" s="147"/>
      <c r="L24" s="159"/>
      <c r="M24" s="366">
        <f>ROUND((7*0.74+5*0.8)/12,2)</f>
        <v>0.77</v>
      </c>
      <c r="N24" s="250">
        <f>M24</f>
        <v>0.77</v>
      </c>
      <c r="O24" s="250">
        <f>N24</f>
        <v>0.77</v>
      </c>
      <c r="P24" s="139" t="s">
        <v>253</v>
      </c>
      <c r="Q24" s="86"/>
      <c r="R24" s="86"/>
      <c r="S24" s="86"/>
      <c r="T24" s="86"/>
      <c r="U24" s="86"/>
      <c r="V24" s="86"/>
    </row>
    <row r="25" spans="1:22" ht="14" customHeight="1">
      <c r="A25" s="4">
        <f t="shared" si="1"/>
        <v>25</v>
      </c>
      <c r="B25" s="174" t="s">
        <v>198</v>
      </c>
      <c r="C25" s="1279"/>
      <c r="D25" s="203"/>
      <c r="E25" s="121"/>
      <c r="F25" s="121"/>
      <c r="G25" s="121"/>
      <c r="H25" s="121"/>
      <c r="I25" s="121"/>
      <c r="J25" s="121"/>
      <c r="K25" s="121"/>
      <c r="L25" s="121"/>
      <c r="M25" s="121"/>
      <c r="N25" s="121"/>
      <c r="O25" s="121"/>
      <c r="P25" s="140" t="s">
        <v>248</v>
      </c>
      <c r="Q25" s="86"/>
      <c r="R25" s="86"/>
      <c r="S25" s="86"/>
      <c r="T25" s="86"/>
      <c r="U25" s="86"/>
      <c r="V25" s="86"/>
    </row>
    <row r="26" spans="1:22" ht="14" customHeight="1">
      <c r="A26" s="4">
        <f t="shared" si="1"/>
        <v>26</v>
      </c>
      <c r="B26" s="175" t="s">
        <v>199</v>
      </c>
      <c r="C26" s="1279"/>
      <c r="D26" s="204">
        <f>Ex12_13!O26</f>
        <v>40</v>
      </c>
      <c r="E26" s="251">
        <f>D26</f>
        <v>40</v>
      </c>
      <c r="F26" s="251">
        <f t="shared" ref="F26:O27" si="8">E26</f>
        <v>40</v>
      </c>
      <c r="G26" s="251">
        <f t="shared" si="8"/>
        <v>40</v>
      </c>
      <c r="H26" s="251">
        <f t="shared" si="8"/>
        <v>40</v>
      </c>
      <c r="I26" s="251">
        <f t="shared" si="8"/>
        <v>40</v>
      </c>
      <c r="J26" s="251">
        <f t="shared" si="8"/>
        <v>40</v>
      </c>
      <c r="K26" s="251">
        <f t="shared" si="8"/>
        <v>40</v>
      </c>
      <c r="L26" s="251">
        <f t="shared" si="8"/>
        <v>40</v>
      </c>
      <c r="M26" s="251">
        <f t="shared" si="8"/>
        <v>40</v>
      </c>
      <c r="N26" s="251">
        <f t="shared" si="8"/>
        <v>40</v>
      </c>
      <c r="O26" s="251">
        <f t="shared" si="8"/>
        <v>40</v>
      </c>
      <c r="P26" s="3" t="s">
        <v>17</v>
      </c>
      <c r="Q26" s="86"/>
      <c r="R26" s="86"/>
      <c r="S26" s="86"/>
      <c r="T26" s="86"/>
      <c r="U26" s="86"/>
      <c r="V26" s="86"/>
    </row>
    <row r="27" spans="1:22" ht="14" customHeight="1">
      <c r="A27" s="4">
        <f t="shared" si="1"/>
        <v>27</v>
      </c>
      <c r="B27" s="174" t="s">
        <v>200</v>
      </c>
      <c r="C27" s="1279"/>
      <c r="D27" s="205">
        <f>Ex12_13!O27</f>
        <v>5500</v>
      </c>
      <c r="E27" s="252">
        <f>D27</f>
        <v>5500</v>
      </c>
      <c r="F27" s="252">
        <f t="shared" si="8"/>
        <v>5500</v>
      </c>
      <c r="G27" s="252">
        <f t="shared" si="8"/>
        <v>5500</v>
      </c>
      <c r="H27" s="252">
        <f t="shared" si="8"/>
        <v>5500</v>
      </c>
      <c r="I27" s="252">
        <f t="shared" si="8"/>
        <v>5500</v>
      </c>
      <c r="J27" s="252">
        <f t="shared" si="8"/>
        <v>5500</v>
      </c>
      <c r="K27" s="252">
        <f t="shared" si="8"/>
        <v>5500</v>
      </c>
      <c r="L27" s="252">
        <f>K27</f>
        <v>5500</v>
      </c>
      <c r="M27" s="252">
        <f>L27</f>
        <v>5500</v>
      </c>
      <c r="N27" s="252">
        <f t="shared" si="8"/>
        <v>5500</v>
      </c>
      <c r="O27" s="252">
        <f t="shared" si="8"/>
        <v>5500</v>
      </c>
      <c r="P27" s="140"/>
      <c r="Q27" s="86"/>
      <c r="R27" s="86"/>
      <c r="S27" s="86"/>
      <c r="T27" s="86"/>
      <c r="U27" s="86"/>
      <c r="V27" s="86"/>
    </row>
    <row r="28" spans="1:22" ht="14">
      <c r="A28" s="4">
        <f t="shared" si="1"/>
        <v>28</v>
      </c>
      <c r="B28" s="176" t="s">
        <v>142</v>
      </c>
      <c r="C28" s="1279"/>
      <c r="D28" s="226"/>
      <c r="E28" s="227"/>
      <c r="F28" s="227"/>
      <c r="G28" s="227"/>
      <c r="H28" s="227"/>
      <c r="I28" s="227"/>
      <c r="J28" s="227"/>
      <c r="K28" s="227"/>
      <c r="L28" s="227"/>
      <c r="M28" s="227"/>
      <c r="N28" s="227"/>
      <c r="O28" s="227"/>
      <c r="P28" s="6" t="s">
        <v>266</v>
      </c>
      <c r="Q28" s="86"/>
      <c r="R28" s="86"/>
      <c r="S28" s="86"/>
      <c r="T28" s="86"/>
      <c r="U28" s="86"/>
      <c r="V28" s="86"/>
    </row>
    <row r="29" spans="1:22" ht="14">
      <c r="A29" s="4">
        <f t="shared" si="1"/>
        <v>29</v>
      </c>
      <c r="B29" s="177" t="s">
        <v>152</v>
      </c>
      <c r="C29" s="1279"/>
      <c r="D29" s="228"/>
      <c r="E29" s="229"/>
      <c r="F29" s="229"/>
      <c r="G29" s="229"/>
      <c r="H29" s="229"/>
      <c r="I29" s="229"/>
      <c r="J29" s="229"/>
      <c r="K29" s="229"/>
      <c r="L29" s="229"/>
      <c r="M29" s="229"/>
      <c r="N29" s="229"/>
      <c r="O29" s="229"/>
      <c r="P29" s="6" t="s">
        <v>266</v>
      </c>
      <c r="Q29" s="86"/>
      <c r="R29" s="86"/>
      <c r="S29" s="86"/>
      <c r="T29" s="86"/>
      <c r="U29" s="86"/>
      <c r="V29" s="86"/>
    </row>
    <row r="30" spans="1:22" ht="14">
      <c r="A30" s="4">
        <f t="shared" si="1"/>
        <v>30</v>
      </c>
      <c r="B30" s="177" t="s">
        <v>143</v>
      </c>
      <c r="C30" s="1279"/>
      <c r="D30" s="228"/>
      <c r="E30" s="229"/>
      <c r="F30" s="229"/>
      <c r="G30" s="229"/>
      <c r="H30" s="229"/>
      <c r="I30" s="229"/>
      <c r="J30" s="229"/>
      <c r="K30" s="229"/>
      <c r="L30" s="229"/>
      <c r="M30" s="229"/>
      <c r="N30" s="229"/>
      <c r="O30" s="229"/>
      <c r="P30" s="6" t="s">
        <v>266</v>
      </c>
      <c r="Q30" s="86"/>
      <c r="R30" s="86"/>
      <c r="S30" s="86"/>
      <c r="T30" s="86"/>
      <c r="U30" s="86"/>
      <c r="V30" s="86"/>
    </row>
    <row r="31" spans="1:22" ht="14">
      <c r="A31" s="4">
        <f t="shared" si="1"/>
        <v>31</v>
      </c>
      <c r="B31" s="177" t="s">
        <v>128</v>
      </c>
      <c r="C31" s="1279"/>
      <c r="D31" s="228"/>
      <c r="E31" s="229"/>
      <c r="F31" s="229"/>
      <c r="G31" s="229"/>
      <c r="H31" s="229"/>
      <c r="I31" s="229"/>
      <c r="J31" s="229"/>
      <c r="K31" s="229"/>
      <c r="L31" s="229"/>
      <c r="M31" s="229"/>
      <c r="N31" s="229"/>
      <c r="O31" s="229"/>
      <c r="P31" s="6" t="s">
        <v>266</v>
      </c>
      <c r="Q31" s="86"/>
      <c r="R31" s="86"/>
      <c r="S31" s="86"/>
      <c r="T31" s="86"/>
      <c r="U31" s="86"/>
      <c r="V31" s="86"/>
    </row>
    <row r="32" spans="1:22">
      <c r="A32" s="4">
        <f t="shared" si="1"/>
        <v>32</v>
      </c>
      <c r="B32" s="177" t="s">
        <v>201</v>
      </c>
      <c r="C32" s="1279"/>
      <c r="D32" s="228"/>
      <c r="E32" s="229"/>
      <c r="F32" s="229"/>
      <c r="G32" s="229"/>
      <c r="H32" s="229"/>
      <c r="I32" s="229"/>
      <c r="J32" s="229"/>
      <c r="K32" s="229"/>
      <c r="L32" s="229"/>
      <c r="M32" s="229"/>
      <c r="N32" s="229"/>
      <c r="O32" s="229"/>
      <c r="P32" s="3" t="s">
        <v>266</v>
      </c>
      <c r="Q32" s="86"/>
      <c r="R32" s="86"/>
      <c r="S32" s="86"/>
      <c r="T32" s="86"/>
      <c r="U32" s="86"/>
      <c r="V32" s="86"/>
    </row>
    <row r="33" spans="1:22" ht="14">
      <c r="A33" s="4">
        <f t="shared" si="1"/>
        <v>33</v>
      </c>
      <c r="B33" s="177" t="s">
        <v>144</v>
      </c>
      <c r="C33" s="1279"/>
      <c r="D33" s="228"/>
      <c r="E33" s="229"/>
      <c r="F33" s="229"/>
      <c r="G33" s="229"/>
      <c r="H33" s="229"/>
      <c r="I33" s="229"/>
      <c r="J33" s="229"/>
      <c r="K33" s="229"/>
      <c r="L33" s="229"/>
      <c r="M33" s="229"/>
      <c r="N33" s="229"/>
      <c r="O33" s="229"/>
      <c r="P33" s="6" t="s">
        <v>76</v>
      </c>
      <c r="Q33" s="86"/>
      <c r="R33" s="86"/>
      <c r="S33" s="86"/>
      <c r="T33" s="86"/>
      <c r="U33" s="86"/>
      <c r="V33" s="86"/>
    </row>
    <row r="34" spans="1:22" ht="14">
      <c r="A34" s="4">
        <f t="shared" si="1"/>
        <v>34</v>
      </c>
      <c r="B34" s="177" t="s">
        <v>146</v>
      </c>
      <c r="C34" s="1279"/>
      <c r="D34" s="228"/>
      <c r="E34" s="229"/>
      <c r="F34" s="229"/>
      <c r="G34" s="229"/>
      <c r="H34" s="229"/>
      <c r="I34" s="229"/>
      <c r="J34" s="229"/>
      <c r="K34" s="229"/>
      <c r="L34" s="229"/>
      <c r="M34" s="229"/>
      <c r="N34" s="229"/>
      <c r="O34" s="229"/>
      <c r="P34" s="6" t="s">
        <v>69</v>
      </c>
      <c r="Q34" s="86"/>
      <c r="R34" s="86"/>
      <c r="S34" s="86"/>
      <c r="T34" s="86"/>
      <c r="U34" s="86"/>
      <c r="V34" s="86"/>
    </row>
    <row r="35" spans="1:22" ht="14">
      <c r="A35" s="4">
        <f t="shared" si="1"/>
        <v>35</v>
      </c>
      <c r="B35" s="177" t="s">
        <v>145</v>
      </c>
      <c r="C35" s="1279"/>
      <c r="D35" s="228"/>
      <c r="E35" s="229"/>
      <c r="F35" s="229"/>
      <c r="G35" s="229"/>
      <c r="H35" s="229"/>
      <c r="I35" s="229"/>
      <c r="J35" s="229"/>
      <c r="K35" s="229"/>
      <c r="L35" s="229"/>
      <c r="M35" s="229"/>
      <c r="N35" s="229"/>
      <c r="O35" s="229"/>
      <c r="P35" s="6" t="s">
        <v>69</v>
      </c>
      <c r="Q35" s="86"/>
      <c r="R35" s="86"/>
      <c r="S35" s="86"/>
      <c r="T35" s="86"/>
      <c r="U35" s="86"/>
      <c r="V35" s="86"/>
    </row>
    <row r="36" spans="1:22" ht="14">
      <c r="A36" s="4">
        <f t="shared" si="1"/>
        <v>36</v>
      </c>
      <c r="B36" s="177" t="s">
        <v>147</v>
      </c>
      <c r="C36" s="1279"/>
      <c r="D36" s="228"/>
      <c r="E36" s="229"/>
      <c r="F36" s="229"/>
      <c r="G36" s="229"/>
      <c r="H36" s="229"/>
      <c r="I36" s="229"/>
      <c r="J36" s="229"/>
      <c r="K36" s="229"/>
      <c r="L36" s="229"/>
      <c r="M36" s="229"/>
      <c r="N36" s="229"/>
      <c r="O36" s="229"/>
      <c r="P36" s="6" t="s">
        <v>324</v>
      </c>
      <c r="Q36" s="86"/>
      <c r="R36" s="86"/>
      <c r="S36" s="86"/>
      <c r="T36" s="86"/>
      <c r="U36" s="86"/>
      <c r="V36" s="86"/>
    </row>
    <row r="37" spans="1:22" ht="14">
      <c r="A37" s="4">
        <f t="shared" si="1"/>
        <v>37</v>
      </c>
      <c r="B37" s="177" t="s">
        <v>206</v>
      </c>
      <c r="C37" s="1279"/>
      <c r="D37" s="230" t="s">
        <v>316</v>
      </c>
      <c r="E37" s="231"/>
      <c r="F37" s="231"/>
      <c r="G37" s="231"/>
      <c r="H37" s="231"/>
      <c r="I37" s="231"/>
      <c r="J37" s="231"/>
      <c r="K37" s="231"/>
      <c r="L37" s="231"/>
      <c r="M37" s="253">
        <f>IF(M21&gt;0,ROUND(1.5%*P88,2),0)</f>
        <v>3545.46</v>
      </c>
      <c r="N37" s="253">
        <f>IF(AND(N21&gt;0,M37=0),ROUND(1.5%*P88,2),0)</f>
        <v>0</v>
      </c>
      <c r="O37" s="253">
        <f>IF(AND(O21&gt;0,SUM(M37:N37)=0),ROUND(1.5%*P88,2),0)</f>
        <v>0</v>
      </c>
      <c r="P37" s="6" t="s">
        <v>246</v>
      </c>
      <c r="Q37" s="86"/>
      <c r="R37" s="86"/>
      <c r="S37" s="86"/>
      <c r="T37" s="86"/>
      <c r="U37" s="86"/>
      <c r="V37" s="86"/>
    </row>
    <row r="38" spans="1:22">
      <c r="A38" s="4">
        <f t="shared" si="1"/>
        <v>38</v>
      </c>
      <c r="B38" s="178" t="s">
        <v>133</v>
      </c>
      <c r="C38" s="1279"/>
      <c r="D38" s="228"/>
      <c r="E38" s="229"/>
      <c r="F38" s="229"/>
      <c r="G38" s="229"/>
      <c r="H38" s="229"/>
      <c r="I38" s="229"/>
      <c r="J38" s="229"/>
      <c r="K38" s="229"/>
      <c r="L38" s="229"/>
      <c r="M38" s="229"/>
      <c r="N38" s="229"/>
      <c r="O38" s="229"/>
      <c r="P38" s="85"/>
      <c r="Q38" s="86"/>
      <c r="R38" s="86"/>
      <c r="S38" s="86"/>
      <c r="T38" s="86"/>
      <c r="U38" s="86"/>
      <c r="V38" s="86"/>
    </row>
    <row r="39" spans="1:22">
      <c r="A39" s="4">
        <f t="shared" si="1"/>
        <v>39</v>
      </c>
      <c r="B39" s="178" t="s">
        <v>148</v>
      </c>
      <c r="C39" s="1279"/>
      <c r="D39" s="228"/>
      <c r="E39" s="229"/>
      <c r="F39" s="229"/>
      <c r="G39" s="229"/>
      <c r="H39" s="229"/>
      <c r="I39" s="229"/>
      <c r="J39" s="229"/>
      <c r="K39" s="229"/>
      <c r="L39" s="229"/>
      <c r="M39" s="229"/>
      <c r="N39" s="229"/>
      <c r="O39" s="229"/>
      <c r="P39" s="85"/>
      <c r="Q39" s="86"/>
      <c r="R39" s="86"/>
      <c r="S39" s="86"/>
      <c r="T39" s="86"/>
      <c r="U39" s="86"/>
      <c r="V39" s="86"/>
    </row>
    <row r="40" spans="1:22">
      <c r="A40" s="4">
        <f t="shared" si="1"/>
        <v>40</v>
      </c>
      <c r="B40" s="178" t="s">
        <v>131</v>
      </c>
      <c r="C40" s="1279"/>
      <c r="D40" s="228"/>
      <c r="E40" s="229"/>
      <c r="F40" s="229"/>
      <c r="G40" s="229"/>
      <c r="H40" s="229"/>
      <c r="I40" s="229"/>
      <c r="J40" s="229"/>
      <c r="K40" s="229"/>
      <c r="L40" s="229"/>
      <c r="M40" s="229"/>
      <c r="N40" s="229"/>
      <c r="O40" s="229"/>
      <c r="P40" s="85"/>
      <c r="Q40" s="86"/>
      <c r="R40" s="86"/>
      <c r="S40" s="86"/>
      <c r="T40" s="86"/>
      <c r="U40" s="86"/>
      <c r="V40" s="86"/>
    </row>
    <row r="41" spans="1:22">
      <c r="A41" s="4">
        <f t="shared" si="1"/>
        <v>41</v>
      </c>
      <c r="B41" s="178" t="s">
        <v>134</v>
      </c>
      <c r="C41" s="1279"/>
      <c r="D41" s="228"/>
      <c r="E41" s="229"/>
      <c r="F41" s="229"/>
      <c r="G41" s="229"/>
      <c r="H41" s="229"/>
      <c r="I41" s="229"/>
      <c r="J41" s="229"/>
      <c r="K41" s="229"/>
      <c r="L41" s="229"/>
      <c r="M41" s="229"/>
      <c r="N41" s="229"/>
      <c r="O41" s="229"/>
      <c r="P41" s="85"/>
      <c r="Q41" s="86"/>
      <c r="R41" s="86"/>
      <c r="S41" s="86"/>
      <c r="T41" s="86"/>
      <c r="U41" s="86"/>
      <c r="V41" s="86"/>
    </row>
    <row r="42" spans="1:22">
      <c r="A42" s="4">
        <f t="shared" si="1"/>
        <v>42</v>
      </c>
      <c r="B42" s="179" t="s">
        <v>129</v>
      </c>
      <c r="C42" s="1280"/>
      <c r="D42" s="232"/>
      <c r="E42" s="233"/>
      <c r="F42" s="233"/>
      <c r="G42" s="233"/>
      <c r="H42" s="233"/>
      <c r="I42" s="233"/>
      <c r="J42" s="233"/>
      <c r="K42" s="233"/>
      <c r="L42" s="233"/>
      <c r="M42" s="233"/>
      <c r="N42" s="233"/>
      <c r="O42" s="233"/>
      <c r="P42" s="141"/>
      <c r="Q42" s="86"/>
      <c r="R42" s="86"/>
      <c r="S42" s="86"/>
      <c r="T42" s="86"/>
      <c r="U42" s="86"/>
      <c r="V42" s="86"/>
    </row>
    <row r="43" spans="1:22" ht="32" customHeight="1">
      <c r="A43" s="22">
        <f t="shared" si="1"/>
        <v>43</v>
      </c>
      <c r="B43" s="180" t="s">
        <v>214</v>
      </c>
      <c r="C43" s="76" t="str">
        <f t="shared" ref="C43:O43" si="9">C2</f>
        <v>jan-jul</v>
      </c>
      <c r="D43" s="206" t="str">
        <f t="shared" si="9"/>
        <v>AUG 13</v>
      </c>
      <c r="E43" s="76" t="str">
        <f t="shared" si="9"/>
        <v>SEP13</v>
      </c>
      <c r="F43" s="76" t="str">
        <f t="shared" si="9"/>
        <v>OKT 13</v>
      </c>
      <c r="G43" s="76" t="str">
        <f t="shared" si="9"/>
        <v>NOV 13</v>
      </c>
      <c r="H43" s="76" t="str">
        <f t="shared" si="9"/>
        <v>DEC 13</v>
      </c>
      <c r="I43" s="76" t="str">
        <f t="shared" si="9"/>
        <v>JAN 14</v>
      </c>
      <c r="J43" s="76" t="str">
        <f t="shared" si="9"/>
        <v>FEB 14</v>
      </c>
      <c r="K43" s="76" t="str">
        <f t="shared" si="9"/>
        <v>MAR 14</v>
      </c>
      <c r="L43" s="76" t="str">
        <f t="shared" si="9"/>
        <v>APR 14</v>
      </c>
      <c r="M43" s="76" t="str">
        <f t="shared" si="9"/>
        <v>MAJ14</v>
      </c>
      <c r="N43" s="76" t="str">
        <f t="shared" si="9"/>
        <v>JUN 14</v>
      </c>
      <c r="O43" s="76" t="str">
        <f t="shared" si="9"/>
        <v>JUL 14</v>
      </c>
      <c r="P43" s="80" t="s">
        <v>111</v>
      </c>
      <c r="Q43" s="86"/>
      <c r="R43" s="86"/>
      <c r="S43" s="86"/>
      <c r="T43" s="86"/>
      <c r="U43" s="86"/>
      <c r="V43" s="86"/>
    </row>
    <row r="44" spans="1:22">
      <c r="A44" s="22">
        <f t="shared" si="1"/>
        <v>44</v>
      </c>
      <c r="B44" s="154" t="s">
        <v>85</v>
      </c>
      <c r="C44" s="220"/>
      <c r="D44" s="103">
        <f t="shared" ref="D44:O44" si="10">ROUND(IF(D8&gt;0,ROUND((ROUND(VLOOKUP(D4,basistabel12,2,0)*D6,0))/12,2),0)*D8*D3,2)</f>
        <v>18889.46</v>
      </c>
      <c r="E44" s="103">
        <f t="shared" si="10"/>
        <v>18889.46</v>
      </c>
      <c r="F44" s="103">
        <f t="shared" si="10"/>
        <v>18889.46</v>
      </c>
      <c r="G44" s="103">
        <f t="shared" si="10"/>
        <v>18889.46</v>
      </c>
      <c r="H44" s="103">
        <f t="shared" si="10"/>
        <v>18889.46</v>
      </c>
      <c r="I44" s="103">
        <f t="shared" si="10"/>
        <v>18889.46</v>
      </c>
      <c r="J44" s="103">
        <f t="shared" si="10"/>
        <v>18889.46</v>
      </c>
      <c r="K44" s="103">
        <f t="shared" si="10"/>
        <v>18889.46</v>
      </c>
      <c r="L44" s="103">
        <f t="shared" si="10"/>
        <v>20324.54</v>
      </c>
      <c r="M44" s="103">
        <f t="shared" si="10"/>
        <v>20324.54</v>
      </c>
      <c r="N44" s="103">
        <f t="shared" si="10"/>
        <v>20324.54</v>
      </c>
      <c r="O44" s="103">
        <f t="shared" si="10"/>
        <v>20324.54</v>
      </c>
      <c r="P44" s="117">
        <f t="shared" ref="P44:P81" si="11">SUM(D44:O44)</f>
        <v>232413.84</v>
      </c>
      <c r="Q44" s="86"/>
      <c r="R44" s="86"/>
      <c r="S44" s="86"/>
      <c r="T44" s="86"/>
      <c r="U44" s="86"/>
      <c r="V44" s="86"/>
    </row>
    <row r="45" spans="1:22">
      <c r="A45" s="22">
        <f>A44+1</f>
        <v>45</v>
      </c>
      <c r="B45" s="155" t="s">
        <v>86</v>
      </c>
      <c r="C45" s="220"/>
      <c r="D45" s="105">
        <f t="shared" ref="D45:L45" si="12">ROUND(IF(D8&gt;0,ROUND((VLOOKUP(D4,omraadetabel12,D7,0))/12,2),0)*D8*D3,2)</f>
        <v>260</v>
      </c>
      <c r="E45" s="105">
        <f t="shared" si="12"/>
        <v>260</v>
      </c>
      <c r="F45" s="105">
        <f t="shared" si="12"/>
        <v>260</v>
      </c>
      <c r="G45" s="105">
        <f t="shared" si="12"/>
        <v>260</v>
      </c>
      <c r="H45" s="105">
        <f t="shared" si="12"/>
        <v>260</v>
      </c>
      <c r="I45" s="105">
        <f t="shared" si="12"/>
        <v>260</v>
      </c>
      <c r="J45" s="105">
        <f t="shared" si="12"/>
        <v>260</v>
      </c>
      <c r="K45" s="105">
        <f t="shared" si="12"/>
        <v>260</v>
      </c>
      <c r="L45" s="105">
        <f t="shared" si="12"/>
        <v>260</v>
      </c>
      <c r="M45" s="105">
        <f>ROUND(IF(M8&gt;0,ROUND((VLOOKUP(M4,omraadetabel,M7,0))/12,2),0)*M8*M3,2)</f>
        <v>260</v>
      </c>
      <c r="N45" s="105">
        <f>ROUND(IF(N8&gt;0,ROUND((VLOOKUP(N4,omraadetabel,N7,0))/12,2),0)*N8*N3,2)</f>
        <v>260</v>
      </c>
      <c r="O45" s="105">
        <f>ROUND(IF(O8&gt;0,ROUND((VLOOKUP(O4,omraadetabel,O7,0))/12,2),0)*O8*O3,2)</f>
        <v>260</v>
      </c>
      <c r="P45" s="106">
        <f t="shared" si="11"/>
        <v>3120</v>
      </c>
      <c r="Q45" s="86"/>
      <c r="R45" s="86"/>
      <c r="S45" s="86"/>
      <c r="T45" s="86"/>
      <c r="U45" s="86"/>
      <c r="V45" s="86"/>
    </row>
    <row r="46" spans="1:22">
      <c r="A46" s="22">
        <f t="shared" ref="A46:A81" si="13">A45+1</f>
        <v>46</v>
      </c>
      <c r="B46" s="155" t="s">
        <v>170</v>
      </c>
      <c r="C46" s="220"/>
      <c r="D46" s="105">
        <f t="shared" ref="D46:O46" si="14">ROUND(SUM(D102:D105)*D3,2)</f>
        <v>1248.5</v>
      </c>
      <c r="E46" s="105">
        <f t="shared" si="14"/>
        <v>1248.5</v>
      </c>
      <c r="F46" s="105">
        <f t="shared" si="14"/>
        <v>1248.5</v>
      </c>
      <c r="G46" s="105">
        <f t="shared" si="14"/>
        <v>1248.5</v>
      </c>
      <c r="H46" s="105">
        <f t="shared" si="14"/>
        <v>1248.5</v>
      </c>
      <c r="I46" s="105">
        <f t="shared" si="14"/>
        <v>1248.5</v>
      </c>
      <c r="J46" s="105">
        <f t="shared" si="14"/>
        <v>1248.5</v>
      </c>
      <c r="K46" s="105">
        <f t="shared" si="14"/>
        <v>1248.5</v>
      </c>
      <c r="L46" s="105">
        <f t="shared" si="14"/>
        <v>1343.65</v>
      </c>
      <c r="M46" s="105">
        <f t="shared" si="14"/>
        <v>1343.65</v>
      </c>
      <c r="N46" s="105">
        <f t="shared" si="14"/>
        <v>1343.65</v>
      </c>
      <c r="O46" s="105">
        <f t="shared" si="14"/>
        <v>1343.65</v>
      </c>
      <c r="P46" s="106">
        <f t="shared" si="11"/>
        <v>15362.599999999999</v>
      </c>
      <c r="Q46" s="86"/>
      <c r="R46" s="86"/>
      <c r="S46" s="86"/>
      <c r="T46" s="86"/>
      <c r="U46" s="86"/>
      <c r="V46" s="86"/>
    </row>
    <row r="47" spans="1:22">
      <c r="A47" s="22">
        <f t="shared" si="13"/>
        <v>47</v>
      </c>
      <c r="B47" s="155" t="s">
        <v>171</v>
      </c>
      <c r="C47" s="220"/>
      <c r="D47" s="105">
        <f t="shared" ref="D47:O47" si="15">ROUND(D10*D$6*D3/12,2)</f>
        <v>0</v>
      </c>
      <c r="E47" s="105">
        <f t="shared" si="15"/>
        <v>0</v>
      </c>
      <c r="F47" s="105">
        <f t="shared" si="15"/>
        <v>0</v>
      </c>
      <c r="G47" s="105">
        <f t="shared" si="15"/>
        <v>0</v>
      </c>
      <c r="H47" s="105">
        <f t="shared" si="15"/>
        <v>0</v>
      </c>
      <c r="I47" s="105">
        <f t="shared" si="15"/>
        <v>0</v>
      </c>
      <c r="J47" s="105">
        <f t="shared" si="15"/>
        <v>0</v>
      </c>
      <c r="K47" s="105">
        <f t="shared" si="15"/>
        <v>0</v>
      </c>
      <c r="L47" s="105">
        <f t="shared" si="15"/>
        <v>0</v>
      </c>
      <c r="M47" s="105">
        <f t="shared" si="15"/>
        <v>0</v>
      </c>
      <c r="N47" s="105">
        <f t="shared" si="15"/>
        <v>0</v>
      </c>
      <c r="O47" s="105">
        <f t="shared" si="15"/>
        <v>0</v>
      </c>
      <c r="P47" s="106">
        <f t="shared" si="11"/>
        <v>0</v>
      </c>
      <c r="Q47" s="86"/>
      <c r="R47" s="86"/>
      <c r="S47" s="86"/>
      <c r="T47" s="86"/>
      <c r="U47" s="86"/>
      <c r="V47" s="86"/>
    </row>
    <row r="48" spans="1:22">
      <c r="A48" s="22">
        <f t="shared" si="13"/>
        <v>48</v>
      </c>
      <c r="B48" s="155" t="s">
        <v>172</v>
      </c>
      <c r="C48" s="220"/>
      <c r="D48" s="105">
        <f t="shared" ref="D48:O48" si="16">ROUND(D11*D$6*D3/12,2)</f>
        <v>0</v>
      </c>
      <c r="E48" s="105">
        <f t="shared" si="16"/>
        <v>0</v>
      </c>
      <c r="F48" s="105">
        <f t="shared" si="16"/>
        <v>0</v>
      </c>
      <c r="G48" s="105">
        <f t="shared" si="16"/>
        <v>0</v>
      </c>
      <c r="H48" s="105">
        <f t="shared" si="16"/>
        <v>0</v>
      </c>
      <c r="I48" s="105">
        <f t="shared" si="16"/>
        <v>0</v>
      </c>
      <c r="J48" s="105">
        <f t="shared" si="16"/>
        <v>0</v>
      </c>
      <c r="K48" s="105">
        <f t="shared" si="16"/>
        <v>0</v>
      </c>
      <c r="L48" s="105">
        <f t="shared" si="16"/>
        <v>0</v>
      </c>
      <c r="M48" s="105">
        <f t="shared" si="16"/>
        <v>0</v>
      </c>
      <c r="N48" s="105">
        <f t="shared" si="16"/>
        <v>0</v>
      </c>
      <c r="O48" s="105">
        <f t="shared" si="16"/>
        <v>0</v>
      </c>
      <c r="P48" s="106">
        <f t="shared" si="11"/>
        <v>0</v>
      </c>
      <c r="Q48" s="86"/>
      <c r="R48" s="86"/>
      <c r="S48" s="86"/>
      <c r="T48" s="86"/>
      <c r="U48" s="86"/>
      <c r="V48" s="86"/>
    </row>
    <row r="49" spans="1:22">
      <c r="A49" s="22">
        <f t="shared" si="13"/>
        <v>49</v>
      </c>
      <c r="B49" s="155" t="s">
        <v>173</v>
      </c>
      <c r="C49" s="220"/>
      <c r="D49" s="105">
        <f t="shared" ref="D49:O49" si="17">ROUND(D12*D$6/12*D3,2)</f>
        <v>0</v>
      </c>
      <c r="E49" s="105">
        <f t="shared" si="17"/>
        <v>0</v>
      </c>
      <c r="F49" s="105">
        <f t="shared" si="17"/>
        <v>0</v>
      </c>
      <c r="G49" s="105">
        <f t="shared" si="17"/>
        <v>0</v>
      </c>
      <c r="H49" s="105">
        <f t="shared" si="17"/>
        <v>0</v>
      </c>
      <c r="I49" s="105">
        <f t="shared" si="17"/>
        <v>0</v>
      </c>
      <c r="J49" s="105">
        <f t="shared" si="17"/>
        <v>0</v>
      </c>
      <c r="K49" s="105">
        <f t="shared" si="17"/>
        <v>0</v>
      </c>
      <c r="L49" s="105">
        <f t="shared" si="17"/>
        <v>0</v>
      </c>
      <c r="M49" s="105">
        <f t="shared" si="17"/>
        <v>0</v>
      </c>
      <c r="N49" s="105">
        <f t="shared" si="17"/>
        <v>0</v>
      </c>
      <c r="O49" s="105">
        <f t="shared" si="17"/>
        <v>0</v>
      </c>
      <c r="P49" s="106">
        <f t="shared" si="11"/>
        <v>0</v>
      </c>
      <c r="Q49" s="86"/>
      <c r="R49" s="86"/>
      <c r="S49" s="86"/>
      <c r="T49" s="86"/>
      <c r="U49" s="86"/>
      <c r="V49" s="86"/>
    </row>
    <row r="50" spans="1:22">
      <c r="A50" s="22">
        <f t="shared" si="13"/>
        <v>50</v>
      </c>
      <c r="B50" s="155" t="s">
        <v>174</v>
      </c>
      <c r="C50" s="220"/>
      <c r="D50" s="105">
        <f t="shared" ref="D50:O50" si="18">ROUND(D13*D$6/12*D3,2)</f>
        <v>0</v>
      </c>
      <c r="E50" s="105">
        <f t="shared" si="18"/>
        <v>0</v>
      </c>
      <c r="F50" s="105">
        <f t="shared" si="18"/>
        <v>0</v>
      </c>
      <c r="G50" s="105">
        <f t="shared" si="18"/>
        <v>0</v>
      </c>
      <c r="H50" s="105">
        <f t="shared" si="18"/>
        <v>0</v>
      </c>
      <c r="I50" s="105">
        <f t="shared" si="18"/>
        <v>0</v>
      </c>
      <c r="J50" s="105">
        <f t="shared" si="18"/>
        <v>0</v>
      </c>
      <c r="K50" s="105">
        <f t="shared" si="18"/>
        <v>0</v>
      </c>
      <c r="L50" s="105">
        <f t="shared" si="18"/>
        <v>0</v>
      </c>
      <c r="M50" s="105">
        <f t="shared" si="18"/>
        <v>0</v>
      </c>
      <c r="N50" s="105">
        <f t="shared" si="18"/>
        <v>0</v>
      </c>
      <c r="O50" s="105">
        <f t="shared" si="18"/>
        <v>0</v>
      </c>
      <c r="P50" s="106">
        <f t="shared" si="11"/>
        <v>0</v>
      </c>
      <c r="Q50" s="86"/>
      <c r="R50" s="86"/>
      <c r="S50" s="86"/>
      <c r="T50" s="86"/>
      <c r="U50" s="86"/>
      <c r="V50" s="86"/>
    </row>
    <row r="51" spans="1:22">
      <c r="A51" s="22">
        <f t="shared" si="13"/>
        <v>51</v>
      </c>
      <c r="B51" s="155" t="s">
        <v>175</v>
      </c>
      <c r="C51" s="220"/>
      <c r="D51" s="105">
        <f t="shared" ref="D51:O51" si="19">ROUND(D14*D$6/12*D3,2)</f>
        <v>0</v>
      </c>
      <c r="E51" s="105">
        <f t="shared" si="19"/>
        <v>0</v>
      </c>
      <c r="F51" s="105">
        <f t="shared" si="19"/>
        <v>0</v>
      </c>
      <c r="G51" s="105">
        <f t="shared" si="19"/>
        <v>0</v>
      </c>
      <c r="H51" s="105">
        <f t="shared" si="19"/>
        <v>0</v>
      </c>
      <c r="I51" s="105">
        <f t="shared" si="19"/>
        <v>0</v>
      </c>
      <c r="J51" s="105">
        <f t="shared" si="19"/>
        <v>0</v>
      </c>
      <c r="K51" s="105">
        <f t="shared" si="19"/>
        <v>0</v>
      </c>
      <c r="L51" s="105">
        <f t="shared" si="19"/>
        <v>0</v>
      </c>
      <c r="M51" s="105">
        <f t="shared" si="19"/>
        <v>0</v>
      </c>
      <c r="N51" s="105">
        <f t="shared" si="19"/>
        <v>0</v>
      </c>
      <c r="O51" s="105">
        <f t="shared" si="19"/>
        <v>0</v>
      </c>
      <c r="P51" s="106">
        <f t="shared" si="11"/>
        <v>0</v>
      </c>
      <c r="Q51" s="86"/>
      <c r="R51" s="86"/>
      <c r="S51" s="86"/>
      <c r="T51" s="86"/>
      <c r="U51" s="86"/>
      <c r="V51" s="86"/>
    </row>
    <row r="52" spans="1:22">
      <c r="A52" s="22">
        <f t="shared" si="13"/>
        <v>52</v>
      </c>
      <c r="B52" s="155" t="s">
        <v>176</v>
      </c>
      <c r="C52" s="220"/>
      <c r="D52" s="105">
        <f t="shared" ref="D52:O52" si="20">ROUND(D15*D$6*D$8/12*D3,2)</f>
        <v>992.78</v>
      </c>
      <c r="E52" s="105">
        <f t="shared" si="20"/>
        <v>992.78</v>
      </c>
      <c r="F52" s="105">
        <f t="shared" si="20"/>
        <v>992.78</v>
      </c>
      <c r="G52" s="105">
        <f t="shared" si="20"/>
        <v>992.78</v>
      </c>
      <c r="H52" s="105">
        <f t="shared" si="20"/>
        <v>992.78</v>
      </c>
      <c r="I52" s="105">
        <f t="shared" si="20"/>
        <v>992.78</v>
      </c>
      <c r="J52" s="105">
        <f t="shared" si="20"/>
        <v>992.78</v>
      </c>
      <c r="K52" s="105">
        <f t="shared" si="20"/>
        <v>992.78</v>
      </c>
      <c r="L52" s="105">
        <f t="shared" si="20"/>
        <v>1068.2</v>
      </c>
      <c r="M52" s="105">
        <f t="shared" si="20"/>
        <v>1068.2</v>
      </c>
      <c r="N52" s="105">
        <f t="shared" si="20"/>
        <v>1068.2</v>
      </c>
      <c r="O52" s="105">
        <f t="shared" si="20"/>
        <v>1068.2</v>
      </c>
      <c r="P52" s="106">
        <f t="shared" si="11"/>
        <v>12215.04</v>
      </c>
      <c r="Q52" s="86"/>
      <c r="R52" s="86"/>
      <c r="S52" s="86"/>
      <c r="T52" s="86"/>
      <c r="U52" s="86"/>
      <c r="V52" s="86"/>
    </row>
    <row r="53" spans="1:22">
      <c r="A53" s="22">
        <f t="shared" si="13"/>
        <v>53</v>
      </c>
      <c r="B53" s="155" t="s">
        <v>177</v>
      </c>
      <c r="C53" s="220"/>
      <c r="D53" s="105">
        <f t="shared" ref="D53:O53" si="21">ROUND(D16*D$6*D$8/12*D3,2)</f>
        <v>0</v>
      </c>
      <c r="E53" s="105">
        <f t="shared" si="21"/>
        <v>0</v>
      </c>
      <c r="F53" s="105">
        <f t="shared" si="21"/>
        <v>0</v>
      </c>
      <c r="G53" s="105">
        <f t="shared" si="21"/>
        <v>0</v>
      </c>
      <c r="H53" s="105">
        <f t="shared" si="21"/>
        <v>0</v>
      </c>
      <c r="I53" s="105">
        <f t="shared" si="21"/>
        <v>0</v>
      </c>
      <c r="J53" s="105">
        <f t="shared" si="21"/>
        <v>0</v>
      </c>
      <c r="K53" s="105">
        <f t="shared" si="21"/>
        <v>0</v>
      </c>
      <c r="L53" s="105">
        <f t="shared" si="21"/>
        <v>0</v>
      </c>
      <c r="M53" s="105">
        <f t="shared" si="21"/>
        <v>0</v>
      </c>
      <c r="N53" s="105">
        <f t="shared" si="21"/>
        <v>0</v>
      </c>
      <c r="O53" s="105">
        <f t="shared" si="21"/>
        <v>0</v>
      </c>
      <c r="P53" s="106">
        <f t="shared" si="11"/>
        <v>0</v>
      </c>
      <c r="Q53" s="86"/>
      <c r="R53" s="86"/>
      <c r="S53" s="86"/>
      <c r="T53" s="86"/>
      <c r="U53" s="86"/>
      <c r="V53" s="86"/>
    </row>
    <row r="54" spans="1:22">
      <c r="A54" s="22">
        <f t="shared" si="13"/>
        <v>54</v>
      </c>
      <c r="B54" s="155" t="s">
        <v>339</v>
      </c>
      <c r="C54" s="220"/>
      <c r="D54" s="105">
        <f>ROUND(D17*D$6*D$8/12*D3,2)</f>
        <v>0</v>
      </c>
      <c r="E54" s="105">
        <f t="shared" ref="E54:O54" si="22">ROUND(E17*E$6*E$8/12*E3,2)</f>
        <v>0</v>
      </c>
      <c r="F54" s="105">
        <f t="shared" si="22"/>
        <v>0</v>
      </c>
      <c r="G54" s="105">
        <f t="shared" si="22"/>
        <v>0</v>
      </c>
      <c r="H54" s="105">
        <f t="shared" si="22"/>
        <v>0</v>
      </c>
      <c r="I54" s="105">
        <f t="shared" si="22"/>
        <v>0</v>
      </c>
      <c r="J54" s="105">
        <f t="shared" si="22"/>
        <v>0</v>
      </c>
      <c r="K54" s="105">
        <f t="shared" si="22"/>
        <v>0</v>
      </c>
      <c r="L54" s="105">
        <f t="shared" si="22"/>
        <v>0</v>
      </c>
      <c r="M54" s="105">
        <f t="shared" si="22"/>
        <v>0</v>
      </c>
      <c r="N54" s="105">
        <f t="shared" si="22"/>
        <v>0</v>
      </c>
      <c r="O54" s="105">
        <f t="shared" si="22"/>
        <v>0</v>
      </c>
      <c r="P54" s="106">
        <f t="shared" si="11"/>
        <v>0</v>
      </c>
      <c r="Q54" s="86"/>
      <c r="R54" s="86"/>
      <c r="S54" s="86"/>
      <c r="T54" s="86"/>
      <c r="U54" s="86"/>
      <c r="V54" s="86"/>
    </row>
    <row r="55" spans="1:22">
      <c r="A55" s="22">
        <f t="shared" si="13"/>
        <v>55</v>
      </c>
      <c r="B55" s="155" t="s">
        <v>114</v>
      </c>
      <c r="C55" s="220"/>
      <c r="D55" s="105">
        <f>ROUND(D18*D$6*D$8/12*D3,2)</f>
        <v>0</v>
      </c>
      <c r="E55" s="105">
        <f t="shared" ref="E55:O55" si="23">ROUND(E18*E$6*E$8/12*E3,2)</f>
        <v>0</v>
      </c>
      <c r="F55" s="105">
        <f t="shared" si="23"/>
        <v>0</v>
      </c>
      <c r="G55" s="105">
        <f t="shared" si="23"/>
        <v>0</v>
      </c>
      <c r="H55" s="105">
        <f t="shared" si="23"/>
        <v>0</v>
      </c>
      <c r="I55" s="105">
        <f t="shared" si="23"/>
        <v>0</v>
      </c>
      <c r="J55" s="105">
        <f t="shared" si="23"/>
        <v>0</v>
      </c>
      <c r="K55" s="105">
        <f t="shared" si="23"/>
        <v>0</v>
      </c>
      <c r="L55" s="105">
        <f t="shared" si="23"/>
        <v>0</v>
      </c>
      <c r="M55" s="105">
        <f t="shared" si="23"/>
        <v>0</v>
      </c>
      <c r="N55" s="105">
        <f t="shared" si="23"/>
        <v>0</v>
      </c>
      <c r="O55" s="105">
        <f t="shared" si="23"/>
        <v>0</v>
      </c>
      <c r="P55" s="106">
        <f t="shared" si="11"/>
        <v>0</v>
      </c>
      <c r="Q55" s="86"/>
      <c r="R55" s="86"/>
      <c r="S55" s="86"/>
      <c r="T55" s="86"/>
      <c r="U55" s="86"/>
      <c r="V55" s="86"/>
    </row>
    <row r="56" spans="1:22">
      <c r="A56" s="22">
        <f t="shared" si="13"/>
        <v>56</v>
      </c>
      <c r="B56" s="155" t="s">
        <v>367</v>
      </c>
      <c r="C56" s="220"/>
      <c r="D56" s="105">
        <f>MAX(ROUND((IF(RIGHT(D4)="1",5200)+IF(OR(RIGHT(D4)="2",RIGHT(D4)="3"),7900))*D6/12*D8*D3,2))</f>
        <v>533.53</v>
      </c>
      <c r="E56" s="105">
        <f t="shared" ref="E56:O56" si="24">MAX(ROUND((IF(RIGHT(E4)="1",5200)+IF(OR(RIGHT(E4)="2",RIGHT(E4)="3"),7900))*E6/12*E8*E3,2))</f>
        <v>533.53</v>
      </c>
      <c r="F56" s="105">
        <f t="shared" si="24"/>
        <v>533.53</v>
      </c>
      <c r="G56" s="105">
        <f t="shared" si="24"/>
        <v>533.53</v>
      </c>
      <c r="H56" s="105">
        <f t="shared" si="24"/>
        <v>533.53</v>
      </c>
      <c r="I56" s="105">
        <f t="shared" si="24"/>
        <v>533.53</v>
      </c>
      <c r="J56" s="105">
        <f t="shared" si="24"/>
        <v>533.53</v>
      </c>
      <c r="K56" s="105">
        <f t="shared" si="24"/>
        <v>533.53</v>
      </c>
      <c r="L56" s="105">
        <f t="shared" si="24"/>
        <v>574.07000000000005</v>
      </c>
      <c r="M56" s="105">
        <f t="shared" si="24"/>
        <v>574.07000000000005</v>
      </c>
      <c r="N56" s="105">
        <f t="shared" si="24"/>
        <v>574.07000000000005</v>
      </c>
      <c r="O56" s="105">
        <f t="shared" si="24"/>
        <v>574.07000000000005</v>
      </c>
      <c r="P56" s="106">
        <f t="shared" si="11"/>
        <v>6564.5199999999977</v>
      </c>
      <c r="Q56" s="86"/>
      <c r="R56" s="86"/>
      <c r="S56" s="86"/>
      <c r="T56" s="86"/>
      <c r="U56" s="86"/>
      <c r="V56" s="86"/>
    </row>
    <row r="57" spans="1:22">
      <c r="A57" s="22">
        <f t="shared" si="13"/>
        <v>57</v>
      </c>
      <c r="B57" s="155" t="s">
        <v>348</v>
      </c>
      <c r="C57" s="220"/>
      <c r="D57" s="208"/>
      <c r="E57" s="208"/>
      <c r="F57" s="208"/>
      <c r="G57" s="208"/>
      <c r="H57" s="208"/>
      <c r="I57" s="208"/>
      <c r="J57" s="208"/>
      <c r="K57" s="208"/>
      <c r="L57" s="208"/>
      <c r="M57" s="208"/>
      <c r="N57" s="208"/>
      <c r="O57" s="208"/>
      <c r="P57" s="106">
        <f t="shared" si="11"/>
        <v>0</v>
      </c>
      <c r="Q57" s="86"/>
      <c r="R57" s="86"/>
      <c r="S57" s="86"/>
      <c r="T57" s="86"/>
      <c r="U57" s="86"/>
      <c r="V57" s="86"/>
    </row>
    <row r="58" spans="1:22">
      <c r="A58" s="22">
        <f t="shared" si="13"/>
        <v>58</v>
      </c>
      <c r="B58" s="155" t="s">
        <v>178</v>
      </c>
      <c r="C58" s="220"/>
      <c r="D58" s="105">
        <f t="shared" ref="D58:O58" si="25">IF(D44&gt;0,ROUND(IF(D$8&gt;=0.5,708*D$6,354*D$6)/12*D3,2),0)</f>
        <v>59.77</v>
      </c>
      <c r="E58" s="105">
        <f t="shared" si="25"/>
        <v>59.77</v>
      </c>
      <c r="F58" s="105">
        <f t="shared" si="25"/>
        <v>59.77</v>
      </c>
      <c r="G58" s="105">
        <f t="shared" si="25"/>
        <v>59.77</v>
      </c>
      <c r="H58" s="105">
        <f t="shared" si="25"/>
        <v>59.77</v>
      </c>
      <c r="I58" s="105">
        <f t="shared" si="25"/>
        <v>59.77</v>
      </c>
      <c r="J58" s="105">
        <f t="shared" si="25"/>
        <v>59.77</v>
      </c>
      <c r="K58" s="105">
        <f t="shared" si="25"/>
        <v>59.77</v>
      </c>
      <c r="L58" s="105">
        <f t="shared" si="25"/>
        <v>64.31</v>
      </c>
      <c r="M58" s="105">
        <f t="shared" si="25"/>
        <v>64.31</v>
      </c>
      <c r="N58" s="105">
        <f t="shared" si="25"/>
        <v>64.31</v>
      </c>
      <c r="O58" s="105">
        <f t="shared" si="25"/>
        <v>64.31</v>
      </c>
      <c r="P58" s="106">
        <f t="shared" si="11"/>
        <v>735.39999999999986</v>
      </c>
      <c r="Q58" s="86"/>
      <c r="R58" s="86"/>
      <c r="S58" s="86"/>
      <c r="T58" s="86"/>
      <c r="U58" s="86"/>
      <c r="V58" s="86"/>
    </row>
    <row r="59" spans="1:22">
      <c r="A59" s="22">
        <f t="shared" si="13"/>
        <v>59</v>
      </c>
      <c r="B59" s="155" t="s">
        <v>159</v>
      </c>
      <c r="C59" s="220"/>
      <c r="D59" s="105">
        <f t="shared" ref="D59:O59" si="26">D20*D3</f>
        <v>0</v>
      </c>
      <c r="E59" s="105">
        <f t="shared" si="26"/>
        <v>0</v>
      </c>
      <c r="F59" s="105">
        <f t="shared" si="26"/>
        <v>0</v>
      </c>
      <c r="G59" s="105">
        <f t="shared" si="26"/>
        <v>0</v>
      </c>
      <c r="H59" s="105">
        <f t="shared" si="26"/>
        <v>0</v>
      </c>
      <c r="I59" s="105">
        <f t="shared" si="26"/>
        <v>0</v>
      </c>
      <c r="J59" s="105">
        <f t="shared" si="26"/>
        <v>0</v>
      </c>
      <c r="K59" s="105">
        <f t="shared" si="26"/>
        <v>0</v>
      </c>
      <c r="L59" s="105">
        <f t="shared" si="26"/>
        <v>0</v>
      </c>
      <c r="M59" s="105">
        <f t="shared" si="26"/>
        <v>0</v>
      </c>
      <c r="N59" s="105">
        <f t="shared" si="26"/>
        <v>0</v>
      </c>
      <c r="O59" s="105">
        <f t="shared" si="26"/>
        <v>0</v>
      </c>
      <c r="P59" s="106">
        <f t="shared" si="11"/>
        <v>0</v>
      </c>
      <c r="Q59" s="86"/>
      <c r="R59" s="86"/>
      <c r="S59" s="86"/>
      <c r="T59" s="86"/>
      <c r="U59" s="86"/>
      <c r="V59" s="86"/>
    </row>
    <row r="60" spans="1:22">
      <c r="A60" s="22">
        <f t="shared" si="13"/>
        <v>60</v>
      </c>
      <c r="B60" s="155" t="s">
        <v>160</v>
      </c>
      <c r="C60" s="220"/>
      <c r="D60" s="208">
        <f t="shared" ref="D60:O60" si="27">IF(D8&gt;0,108.35*D3,0)</f>
        <v>108.35</v>
      </c>
      <c r="E60" s="208">
        <f t="shared" si="27"/>
        <v>108.35</v>
      </c>
      <c r="F60" s="208">
        <f t="shared" si="27"/>
        <v>108.35</v>
      </c>
      <c r="G60" s="208">
        <f t="shared" si="27"/>
        <v>108.35</v>
      </c>
      <c r="H60" s="208">
        <f t="shared" si="27"/>
        <v>108.35</v>
      </c>
      <c r="I60" s="208">
        <f t="shared" si="27"/>
        <v>108.35</v>
      </c>
      <c r="J60" s="208">
        <f t="shared" si="27"/>
        <v>108.35</v>
      </c>
      <c r="K60" s="208">
        <f t="shared" si="27"/>
        <v>108.35</v>
      </c>
      <c r="L60" s="208">
        <f t="shared" si="27"/>
        <v>108.35</v>
      </c>
      <c r="M60" s="208">
        <f t="shared" si="27"/>
        <v>108.35</v>
      </c>
      <c r="N60" s="208">
        <f t="shared" si="27"/>
        <v>108.35</v>
      </c>
      <c r="O60" s="208">
        <f t="shared" si="27"/>
        <v>108.35</v>
      </c>
      <c r="P60" s="106">
        <f t="shared" si="11"/>
        <v>1300.1999999999998</v>
      </c>
      <c r="Q60" s="86"/>
      <c r="R60" s="86"/>
      <c r="S60" s="86"/>
      <c r="T60" s="86"/>
      <c r="U60" s="86"/>
      <c r="V60" s="86"/>
    </row>
    <row r="61" spans="1:22">
      <c r="A61" s="22">
        <f t="shared" si="13"/>
        <v>61</v>
      </c>
      <c r="B61" s="155" t="s">
        <v>250</v>
      </c>
      <c r="C61" s="220"/>
      <c r="D61" s="208">
        <f t="shared" ref="D61:K61" si="28">-(MAX(0,MIN(D21,D22))+D25)*4.62%*SUM(D44:D60)</f>
        <v>0</v>
      </c>
      <c r="E61" s="208">
        <f t="shared" si="28"/>
        <v>0</v>
      </c>
      <c r="F61" s="208">
        <f t="shared" si="28"/>
        <v>0</v>
      </c>
      <c r="G61" s="208">
        <f t="shared" si="28"/>
        <v>0</v>
      </c>
      <c r="H61" s="208">
        <f t="shared" si="28"/>
        <v>0</v>
      </c>
      <c r="I61" s="208">
        <f t="shared" si="28"/>
        <v>0</v>
      </c>
      <c r="J61" s="208">
        <f t="shared" si="28"/>
        <v>0</v>
      </c>
      <c r="K61" s="208">
        <f t="shared" si="28"/>
        <v>0</v>
      </c>
      <c r="L61" s="208">
        <f>-(MAX(0,MIN(L21,L22))+L25)*4.62%*SUM(L44:L60)</f>
        <v>0</v>
      </c>
      <c r="M61" s="208">
        <f>-(MAX(0,MIN(M21,M22))+M25)*4.62%*SUM(M44:M60)</f>
        <v>-1.096932144E-4</v>
      </c>
      <c r="N61" s="208">
        <f>-(MAX(0,MIN(N21,N22))+N25)*4.62%*SUM(N44:N60)</f>
        <v>0</v>
      </c>
      <c r="O61" s="208">
        <f>-(MAX(0,MIN(O21,O22))+O25)*4.62%*SUM(O44:O60)</f>
        <v>0</v>
      </c>
      <c r="P61" s="106">
        <f t="shared" si="11"/>
        <v>-1.096932144E-4</v>
      </c>
      <c r="Q61" s="86"/>
      <c r="R61" s="86"/>
      <c r="S61" s="86"/>
      <c r="T61" s="86"/>
      <c r="U61" s="86"/>
      <c r="V61" s="86"/>
    </row>
    <row r="62" spans="1:22">
      <c r="A62" s="22">
        <f t="shared" si="13"/>
        <v>62</v>
      </c>
      <c r="B62" s="155" t="s">
        <v>192</v>
      </c>
      <c r="C62" s="220"/>
      <c r="D62" s="208">
        <f t="shared" ref="D62:K62" si="29">(D21-D22)*4.62%*(D23-D8)*(D3=1)*IF(D8&gt;0,(D44+D45+D52+D53+D54+D55+D56+D57)/D8,0)*(D23&gt;0)</f>
        <v>-631.93811098687547</v>
      </c>
      <c r="E62" s="208">
        <f t="shared" si="29"/>
        <v>0</v>
      </c>
      <c r="F62" s="208">
        <f t="shared" si="29"/>
        <v>0</v>
      </c>
      <c r="G62" s="208">
        <f t="shared" si="29"/>
        <v>0</v>
      </c>
      <c r="H62" s="208">
        <f t="shared" si="29"/>
        <v>0</v>
      </c>
      <c r="I62" s="208">
        <f t="shared" si="29"/>
        <v>0</v>
      </c>
      <c r="J62" s="208">
        <f t="shared" si="29"/>
        <v>0</v>
      </c>
      <c r="K62" s="208">
        <f t="shared" si="29"/>
        <v>0</v>
      </c>
      <c r="L62" s="105">
        <f>(L21-L22)*4.62%*(L24-L8)*(L3=1)*IF(L8&gt;0,(L44+L45+L52+L53+L54+L55+L56+L57)/L8,0)*(L24&gt;0)</f>
        <v>0</v>
      </c>
      <c r="M62" s="105">
        <f>(M21-M22)*4.62%*(M24-M8)*(M3=1)*IF(M8&gt;0,(M44+M45+M52+M53+M54+M55+M56+M57)/M8,0)*(M24&gt;0)</f>
        <v>-3.8507948325000031E-6</v>
      </c>
      <c r="N62" s="105">
        <f>(N21-N22)*4.62%*(N24-N8)*(N3=1)*IF(N8&gt;0,(N44+N45+N52+N53+N54+N55+N56+N57)/N8,0)*(N24&gt;0)</f>
        <v>0</v>
      </c>
      <c r="O62" s="105">
        <f>(O21-O22)*4.62%*(O24-O8)*(O3=1)*IF(O8&gt;0,(O44+O45+O52+O53+O54+O55+O56+O57)/O8,0)*(O24&gt;0)</f>
        <v>-770.15896650000059</v>
      </c>
      <c r="P62" s="106">
        <f t="shared" si="11"/>
        <v>-1402.0970813376709</v>
      </c>
      <c r="Q62" s="86"/>
      <c r="R62" s="86"/>
      <c r="S62" s="86"/>
      <c r="T62" s="86"/>
      <c r="U62" s="86"/>
      <c r="V62" s="86"/>
    </row>
    <row r="63" spans="1:22">
      <c r="A63" s="22">
        <f t="shared" si="13"/>
        <v>63</v>
      </c>
      <c r="B63" s="155" t="s">
        <v>179</v>
      </c>
      <c r="C63" s="220"/>
      <c r="D63" s="105">
        <f t="shared" ref="D63:K63" si="30">SUM(D32:D42)+MAX(D31-8000,0)</f>
        <v>0</v>
      </c>
      <c r="E63" s="105">
        <f t="shared" si="30"/>
        <v>0</v>
      </c>
      <c r="F63" s="105">
        <f t="shared" si="30"/>
        <v>0</v>
      </c>
      <c r="G63" s="105">
        <f t="shared" si="30"/>
        <v>0</v>
      </c>
      <c r="H63" s="105">
        <f t="shared" si="30"/>
        <v>0</v>
      </c>
      <c r="I63" s="105">
        <f t="shared" si="30"/>
        <v>0</v>
      </c>
      <c r="J63" s="105">
        <f t="shared" si="30"/>
        <v>0</v>
      </c>
      <c r="K63" s="105">
        <f t="shared" si="30"/>
        <v>0</v>
      </c>
      <c r="L63" s="105">
        <f>SUM(L32:L42)+MAX(L31-8000,0)</f>
        <v>0</v>
      </c>
      <c r="M63" s="105">
        <f>SUM(M32:M42)+MAX(M31-8000,0)</f>
        <v>3545.46</v>
      </c>
      <c r="N63" s="105">
        <f>SUM(N32:N42)+MAX(N31-8000,0)</f>
        <v>0</v>
      </c>
      <c r="O63" s="105">
        <f>SUM(O32:O42)+MAX(O31-8000,0)</f>
        <v>0</v>
      </c>
      <c r="P63" s="106">
        <f t="shared" si="11"/>
        <v>3545.46</v>
      </c>
      <c r="Q63" s="86"/>
      <c r="R63" s="86"/>
      <c r="S63" s="86"/>
      <c r="T63" s="86"/>
      <c r="U63" s="86"/>
      <c r="V63" s="86"/>
    </row>
    <row r="64" spans="1:22">
      <c r="A64" s="22">
        <f t="shared" si="13"/>
        <v>64</v>
      </c>
      <c r="B64" s="181" t="s">
        <v>16</v>
      </c>
      <c r="C64" s="220"/>
      <c r="D64" s="209">
        <f t="shared" ref="D64:K64" si="31">SUM(D28:D30)+IF(D31&gt;0,MIN(D31,8000),0)</f>
        <v>0</v>
      </c>
      <c r="E64" s="209">
        <f t="shared" si="31"/>
        <v>0</v>
      </c>
      <c r="F64" s="209">
        <f t="shared" si="31"/>
        <v>0</v>
      </c>
      <c r="G64" s="209">
        <f t="shared" si="31"/>
        <v>0</v>
      </c>
      <c r="H64" s="209">
        <f t="shared" si="31"/>
        <v>0</v>
      </c>
      <c r="I64" s="209">
        <f t="shared" si="31"/>
        <v>0</v>
      </c>
      <c r="J64" s="209">
        <f t="shared" si="31"/>
        <v>0</v>
      </c>
      <c r="K64" s="209">
        <f t="shared" si="31"/>
        <v>0</v>
      </c>
      <c r="L64" s="209">
        <f>SUM(L28:L30)+IF(L31&gt;0,MIN(L31,8000),0)</f>
        <v>0</v>
      </c>
      <c r="M64" s="209">
        <f>SUM(M28:M30)+IF(M31&gt;0,MIN(M31,8000),0)</f>
        <v>0</v>
      </c>
      <c r="N64" s="209">
        <f>SUM(N28:N30)+IF(N31&gt;0,MIN(N31,8000),0)</f>
        <v>0</v>
      </c>
      <c r="O64" s="209">
        <f>SUM(O28:O30)+IF(O31&gt;0,MIN(O31,8000),0)</f>
        <v>0</v>
      </c>
      <c r="P64" s="107">
        <f t="shared" si="11"/>
        <v>0</v>
      </c>
      <c r="Q64" s="86"/>
      <c r="R64" s="86"/>
      <c r="S64" s="86"/>
      <c r="T64" s="86"/>
      <c r="U64" s="86"/>
      <c r="V64" s="86"/>
    </row>
    <row r="65" spans="1:22">
      <c r="A65" s="22">
        <f t="shared" si="13"/>
        <v>65</v>
      </c>
      <c r="B65" s="75" t="s">
        <v>104</v>
      </c>
      <c r="C65" s="221"/>
      <c r="D65" s="210">
        <f>SUM(D44:D64)</f>
        <v>21460.451889013122</v>
      </c>
      <c r="E65" s="210">
        <f t="shared" ref="E65:O65" si="32">SUM(E44:E64)</f>
        <v>22092.389999999996</v>
      </c>
      <c r="F65" s="210">
        <f t="shared" si="32"/>
        <v>22092.389999999996</v>
      </c>
      <c r="G65" s="210">
        <f t="shared" si="32"/>
        <v>22092.389999999996</v>
      </c>
      <c r="H65" s="210">
        <f t="shared" si="32"/>
        <v>22092.389999999996</v>
      </c>
      <c r="I65" s="210">
        <f t="shared" si="32"/>
        <v>22092.389999999996</v>
      </c>
      <c r="J65" s="210">
        <f t="shared" si="32"/>
        <v>22092.389999999996</v>
      </c>
      <c r="K65" s="210">
        <f t="shared" si="32"/>
        <v>22092.389999999996</v>
      </c>
      <c r="L65" s="210">
        <f t="shared" si="32"/>
        <v>23743.120000000003</v>
      </c>
      <c r="M65" s="210">
        <f t="shared" si="32"/>
        <v>27288.579886455995</v>
      </c>
      <c r="N65" s="210">
        <f t="shared" si="32"/>
        <v>23743.120000000003</v>
      </c>
      <c r="O65" s="210">
        <f t="shared" si="32"/>
        <v>22972.961033500003</v>
      </c>
      <c r="P65" s="81">
        <f t="shared" si="11"/>
        <v>273854.96280896908</v>
      </c>
      <c r="Q65" s="86"/>
      <c r="R65" s="86"/>
      <c r="S65" s="86"/>
      <c r="T65" s="86"/>
      <c r="U65" s="86"/>
      <c r="V65" s="86"/>
    </row>
    <row r="66" spans="1:22">
      <c r="A66" s="22">
        <f t="shared" si="13"/>
        <v>66</v>
      </c>
      <c r="B66" s="154" t="s">
        <v>102</v>
      </c>
      <c r="C66" s="220"/>
      <c r="D66" s="103">
        <f t="shared" ref="D66:K66" si="33">ROUND(D44*17.3%/3,2)*(D5="L")</f>
        <v>1089.29</v>
      </c>
      <c r="E66" s="103">
        <f t="shared" si="33"/>
        <v>1089.29</v>
      </c>
      <c r="F66" s="103">
        <f t="shared" si="33"/>
        <v>1089.29</v>
      </c>
      <c r="G66" s="103">
        <f t="shared" si="33"/>
        <v>1089.29</v>
      </c>
      <c r="H66" s="103">
        <f t="shared" si="33"/>
        <v>1089.29</v>
      </c>
      <c r="I66" s="103">
        <f t="shared" si="33"/>
        <v>1089.29</v>
      </c>
      <c r="J66" s="103">
        <f t="shared" si="33"/>
        <v>1089.29</v>
      </c>
      <c r="K66" s="103">
        <f t="shared" si="33"/>
        <v>1089.29</v>
      </c>
      <c r="L66" s="103">
        <f>ROUND(L44*17.3%/3,2)*(L5="L")</f>
        <v>1172.05</v>
      </c>
      <c r="M66" s="103">
        <f>ROUND(M44*17.3%/3,2)*(M5="L")</f>
        <v>1172.05</v>
      </c>
      <c r="N66" s="103">
        <f>ROUND(N44*17.3%/3,2)*(N5="L")</f>
        <v>1172.05</v>
      </c>
      <c r="O66" s="103">
        <f>ROUND(O44*17.3%/3,2)*(O5="L")</f>
        <v>1172.05</v>
      </c>
      <c r="P66" s="104">
        <f t="shared" si="11"/>
        <v>13402.519999999997</v>
      </c>
      <c r="Q66" s="86"/>
      <c r="R66" s="86"/>
      <c r="S66" s="86"/>
      <c r="T66" s="86"/>
      <c r="U66" s="86"/>
      <c r="V66" s="86"/>
    </row>
    <row r="67" spans="1:22">
      <c r="A67" s="22">
        <f t="shared" si="13"/>
        <v>67</v>
      </c>
      <c r="B67" s="155" t="s">
        <v>183</v>
      </c>
      <c r="C67" s="220"/>
      <c r="D67" s="105">
        <f t="shared" ref="D67:K67" si="34">ROUND(D46*17.3%/3,2)*(D5="L")</f>
        <v>72</v>
      </c>
      <c r="E67" s="105">
        <f t="shared" si="34"/>
        <v>72</v>
      </c>
      <c r="F67" s="105">
        <f t="shared" si="34"/>
        <v>72</v>
      </c>
      <c r="G67" s="105">
        <f t="shared" si="34"/>
        <v>72</v>
      </c>
      <c r="H67" s="105">
        <f t="shared" si="34"/>
        <v>72</v>
      </c>
      <c r="I67" s="105">
        <f t="shared" si="34"/>
        <v>72</v>
      </c>
      <c r="J67" s="105">
        <f t="shared" si="34"/>
        <v>72</v>
      </c>
      <c r="K67" s="105">
        <f t="shared" si="34"/>
        <v>72</v>
      </c>
      <c r="L67" s="105">
        <f>ROUND(L46*17.3%/3,2)*(L5="L")</f>
        <v>77.48</v>
      </c>
      <c r="M67" s="105">
        <f>ROUND(M46*17.3%/3,2)*(M5="L")</f>
        <v>77.48</v>
      </c>
      <c r="N67" s="105">
        <f>ROUND(N46*17.3%/3,2)*(N5="L")</f>
        <v>77.48</v>
      </c>
      <c r="O67" s="105">
        <f>ROUND(O46*17.3%/3,2)*(O5="L")</f>
        <v>77.48</v>
      </c>
      <c r="P67" s="106">
        <f t="shared" si="11"/>
        <v>885.92000000000007</v>
      </c>
      <c r="Q67" s="86"/>
      <c r="R67" s="86"/>
      <c r="S67" s="86"/>
      <c r="T67" s="86"/>
      <c r="U67" s="86"/>
      <c r="V67" s="86"/>
    </row>
    <row r="68" spans="1:22">
      <c r="A68" s="22">
        <f t="shared" si="13"/>
        <v>68</v>
      </c>
      <c r="B68" s="155" t="s">
        <v>103</v>
      </c>
      <c r="C68" s="220"/>
      <c r="D68" s="105">
        <f t="shared" ref="D68:K68" si="35">ROUND(D47*17.3%/3,2)</f>
        <v>0</v>
      </c>
      <c r="E68" s="105">
        <f t="shared" si="35"/>
        <v>0</v>
      </c>
      <c r="F68" s="105">
        <f t="shared" si="35"/>
        <v>0</v>
      </c>
      <c r="G68" s="105">
        <f t="shared" si="35"/>
        <v>0</v>
      </c>
      <c r="H68" s="105">
        <f t="shared" si="35"/>
        <v>0</v>
      </c>
      <c r="I68" s="105">
        <f t="shared" si="35"/>
        <v>0</v>
      </c>
      <c r="J68" s="105">
        <f t="shared" si="35"/>
        <v>0</v>
      </c>
      <c r="K68" s="105">
        <f t="shared" si="35"/>
        <v>0</v>
      </c>
      <c r="L68" s="105">
        <f>ROUND(L47*17.3%/3,2)</f>
        <v>0</v>
      </c>
      <c r="M68" s="105">
        <f>ROUND(M47*17.3%/3,2)</f>
        <v>0</v>
      </c>
      <c r="N68" s="105">
        <f>ROUND(N47*17.3%/3,2)</f>
        <v>0</v>
      </c>
      <c r="O68" s="105">
        <f>ROUND(O47*17.3%/3,2)</f>
        <v>0</v>
      </c>
      <c r="P68" s="106">
        <f t="shared" si="11"/>
        <v>0</v>
      </c>
      <c r="Q68" s="86"/>
      <c r="R68" s="86"/>
      <c r="S68" s="86"/>
      <c r="T68" s="86"/>
      <c r="U68" s="86"/>
      <c r="V68" s="86"/>
    </row>
    <row r="69" spans="1:22">
      <c r="A69" s="22">
        <f t="shared" si="13"/>
        <v>69</v>
      </c>
      <c r="B69" s="155" t="s">
        <v>190</v>
      </c>
      <c r="C69" s="220"/>
      <c r="D69" s="105">
        <f t="shared" ref="D69:K69" si="36">ROUND(D48*17.3%/3,2)*OR((D5="L"),(LEFT(D19)="J"))</f>
        <v>0</v>
      </c>
      <c r="E69" s="105">
        <f t="shared" si="36"/>
        <v>0</v>
      </c>
      <c r="F69" s="105">
        <f t="shared" si="36"/>
        <v>0</v>
      </c>
      <c r="G69" s="105">
        <f t="shared" si="36"/>
        <v>0</v>
      </c>
      <c r="H69" s="105">
        <f t="shared" si="36"/>
        <v>0</v>
      </c>
      <c r="I69" s="105">
        <f t="shared" si="36"/>
        <v>0</v>
      </c>
      <c r="J69" s="105">
        <f t="shared" si="36"/>
        <v>0</v>
      </c>
      <c r="K69" s="105">
        <f t="shared" si="36"/>
        <v>0</v>
      </c>
      <c r="L69" s="105">
        <f>ROUND(L48*17.3%/3,2)*OR((L5="L"),(LEFT(L19)="J"))</f>
        <v>0</v>
      </c>
      <c r="M69" s="105">
        <f>ROUND(M48*17.3%/3,2)*OR((M5="L"),(LEFT(M19)="J"))</f>
        <v>0</v>
      </c>
      <c r="N69" s="105">
        <f>ROUND(N48*17.3%/3,2)*OR((N5="L"),(LEFT(N19)="J"))</f>
        <v>0</v>
      </c>
      <c r="O69" s="105">
        <f>ROUND(O48*17.3%/3,2)*OR((O5="L"),(LEFT(O19)="J"))</f>
        <v>0</v>
      </c>
      <c r="P69" s="106">
        <f t="shared" si="11"/>
        <v>0</v>
      </c>
      <c r="Q69" s="86"/>
      <c r="R69" s="86"/>
      <c r="S69" s="86"/>
      <c r="T69" s="86"/>
      <c r="U69" s="86"/>
      <c r="V69" s="86"/>
    </row>
    <row r="70" spans="1:22">
      <c r="A70" s="22">
        <f t="shared" si="13"/>
        <v>70</v>
      </c>
      <c r="B70" s="155" t="s">
        <v>191</v>
      </c>
      <c r="C70" s="220"/>
      <c r="D70" s="105">
        <f t="shared" ref="D70:K70" si="37">ROUND(D49*17.3%/3,2)*OR((D5="L"),(LEFT(D19)="J"))</f>
        <v>0</v>
      </c>
      <c r="E70" s="105">
        <f t="shared" si="37"/>
        <v>0</v>
      </c>
      <c r="F70" s="105">
        <f t="shared" si="37"/>
        <v>0</v>
      </c>
      <c r="G70" s="105">
        <f t="shared" si="37"/>
        <v>0</v>
      </c>
      <c r="H70" s="105">
        <f t="shared" si="37"/>
        <v>0</v>
      </c>
      <c r="I70" s="105">
        <f t="shared" si="37"/>
        <v>0</v>
      </c>
      <c r="J70" s="105">
        <f t="shared" si="37"/>
        <v>0</v>
      </c>
      <c r="K70" s="105">
        <f t="shared" si="37"/>
        <v>0</v>
      </c>
      <c r="L70" s="105">
        <f>ROUND(L49*17.3%/3,2)*OR((L5="L"),(LEFT(L19)="J"))</f>
        <v>0</v>
      </c>
      <c r="M70" s="105">
        <f>ROUND(M49*17.3%/3,2)*OR((M5="L"),(LEFT(M19)="J"))</f>
        <v>0</v>
      </c>
      <c r="N70" s="105">
        <f>ROUND(N49*17.3%/3,2)*OR((N5="L"),(LEFT(N19)="J"))</f>
        <v>0</v>
      </c>
      <c r="O70" s="105">
        <f>ROUND(O49*17.3%/3,2)*OR((O5="L"),(LEFT(O19)="J"))</f>
        <v>0</v>
      </c>
      <c r="P70" s="106">
        <f t="shared" si="11"/>
        <v>0</v>
      </c>
      <c r="Q70" s="86"/>
      <c r="R70" s="86"/>
      <c r="S70" s="86"/>
      <c r="T70" s="86"/>
      <c r="U70" s="86"/>
      <c r="V70" s="86"/>
    </row>
    <row r="71" spans="1:22">
      <c r="A71" s="22">
        <f t="shared" si="13"/>
        <v>71</v>
      </c>
      <c r="B71" s="155" t="s">
        <v>56</v>
      </c>
      <c r="C71" s="220"/>
      <c r="D71" s="105">
        <f t="shared" ref="D71:K71" si="38">ROUND(D50*17.3%/3,2)*OR((D5="L"),(LEFT(D19)="J"))</f>
        <v>0</v>
      </c>
      <c r="E71" s="105">
        <f t="shared" si="38"/>
        <v>0</v>
      </c>
      <c r="F71" s="105">
        <f t="shared" si="38"/>
        <v>0</v>
      </c>
      <c r="G71" s="105">
        <f t="shared" si="38"/>
        <v>0</v>
      </c>
      <c r="H71" s="105">
        <f t="shared" si="38"/>
        <v>0</v>
      </c>
      <c r="I71" s="105">
        <f t="shared" si="38"/>
        <v>0</v>
      </c>
      <c r="J71" s="105">
        <f t="shared" si="38"/>
        <v>0</v>
      </c>
      <c r="K71" s="105">
        <f t="shared" si="38"/>
        <v>0</v>
      </c>
      <c r="L71" s="105">
        <f>ROUND(L50*17.3%/3,2)*OR((L5="L"),(LEFT(L19)="J"))</f>
        <v>0</v>
      </c>
      <c r="M71" s="105">
        <f>ROUND(M50*17.3%/3,2)*OR((M5="L"),(LEFT(M19)="J"))</f>
        <v>0</v>
      </c>
      <c r="N71" s="105">
        <f>ROUND(N50*17.3%/3,2)*OR((N5="L"),(LEFT(N19)="J"))</f>
        <v>0</v>
      </c>
      <c r="O71" s="105">
        <f>ROUND(O50*17.3%/3,2)*OR((O5="L"),(LEFT(O19)="J"))</f>
        <v>0</v>
      </c>
      <c r="P71" s="106">
        <f t="shared" si="11"/>
        <v>0</v>
      </c>
      <c r="Q71" s="86"/>
      <c r="R71" s="86"/>
      <c r="S71" s="86"/>
      <c r="T71" s="86"/>
      <c r="U71" s="86"/>
      <c r="V71" s="86"/>
    </row>
    <row r="72" spans="1:22">
      <c r="A72" s="22">
        <f t="shared" si="13"/>
        <v>72</v>
      </c>
      <c r="B72" s="155" t="s">
        <v>57</v>
      </c>
      <c r="C72" s="220"/>
      <c r="D72" s="105">
        <f t="shared" ref="D72:K72" si="39">ROUND(D51*17.3%/3,2)*OR((D5="L"),(LEFT(D19)="J"))</f>
        <v>0</v>
      </c>
      <c r="E72" s="105">
        <f t="shared" si="39"/>
        <v>0</v>
      </c>
      <c r="F72" s="105">
        <f t="shared" si="39"/>
        <v>0</v>
      </c>
      <c r="G72" s="105">
        <f t="shared" si="39"/>
        <v>0</v>
      </c>
      <c r="H72" s="105">
        <f t="shared" si="39"/>
        <v>0</v>
      </c>
      <c r="I72" s="105">
        <f t="shared" si="39"/>
        <v>0</v>
      </c>
      <c r="J72" s="105">
        <f t="shared" si="39"/>
        <v>0</v>
      </c>
      <c r="K72" s="105">
        <f t="shared" si="39"/>
        <v>0</v>
      </c>
      <c r="L72" s="105">
        <f>ROUND(L51*17.3%/3,2)*OR((L5="L"),(LEFT(L19)="J"))</f>
        <v>0</v>
      </c>
      <c r="M72" s="105">
        <f>ROUND(M51*17.3%/3,2)*OR((M5="L"),(LEFT(M19)="J"))</f>
        <v>0</v>
      </c>
      <c r="N72" s="105">
        <f>ROUND(N51*17.3%/3,2)*OR((N5="L"),(LEFT(N19)="J"))</f>
        <v>0</v>
      </c>
      <c r="O72" s="105">
        <f>ROUND(O51*17.3%/3,2)*OR((O5="L"),(LEFT(O19)="J"))</f>
        <v>0</v>
      </c>
      <c r="P72" s="106">
        <f t="shared" si="11"/>
        <v>0</v>
      </c>
      <c r="Q72" s="86"/>
      <c r="R72" s="86"/>
      <c r="S72" s="86"/>
      <c r="T72" s="86"/>
      <c r="U72" s="86"/>
      <c r="V72" s="86"/>
    </row>
    <row r="73" spans="1:22">
      <c r="A73" s="22">
        <f t="shared" si="13"/>
        <v>73</v>
      </c>
      <c r="B73" s="155" t="s">
        <v>58</v>
      </c>
      <c r="C73" s="220"/>
      <c r="D73" s="105">
        <f t="shared" ref="D73:K73" si="40">ROUND(D52*17.3%/3,2)*OR((D5="L"),(LEFT(D19)="J"))</f>
        <v>57.25</v>
      </c>
      <c r="E73" s="105">
        <f t="shared" si="40"/>
        <v>57.25</v>
      </c>
      <c r="F73" s="105">
        <f t="shared" si="40"/>
        <v>57.25</v>
      </c>
      <c r="G73" s="105">
        <f t="shared" si="40"/>
        <v>57.25</v>
      </c>
      <c r="H73" s="105">
        <f t="shared" si="40"/>
        <v>57.25</v>
      </c>
      <c r="I73" s="105">
        <f t="shared" si="40"/>
        <v>57.25</v>
      </c>
      <c r="J73" s="105">
        <f t="shared" si="40"/>
        <v>57.25</v>
      </c>
      <c r="K73" s="105">
        <f t="shared" si="40"/>
        <v>57.25</v>
      </c>
      <c r="L73" s="105">
        <f>ROUND(L52*17.3%/3,2)*OR((L5="L"),(LEFT(L19)="J"))</f>
        <v>61.6</v>
      </c>
      <c r="M73" s="105">
        <f>ROUND(M52*17.3%/3,2)*OR((M5="L"),(LEFT(M19)="J"))</f>
        <v>61.6</v>
      </c>
      <c r="N73" s="105">
        <f>ROUND(N52*17.3%/3,2)*OR((N5="L"),(LEFT(N19)="J"))</f>
        <v>61.6</v>
      </c>
      <c r="O73" s="105">
        <f>ROUND(O52*17.3%/3,2)*OR((O5="L"),(LEFT(O19)="J"))</f>
        <v>61.6</v>
      </c>
      <c r="P73" s="106">
        <f t="shared" si="11"/>
        <v>704.40000000000009</v>
      </c>
      <c r="Q73" s="86"/>
      <c r="R73" s="86"/>
      <c r="S73" s="86"/>
      <c r="T73" s="86"/>
      <c r="U73" s="86"/>
      <c r="V73" s="86"/>
    </row>
    <row r="74" spans="1:22">
      <c r="A74" s="22">
        <f t="shared" si="13"/>
        <v>74</v>
      </c>
      <c r="B74" s="155" t="s">
        <v>59</v>
      </c>
      <c r="C74" s="220"/>
      <c r="D74" s="105">
        <f t="shared" ref="D74:K75" si="41">ROUND(D53*17.3%/3,2)*OR((D5="L"),(LEFT(D19)="J"))</f>
        <v>0</v>
      </c>
      <c r="E74" s="105">
        <f t="shared" si="41"/>
        <v>0</v>
      </c>
      <c r="F74" s="105">
        <f t="shared" si="41"/>
        <v>0</v>
      </c>
      <c r="G74" s="105">
        <f t="shared" si="41"/>
        <v>0</v>
      </c>
      <c r="H74" s="105">
        <f t="shared" si="41"/>
        <v>0</v>
      </c>
      <c r="I74" s="105">
        <f t="shared" si="41"/>
        <v>0</v>
      </c>
      <c r="J74" s="105">
        <f t="shared" si="41"/>
        <v>0</v>
      </c>
      <c r="K74" s="105">
        <f t="shared" si="41"/>
        <v>0</v>
      </c>
      <c r="L74" s="105">
        <f t="shared" ref="L74:O75" si="42">ROUND(L53*17.3%/3,2)*OR((L5="L"),(LEFT(L19)="J"))</f>
        <v>0</v>
      </c>
      <c r="M74" s="105">
        <f t="shared" si="42"/>
        <v>0</v>
      </c>
      <c r="N74" s="105">
        <f t="shared" si="42"/>
        <v>0</v>
      </c>
      <c r="O74" s="105">
        <f t="shared" si="42"/>
        <v>0</v>
      </c>
      <c r="P74" s="106">
        <f t="shared" si="11"/>
        <v>0</v>
      </c>
      <c r="Q74" s="86"/>
      <c r="R74" s="86"/>
      <c r="S74" s="86"/>
      <c r="T74" s="86"/>
      <c r="U74" s="86"/>
      <c r="V74" s="86"/>
    </row>
    <row r="75" spans="1:22">
      <c r="A75" s="22">
        <f t="shared" si="13"/>
        <v>75</v>
      </c>
      <c r="B75" s="155" t="s">
        <v>340</v>
      </c>
      <c r="C75" s="220"/>
      <c r="D75" s="105">
        <f t="shared" si="41"/>
        <v>0</v>
      </c>
      <c r="E75" s="105">
        <f t="shared" si="41"/>
        <v>0</v>
      </c>
      <c r="F75" s="105">
        <f t="shared" si="41"/>
        <v>0</v>
      </c>
      <c r="G75" s="105">
        <f t="shared" si="41"/>
        <v>0</v>
      </c>
      <c r="H75" s="105">
        <f t="shared" si="41"/>
        <v>0</v>
      </c>
      <c r="I75" s="105">
        <f t="shared" si="41"/>
        <v>0</v>
      </c>
      <c r="J75" s="105">
        <f t="shared" si="41"/>
        <v>0</v>
      </c>
      <c r="K75" s="105">
        <f t="shared" si="41"/>
        <v>0</v>
      </c>
      <c r="L75" s="105">
        <f t="shared" si="42"/>
        <v>0</v>
      </c>
      <c r="M75" s="105">
        <f t="shared" si="42"/>
        <v>0</v>
      </c>
      <c r="N75" s="105">
        <f t="shared" si="42"/>
        <v>0</v>
      </c>
      <c r="O75" s="105">
        <f t="shared" si="42"/>
        <v>0</v>
      </c>
      <c r="P75" s="106">
        <f>SUM(D75:O75)</f>
        <v>0</v>
      </c>
      <c r="Q75" s="86"/>
      <c r="R75" s="86"/>
      <c r="S75" s="86"/>
      <c r="T75" s="86"/>
      <c r="U75" s="86"/>
      <c r="V75" s="86"/>
    </row>
    <row r="76" spans="1:22">
      <c r="A76" s="22">
        <f t="shared" si="13"/>
        <v>76</v>
      </c>
      <c r="B76" s="155" t="s">
        <v>14</v>
      </c>
      <c r="C76" s="220"/>
      <c r="D76" s="105">
        <f t="shared" ref="D76:K76" si="43">ROUND(D55*17.3%/3,2)*(D5="L")</f>
        <v>0</v>
      </c>
      <c r="E76" s="105">
        <f t="shared" si="43"/>
        <v>0</v>
      </c>
      <c r="F76" s="105">
        <f t="shared" si="43"/>
        <v>0</v>
      </c>
      <c r="G76" s="105">
        <f t="shared" si="43"/>
        <v>0</v>
      </c>
      <c r="H76" s="105">
        <f t="shared" si="43"/>
        <v>0</v>
      </c>
      <c r="I76" s="105">
        <f t="shared" si="43"/>
        <v>0</v>
      </c>
      <c r="J76" s="105">
        <f t="shared" si="43"/>
        <v>0</v>
      </c>
      <c r="K76" s="105">
        <f t="shared" si="43"/>
        <v>0</v>
      </c>
      <c r="L76" s="105">
        <f>ROUND(L55*17.3%/3,2)*(L5="L")</f>
        <v>0</v>
      </c>
      <c r="M76" s="105">
        <f>ROUND(M55*17.3%/3,2)*(M5="L")</f>
        <v>0</v>
      </c>
      <c r="N76" s="105">
        <f>ROUND(N55*17.3%/3,2)*(N5="L")</f>
        <v>0</v>
      </c>
      <c r="O76" s="105">
        <f>ROUND(O55*17.3%/3,2)*(O5="L")</f>
        <v>0</v>
      </c>
      <c r="P76" s="106">
        <f t="shared" si="11"/>
        <v>0</v>
      </c>
      <c r="Q76" s="86"/>
      <c r="R76" s="86"/>
      <c r="S76" s="86"/>
      <c r="T76" s="86"/>
      <c r="U76" s="86"/>
      <c r="V76" s="86"/>
    </row>
    <row r="77" spans="1:22">
      <c r="A77" s="22">
        <f t="shared" si="13"/>
        <v>77</v>
      </c>
      <c r="B77" s="155" t="s">
        <v>349</v>
      </c>
      <c r="C77" s="220"/>
      <c r="D77" s="105"/>
      <c r="E77" s="105"/>
      <c r="F77" s="105"/>
      <c r="G77" s="105"/>
      <c r="H77" s="105"/>
      <c r="I77" s="105"/>
      <c r="J77" s="105"/>
      <c r="K77" s="105"/>
      <c r="L77" s="105"/>
      <c r="M77" s="105"/>
      <c r="N77" s="105"/>
      <c r="O77" s="105"/>
      <c r="P77" s="106">
        <f t="shared" si="11"/>
        <v>0</v>
      </c>
      <c r="Q77" s="86"/>
      <c r="R77" s="86"/>
      <c r="S77" s="86"/>
      <c r="T77" s="86"/>
      <c r="U77" s="86"/>
      <c r="V77" s="86"/>
    </row>
    <row r="78" spans="1:22">
      <c r="A78" s="22">
        <f t="shared" si="13"/>
        <v>78</v>
      </c>
      <c r="B78" s="155" t="s">
        <v>108</v>
      </c>
      <c r="C78" s="220"/>
      <c r="D78" s="105">
        <f t="shared" ref="D78:O78" si="44">((SUM(D44:D60)-301881.8*D6*D8/12)*0.7%/3*((D65-D61)&gt;301881.8/12*D6*D8)*(LEFT(D4)="B")+(SUM(D44:D60)-361659.2*D6*D8/12)*0.7%/3*(SUM(D44:D60)&gt;361659.2/12*D6*D8)*(LEFT(D4)="L"))*(LEFT(D5)&lt;&gt;"L")*(LEFT(D19)="J")</f>
        <v>0</v>
      </c>
      <c r="E78" s="105">
        <f t="shared" si="44"/>
        <v>0</v>
      </c>
      <c r="F78" s="105">
        <f t="shared" si="44"/>
        <v>0</v>
      </c>
      <c r="G78" s="105">
        <f t="shared" si="44"/>
        <v>0</v>
      </c>
      <c r="H78" s="105">
        <f t="shared" si="44"/>
        <v>0</v>
      </c>
      <c r="I78" s="105">
        <f t="shared" si="44"/>
        <v>0</v>
      </c>
      <c r="J78" s="105">
        <f t="shared" si="44"/>
        <v>0</v>
      </c>
      <c r="K78" s="105">
        <f t="shared" si="44"/>
        <v>0</v>
      </c>
      <c r="L78" s="105">
        <f t="shared" si="44"/>
        <v>0</v>
      </c>
      <c r="M78" s="105">
        <f t="shared" si="44"/>
        <v>0</v>
      </c>
      <c r="N78" s="105">
        <f t="shared" si="44"/>
        <v>0</v>
      </c>
      <c r="O78" s="105">
        <f t="shared" si="44"/>
        <v>0</v>
      </c>
      <c r="P78" s="106">
        <f t="shared" si="11"/>
        <v>0</v>
      </c>
      <c r="Q78" s="86"/>
      <c r="R78" s="86"/>
      <c r="S78" s="86"/>
      <c r="T78" s="86"/>
      <c r="U78" s="86"/>
      <c r="V78" s="86"/>
    </row>
    <row r="79" spans="1:22">
      <c r="A79" s="22">
        <f t="shared" si="13"/>
        <v>79</v>
      </c>
      <c r="B79" s="155" t="s">
        <v>247</v>
      </c>
      <c r="C79" s="220"/>
      <c r="D79" s="208">
        <f t="shared" ref="D79:K79" si="45">ROUND(-(D22+D25)*4.62%*SUM(D66:D78),2)</f>
        <v>0</v>
      </c>
      <c r="E79" s="208">
        <f t="shared" si="45"/>
        <v>0</v>
      </c>
      <c r="F79" s="208">
        <f t="shared" si="45"/>
        <v>0</v>
      </c>
      <c r="G79" s="208">
        <f t="shared" si="45"/>
        <v>0</v>
      </c>
      <c r="H79" s="208">
        <f t="shared" si="45"/>
        <v>0</v>
      </c>
      <c r="I79" s="208">
        <f t="shared" si="45"/>
        <v>0</v>
      </c>
      <c r="J79" s="208">
        <f t="shared" si="45"/>
        <v>0</v>
      </c>
      <c r="K79" s="208">
        <f t="shared" si="45"/>
        <v>0</v>
      </c>
      <c r="L79" s="208">
        <f>ROUND(-(L22+L25)*4.62%*SUM(L66:L78),2)</f>
        <v>0</v>
      </c>
      <c r="M79" s="208">
        <f>ROUND(-(M22+M25)*4.62%*SUM(M66:M78),2)</f>
        <v>0</v>
      </c>
      <c r="N79" s="208">
        <f>ROUND(-(N22+N25)*4.62%*SUM(N66:N78),2)</f>
        <v>0</v>
      </c>
      <c r="O79" s="208">
        <f>ROUND(-(O22+O25)*4.62%*SUM(O66:O78),2)</f>
        <v>0</v>
      </c>
      <c r="P79" s="106">
        <f t="shared" si="11"/>
        <v>0</v>
      </c>
      <c r="Q79" s="86"/>
      <c r="R79" s="86"/>
      <c r="S79" s="86"/>
      <c r="T79" s="86"/>
      <c r="U79" s="86"/>
      <c r="V79" s="86"/>
    </row>
    <row r="80" spans="1:22">
      <c r="A80" s="22">
        <f t="shared" si="13"/>
        <v>80</v>
      </c>
      <c r="B80" s="156" t="s">
        <v>35</v>
      </c>
      <c r="C80" s="220"/>
      <c r="D80" s="211">
        <f t="shared" ref="D80:K80" si="46">IF(OR(D62=0,D8=0),0,(D66+D73+D74+D76+D77)/D8*4.62%*(D23-D8)*(D21-D22))</f>
        <v>-35.043063536250031</v>
      </c>
      <c r="E80" s="211">
        <f t="shared" si="46"/>
        <v>0</v>
      </c>
      <c r="F80" s="211">
        <f t="shared" si="46"/>
        <v>0</v>
      </c>
      <c r="G80" s="211">
        <f t="shared" si="46"/>
        <v>0</v>
      </c>
      <c r="H80" s="211">
        <f t="shared" si="46"/>
        <v>0</v>
      </c>
      <c r="I80" s="211">
        <f t="shared" si="46"/>
        <v>0</v>
      </c>
      <c r="J80" s="211">
        <f t="shared" si="46"/>
        <v>0</v>
      </c>
      <c r="K80" s="211">
        <f t="shared" si="46"/>
        <v>0</v>
      </c>
      <c r="L80" s="211">
        <f>IF(OR(L62=0,L8=0),0,(L66+L73+L74+L76+L77)/L8*4.62%*(L23-L8)*(L21-L22))</f>
        <v>0</v>
      </c>
      <c r="M80" s="211">
        <f>IF(OR(M62=0,M8=0),0,(M66+M73+M74+M76+M77)/M8*4.62%*(M24-M8)*(M21-M22))</f>
        <v>-2.1372986250000013E-7</v>
      </c>
      <c r="N80" s="211">
        <f>IF(OR(N62=0,N8=0),0,(N66+N73+N74+N76+N77)/N8*4.62%*(N24-N8)*(N21-N22))</f>
        <v>0</v>
      </c>
      <c r="O80" s="211">
        <f>IF(OR(O62=0,O8=0),0,(O66+O73+O74+O76+O77)/O8*4.62%*(O24-O8)*(O21-O22))</f>
        <v>-42.745972500000029</v>
      </c>
      <c r="P80" s="123">
        <f t="shared" si="11"/>
        <v>-77.789036249979915</v>
      </c>
      <c r="Q80" s="86"/>
      <c r="R80" s="86"/>
      <c r="S80" s="86"/>
      <c r="T80" s="86"/>
      <c r="U80" s="86"/>
      <c r="V80" s="86"/>
    </row>
    <row r="81" spans="1:22" ht="14" thickBot="1">
      <c r="A81" s="150">
        <f t="shared" si="13"/>
        <v>81</v>
      </c>
      <c r="B81" s="151" t="s">
        <v>181</v>
      </c>
      <c r="C81" s="221"/>
      <c r="D81" s="212">
        <f>SUM(D66:D80)</f>
        <v>1183.49693646375</v>
      </c>
      <c r="E81" s="152">
        <f t="shared" ref="E81:O81" si="47">SUM(E66:E80)</f>
        <v>1218.54</v>
      </c>
      <c r="F81" s="152">
        <f t="shared" si="47"/>
        <v>1218.54</v>
      </c>
      <c r="G81" s="152">
        <f t="shared" si="47"/>
        <v>1218.54</v>
      </c>
      <c r="H81" s="152">
        <f t="shared" si="47"/>
        <v>1218.54</v>
      </c>
      <c r="I81" s="152">
        <f t="shared" si="47"/>
        <v>1218.54</v>
      </c>
      <c r="J81" s="152">
        <f t="shared" si="47"/>
        <v>1218.54</v>
      </c>
      <c r="K81" s="152">
        <f t="shared" si="47"/>
        <v>1218.54</v>
      </c>
      <c r="L81" s="152">
        <f t="shared" si="47"/>
        <v>1311.1299999999999</v>
      </c>
      <c r="M81" s="152">
        <f t="shared" si="47"/>
        <v>1311.12999978627</v>
      </c>
      <c r="N81" s="152">
        <f t="shared" si="47"/>
        <v>1311.1299999999999</v>
      </c>
      <c r="O81" s="152">
        <f t="shared" si="47"/>
        <v>1268.3840274999998</v>
      </c>
      <c r="P81" s="153">
        <f t="shared" si="11"/>
        <v>14915.050963750018</v>
      </c>
      <c r="Q81" s="86"/>
      <c r="R81" s="86"/>
      <c r="S81" s="86"/>
      <c r="T81" s="86"/>
      <c r="U81" s="86"/>
      <c r="V81" s="86"/>
    </row>
    <row r="82" spans="1:22" ht="14" thickTop="1">
      <c r="A82" s="22">
        <f>A81+1</f>
        <v>82</v>
      </c>
      <c r="B82" s="182" t="s">
        <v>96</v>
      </c>
      <c r="C82" s="222"/>
      <c r="D82" s="213">
        <f>D94/3</f>
        <v>90</v>
      </c>
      <c r="E82" s="108">
        <f t="shared" ref="E82:O82" si="48">E94/3</f>
        <v>90</v>
      </c>
      <c r="F82" s="108">
        <f t="shared" si="48"/>
        <v>90</v>
      </c>
      <c r="G82" s="108">
        <f t="shared" si="48"/>
        <v>90</v>
      </c>
      <c r="H82" s="108">
        <f t="shared" si="48"/>
        <v>90</v>
      </c>
      <c r="I82" s="108">
        <f t="shared" si="48"/>
        <v>90</v>
      </c>
      <c r="J82" s="108">
        <f t="shared" si="48"/>
        <v>90</v>
      </c>
      <c r="K82" s="108">
        <f t="shared" si="48"/>
        <v>90</v>
      </c>
      <c r="L82" s="108">
        <f t="shared" si="48"/>
        <v>90</v>
      </c>
      <c r="M82" s="108">
        <f t="shared" si="48"/>
        <v>90</v>
      </c>
      <c r="N82" s="108">
        <f t="shared" si="48"/>
        <v>90</v>
      </c>
      <c r="O82" s="108">
        <f t="shared" si="48"/>
        <v>90</v>
      </c>
      <c r="P82" s="104">
        <f>SUM(D82:O82)</f>
        <v>1080</v>
      </c>
      <c r="Q82" s="86"/>
      <c r="R82" s="86"/>
      <c r="S82" s="86"/>
      <c r="T82" s="86"/>
      <c r="U82" s="86"/>
      <c r="V82" s="86"/>
    </row>
    <row r="83" spans="1:22">
      <c r="A83" s="22">
        <f>A82+1</f>
        <v>83</v>
      </c>
      <c r="B83" s="182" t="s">
        <v>91</v>
      </c>
      <c r="C83" s="222"/>
      <c r="D83" s="213">
        <f t="shared" ref="D83:O83" si="49">SUM(D44:D63)-D82</f>
        <v>21370.451889013122</v>
      </c>
      <c r="E83" s="108">
        <f t="shared" si="49"/>
        <v>22002.389999999996</v>
      </c>
      <c r="F83" s="108">
        <f t="shared" si="49"/>
        <v>22002.389999999996</v>
      </c>
      <c r="G83" s="108">
        <f t="shared" si="49"/>
        <v>22002.389999999996</v>
      </c>
      <c r="H83" s="108">
        <f t="shared" si="49"/>
        <v>22002.389999999996</v>
      </c>
      <c r="I83" s="108">
        <f t="shared" si="49"/>
        <v>22002.389999999996</v>
      </c>
      <c r="J83" s="108">
        <f t="shared" si="49"/>
        <v>22002.389999999996</v>
      </c>
      <c r="K83" s="108">
        <f t="shared" si="49"/>
        <v>22002.389999999996</v>
      </c>
      <c r="L83" s="108">
        <f t="shared" si="49"/>
        <v>23653.120000000003</v>
      </c>
      <c r="M83" s="108">
        <f t="shared" si="49"/>
        <v>27198.579886455995</v>
      </c>
      <c r="N83" s="108">
        <f t="shared" si="49"/>
        <v>23653.120000000003</v>
      </c>
      <c r="O83" s="108">
        <f t="shared" si="49"/>
        <v>22882.961033500003</v>
      </c>
      <c r="P83" s="104">
        <f t="shared" ref="P83:P99" si="50">SUM(D83:O83)</f>
        <v>272774.96280896908</v>
      </c>
      <c r="Q83" s="86"/>
      <c r="R83" s="86"/>
      <c r="S83" s="86"/>
      <c r="T83" s="86"/>
      <c r="U83" s="86"/>
      <c r="V83" s="86"/>
    </row>
    <row r="84" spans="1:22">
      <c r="A84" s="22">
        <f t="shared" ref="A84:A100" si="51">A83+1</f>
        <v>84</v>
      </c>
      <c r="B84" s="183" t="s">
        <v>92</v>
      </c>
      <c r="C84" s="222"/>
      <c r="D84" s="214">
        <f>ROUND(D83*8%,0)</f>
        <v>1710</v>
      </c>
      <c r="E84" s="109">
        <f t="shared" ref="E84:O84" si="52">ROUND(E83*8%,0)</f>
        <v>1760</v>
      </c>
      <c r="F84" s="109">
        <f t="shared" si="52"/>
        <v>1760</v>
      </c>
      <c r="G84" s="109">
        <f t="shared" si="52"/>
        <v>1760</v>
      </c>
      <c r="H84" s="109">
        <f t="shared" si="52"/>
        <v>1760</v>
      </c>
      <c r="I84" s="109">
        <f t="shared" si="52"/>
        <v>1760</v>
      </c>
      <c r="J84" s="109">
        <f t="shared" si="52"/>
        <v>1760</v>
      </c>
      <c r="K84" s="109">
        <f t="shared" si="52"/>
        <v>1760</v>
      </c>
      <c r="L84" s="109">
        <f t="shared" si="52"/>
        <v>1892</v>
      </c>
      <c r="M84" s="109">
        <f t="shared" si="52"/>
        <v>2176</v>
      </c>
      <c r="N84" s="109">
        <f t="shared" si="52"/>
        <v>1892</v>
      </c>
      <c r="O84" s="109">
        <f t="shared" si="52"/>
        <v>1831</v>
      </c>
      <c r="P84" s="106">
        <f t="shared" si="50"/>
        <v>21821</v>
      </c>
      <c r="Q84" s="86"/>
      <c r="R84" s="86"/>
      <c r="S84" s="86"/>
      <c r="T84" s="86"/>
      <c r="U84" s="86"/>
      <c r="V84" s="86"/>
    </row>
    <row r="85" spans="1:22">
      <c r="A85" s="22">
        <f t="shared" si="51"/>
        <v>85</v>
      </c>
      <c r="B85" s="183" t="s">
        <v>93</v>
      </c>
      <c r="C85" s="222"/>
      <c r="D85" s="214">
        <f>D83-D84</f>
        <v>19660.451889013122</v>
      </c>
      <c r="E85" s="109">
        <f t="shared" ref="E85:O85" si="53">E83-E84</f>
        <v>20242.389999999996</v>
      </c>
      <c r="F85" s="109">
        <f t="shared" si="53"/>
        <v>20242.389999999996</v>
      </c>
      <c r="G85" s="109">
        <f t="shared" si="53"/>
        <v>20242.389999999996</v>
      </c>
      <c r="H85" s="109">
        <f t="shared" si="53"/>
        <v>20242.389999999996</v>
      </c>
      <c r="I85" s="109">
        <f t="shared" si="53"/>
        <v>20242.389999999996</v>
      </c>
      <c r="J85" s="109">
        <f t="shared" si="53"/>
        <v>20242.389999999996</v>
      </c>
      <c r="K85" s="109">
        <f t="shared" si="53"/>
        <v>20242.389999999996</v>
      </c>
      <c r="L85" s="109">
        <f t="shared" si="53"/>
        <v>21761.120000000003</v>
      </c>
      <c r="M85" s="109">
        <f t="shared" si="53"/>
        <v>25022.579886455995</v>
      </c>
      <c r="N85" s="109">
        <f t="shared" si="53"/>
        <v>21761.120000000003</v>
      </c>
      <c r="O85" s="109">
        <f t="shared" si="53"/>
        <v>21051.961033500003</v>
      </c>
      <c r="P85" s="106">
        <f t="shared" si="50"/>
        <v>250953.96280896908</v>
      </c>
      <c r="Q85" s="86"/>
      <c r="R85" s="86"/>
      <c r="S85" s="86"/>
      <c r="T85" s="86"/>
      <c r="U85" s="86"/>
      <c r="V85" s="86"/>
    </row>
    <row r="86" spans="1:22">
      <c r="A86" s="22">
        <f t="shared" si="51"/>
        <v>86</v>
      </c>
      <c r="B86" s="183" t="s">
        <v>105</v>
      </c>
      <c r="C86" s="222"/>
      <c r="D86" s="214">
        <f t="shared" ref="D86:O86" si="54">ROUND(D85-D27,-1)</f>
        <v>14160</v>
      </c>
      <c r="E86" s="109">
        <f t="shared" si="54"/>
        <v>14740</v>
      </c>
      <c r="F86" s="109">
        <f t="shared" si="54"/>
        <v>14740</v>
      </c>
      <c r="G86" s="109">
        <f t="shared" si="54"/>
        <v>14740</v>
      </c>
      <c r="H86" s="109">
        <f t="shared" si="54"/>
        <v>14740</v>
      </c>
      <c r="I86" s="109">
        <f t="shared" si="54"/>
        <v>14740</v>
      </c>
      <c r="J86" s="109">
        <f t="shared" si="54"/>
        <v>14740</v>
      </c>
      <c r="K86" s="109">
        <f t="shared" si="54"/>
        <v>14740</v>
      </c>
      <c r="L86" s="109">
        <f t="shared" si="54"/>
        <v>16260</v>
      </c>
      <c r="M86" s="109">
        <f t="shared" si="54"/>
        <v>19520</v>
      </c>
      <c r="N86" s="109">
        <f t="shared" si="54"/>
        <v>16260</v>
      </c>
      <c r="O86" s="109">
        <f t="shared" si="54"/>
        <v>15550</v>
      </c>
      <c r="P86" s="106"/>
      <c r="Q86" s="86"/>
      <c r="R86" s="86"/>
      <c r="S86" s="86"/>
      <c r="T86" s="86"/>
      <c r="U86" s="86"/>
      <c r="V86" s="86"/>
    </row>
    <row r="87" spans="1:22">
      <c r="A87" s="22">
        <f t="shared" si="51"/>
        <v>87</v>
      </c>
      <c r="B87" s="183" t="s">
        <v>94</v>
      </c>
      <c r="C87" s="222"/>
      <c r="D87" s="214">
        <f t="shared" ref="D87:O87" si="55">ROUND(D86*D26/100,0)</f>
        <v>5664</v>
      </c>
      <c r="E87" s="109">
        <f t="shared" si="55"/>
        <v>5896</v>
      </c>
      <c r="F87" s="109">
        <f t="shared" si="55"/>
        <v>5896</v>
      </c>
      <c r="G87" s="109">
        <f t="shared" si="55"/>
        <v>5896</v>
      </c>
      <c r="H87" s="109">
        <f t="shared" si="55"/>
        <v>5896</v>
      </c>
      <c r="I87" s="109">
        <f t="shared" si="55"/>
        <v>5896</v>
      </c>
      <c r="J87" s="109">
        <f t="shared" si="55"/>
        <v>5896</v>
      </c>
      <c r="K87" s="109">
        <f t="shared" si="55"/>
        <v>5896</v>
      </c>
      <c r="L87" s="109">
        <f t="shared" si="55"/>
        <v>6504</v>
      </c>
      <c r="M87" s="109">
        <f t="shared" si="55"/>
        <v>7808</v>
      </c>
      <c r="N87" s="109">
        <f t="shared" si="55"/>
        <v>6504</v>
      </c>
      <c r="O87" s="109">
        <f t="shared" si="55"/>
        <v>6220</v>
      </c>
      <c r="P87" s="106">
        <f t="shared" si="50"/>
        <v>73972</v>
      </c>
      <c r="Q87" s="86"/>
      <c r="R87" s="86"/>
      <c r="S87" s="86"/>
      <c r="T87" s="86"/>
      <c r="U87" s="86"/>
      <c r="V87" s="86"/>
    </row>
    <row r="88" spans="1:22">
      <c r="A88" s="22">
        <f t="shared" si="51"/>
        <v>88</v>
      </c>
      <c r="B88" s="183" t="s">
        <v>343</v>
      </c>
      <c r="C88" s="235">
        <f>Ex12_13!P89</f>
        <v>126534.11802795838</v>
      </c>
      <c r="D88" s="214">
        <f>SUM(D44:D63)</f>
        <v>21460.451889013122</v>
      </c>
      <c r="E88" s="109">
        <f>SUM(E44:E63)</f>
        <v>22092.389999999996</v>
      </c>
      <c r="F88" s="109">
        <f>SUM(F44:F63)</f>
        <v>22092.389999999996</v>
      </c>
      <c r="G88" s="109">
        <f>SUM(G44:G63)</f>
        <v>22092.389999999996</v>
      </c>
      <c r="H88" s="109">
        <f>SUM(H44:H63)</f>
        <v>22092.389999999996</v>
      </c>
      <c r="I88" s="135" t="s">
        <v>207</v>
      </c>
      <c r="J88" s="157"/>
      <c r="K88" s="157"/>
      <c r="L88" s="157"/>
      <c r="M88" s="157"/>
      <c r="N88" s="157"/>
      <c r="O88" s="157"/>
      <c r="P88" s="106">
        <f>SUM(C88:H88)</f>
        <v>236364.12991697143</v>
      </c>
      <c r="Q88" s="86"/>
      <c r="R88" s="86"/>
      <c r="S88" s="86"/>
      <c r="T88" s="86"/>
      <c r="U88" s="86"/>
      <c r="V88" s="86"/>
    </row>
    <row r="89" spans="1:22">
      <c r="A89" s="22">
        <f t="shared" si="51"/>
        <v>89</v>
      </c>
      <c r="B89" s="183" t="s">
        <v>344</v>
      </c>
      <c r="C89" s="225"/>
      <c r="D89" s="136" t="s">
        <v>207</v>
      </c>
      <c r="E89" s="157"/>
      <c r="F89" s="157"/>
      <c r="G89" s="157"/>
      <c r="H89" s="157"/>
      <c r="I89" s="109">
        <f>SUM(I44:I63)</f>
        <v>22092.389999999996</v>
      </c>
      <c r="J89" s="109">
        <f>SUM(J44:J63)</f>
        <v>22092.389999999996</v>
      </c>
      <c r="K89" s="109">
        <f>SUM(K44:K63)</f>
        <v>22092.389999999996</v>
      </c>
      <c r="L89" s="109">
        <f>SUM(L44:L63)</f>
        <v>23743.120000000003</v>
      </c>
      <c r="M89" s="109">
        <f>SUM(M44:M63)-M37</f>
        <v>23743.119886455996</v>
      </c>
      <c r="N89" s="109">
        <f>SUM(N44:N63)-N37</f>
        <v>23743.120000000003</v>
      </c>
      <c r="O89" s="109">
        <f>SUM(O44:O63)-O37</f>
        <v>22972.961033500003</v>
      </c>
      <c r="P89" s="106">
        <f t="shared" si="50"/>
        <v>160479.49091995598</v>
      </c>
      <c r="Q89" s="86"/>
      <c r="R89" s="86"/>
      <c r="S89" s="86"/>
      <c r="T89" s="86"/>
      <c r="U89" s="86"/>
      <c r="V89" s="86"/>
    </row>
    <row r="90" spans="1:22">
      <c r="A90" s="22">
        <f t="shared" si="51"/>
        <v>90</v>
      </c>
      <c r="B90" s="183" t="s">
        <v>180</v>
      </c>
      <c r="C90" s="222"/>
      <c r="D90" s="214">
        <f>D81</f>
        <v>1183.49693646375</v>
      </c>
      <c r="E90" s="109">
        <f t="shared" ref="E90:O90" si="56">E81</f>
        <v>1218.54</v>
      </c>
      <c r="F90" s="109">
        <f t="shared" si="56"/>
        <v>1218.54</v>
      </c>
      <c r="G90" s="109">
        <f t="shared" si="56"/>
        <v>1218.54</v>
      </c>
      <c r="H90" s="109">
        <f t="shared" si="56"/>
        <v>1218.54</v>
      </c>
      <c r="I90" s="109">
        <f t="shared" si="56"/>
        <v>1218.54</v>
      </c>
      <c r="J90" s="109">
        <f t="shared" si="56"/>
        <v>1218.54</v>
      </c>
      <c r="K90" s="109">
        <f t="shared" si="56"/>
        <v>1218.54</v>
      </c>
      <c r="L90" s="109">
        <f t="shared" si="56"/>
        <v>1311.1299999999999</v>
      </c>
      <c r="M90" s="109">
        <f t="shared" si="56"/>
        <v>1311.12999978627</v>
      </c>
      <c r="N90" s="109">
        <f t="shared" si="56"/>
        <v>1311.1299999999999</v>
      </c>
      <c r="O90" s="109">
        <f t="shared" si="56"/>
        <v>1268.3840274999998</v>
      </c>
      <c r="P90" s="106">
        <f t="shared" si="50"/>
        <v>14915.050963750018</v>
      </c>
      <c r="Q90" s="86"/>
      <c r="R90" s="86"/>
      <c r="S90" s="86"/>
      <c r="T90" s="86"/>
      <c r="U90" s="86"/>
      <c r="V90" s="86"/>
    </row>
    <row r="91" spans="1:22">
      <c r="A91" s="22">
        <f t="shared" si="51"/>
        <v>91</v>
      </c>
      <c r="B91" s="183" t="s">
        <v>184</v>
      </c>
      <c r="C91" s="222"/>
      <c r="D91" s="214">
        <f>D90*2</f>
        <v>2366.9938729275</v>
      </c>
      <c r="E91" s="109">
        <f t="shared" ref="E91:O91" si="57">E90*2</f>
        <v>2437.08</v>
      </c>
      <c r="F91" s="109">
        <f t="shared" si="57"/>
        <v>2437.08</v>
      </c>
      <c r="G91" s="109">
        <f t="shared" si="57"/>
        <v>2437.08</v>
      </c>
      <c r="H91" s="109">
        <f t="shared" si="57"/>
        <v>2437.08</v>
      </c>
      <c r="I91" s="109">
        <f t="shared" si="57"/>
        <v>2437.08</v>
      </c>
      <c r="J91" s="109">
        <f t="shared" si="57"/>
        <v>2437.08</v>
      </c>
      <c r="K91" s="109">
        <f t="shared" si="57"/>
        <v>2437.08</v>
      </c>
      <c r="L91" s="109">
        <f t="shared" si="57"/>
        <v>2622.2599999999998</v>
      </c>
      <c r="M91" s="109">
        <f t="shared" si="57"/>
        <v>2622.25999957254</v>
      </c>
      <c r="N91" s="109">
        <f t="shared" si="57"/>
        <v>2622.2599999999998</v>
      </c>
      <c r="O91" s="109">
        <f t="shared" si="57"/>
        <v>2536.7680549999995</v>
      </c>
      <c r="P91" s="106">
        <f t="shared" si="50"/>
        <v>29830.101927500036</v>
      </c>
      <c r="Q91" s="86"/>
      <c r="R91" s="86"/>
      <c r="S91" s="86"/>
      <c r="T91" s="86"/>
      <c r="U91" s="86"/>
      <c r="V91" s="86"/>
    </row>
    <row r="92" spans="1:22">
      <c r="A92" s="22">
        <f t="shared" si="51"/>
        <v>92</v>
      </c>
      <c r="B92" s="183" t="s">
        <v>38</v>
      </c>
      <c r="C92" s="222"/>
      <c r="D92" s="214">
        <f>D94*2/3</f>
        <v>180</v>
      </c>
      <c r="E92" s="109">
        <f t="shared" ref="E92:O92" si="58">E94*2/3</f>
        <v>180</v>
      </c>
      <c r="F92" s="109">
        <f t="shared" si="58"/>
        <v>180</v>
      </c>
      <c r="G92" s="109">
        <f t="shared" si="58"/>
        <v>180</v>
      </c>
      <c r="H92" s="109">
        <f t="shared" si="58"/>
        <v>180</v>
      </c>
      <c r="I92" s="109">
        <f t="shared" si="58"/>
        <v>180</v>
      </c>
      <c r="J92" s="109">
        <f t="shared" si="58"/>
        <v>180</v>
      </c>
      <c r="K92" s="109">
        <f t="shared" si="58"/>
        <v>180</v>
      </c>
      <c r="L92" s="109">
        <f t="shared" si="58"/>
        <v>180</v>
      </c>
      <c r="M92" s="109">
        <f t="shared" si="58"/>
        <v>180</v>
      </c>
      <c r="N92" s="109">
        <f t="shared" si="58"/>
        <v>180</v>
      </c>
      <c r="O92" s="109">
        <f t="shared" si="58"/>
        <v>180</v>
      </c>
      <c r="P92" s="106">
        <f t="shared" si="50"/>
        <v>2160</v>
      </c>
      <c r="Q92" s="86"/>
      <c r="R92" s="86"/>
      <c r="S92" s="86"/>
      <c r="T92" s="86"/>
      <c r="U92" s="86"/>
      <c r="V92" s="86"/>
    </row>
    <row r="93" spans="1:22">
      <c r="A93" s="22">
        <f t="shared" si="51"/>
        <v>93</v>
      </c>
      <c r="B93" s="183" t="s">
        <v>109</v>
      </c>
      <c r="C93" s="222"/>
      <c r="D93" s="214">
        <f>D90+D91</f>
        <v>3550.49080939125</v>
      </c>
      <c r="E93" s="109">
        <f t="shared" ref="E93:O93" si="59">E90+E91</f>
        <v>3655.62</v>
      </c>
      <c r="F93" s="109">
        <f t="shared" si="59"/>
        <v>3655.62</v>
      </c>
      <c r="G93" s="109">
        <f t="shared" si="59"/>
        <v>3655.62</v>
      </c>
      <c r="H93" s="109">
        <f t="shared" si="59"/>
        <v>3655.62</v>
      </c>
      <c r="I93" s="109">
        <f t="shared" si="59"/>
        <v>3655.62</v>
      </c>
      <c r="J93" s="109">
        <f t="shared" si="59"/>
        <v>3655.62</v>
      </c>
      <c r="K93" s="109">
        <f t="shared" si="59"/>
        <v>3655.62</v>
      </c>
      <c r="L93" s="109">
        <f t="shared" si="59"/>
        <v>3933.3899999999994</v>
      </c>
      <c r="M93" s="109">
        <f t="shared" si="59"/>
        <v>3933.3899993588102</v>
      </c>
      <c r="N93" s="109">
        <f t="shared" si="59"/>
        <v>3933.3899999999994</v>
      </c>
      <c r="O93" s="109">
        <f t="shared" si="59"/>
        <v>3805.1520824999993</v>
      </c>
      <c r="P93" s="106">
        <f t="shared" si="50"/>
        <v>44745.152891250058</v>
      </c>
      <c r="Q93" s="86"/>
      <c r="R93" s="86"/>
      <c r="S93" s="86"/>
      <c r="T93" s="86"/>
      <c r="U93" s="86"/>
      <c r="V93" s="86"/>
    </row>
    <row r="94" spans="1:22">
      <c r="A94" s="22">
        <f t="shared" si="51"/>
        <v>94</v>
      </c>
      <c r="B94" s="183" t="s">
        <v>110</v>
      </c>
      <c r="C94" s="222"/>
      <c r="D94" s="214">
        <f t="shared" ref="D94:O94" si="60">90*(((D8*D3)&gt;=9/37)+((D8*D3)&gt;=18/37)+((D8*D3)&gt;=27/37))</f>
        <v>270</v>
      </c>
      <c r="E94" s="214">
        <f t="shared" si="60"/>
        <v>270</v>
      </c>
      <c r="F94" s="214">
        <f t="shared" si="60"/>
        <v>270</v>
      </c>
      <c r="G94" s="214">
        <f t="shared" si="60"/>
        <v>270</v>
      </c>
      <c r="H94" s="214">
        <f t="shared" si="60"/>
        <v>270</v>
      </c>
      <c r="I94" s="109">
        <f t="shared" si="60"/>
        <v>270</v>
      </c>
      <c r="J94" s="109">
        <f t="shared" si="60"/>
        <v>270</v>
      </c>
      <c r="K94" s="109">
        <f t="shared" si="60"/>
        <v>270</v>
      </c>
      <c r="L94" s="109">
        <f t="shared" si="60"/>
        <v>270</v>
      </c>
      <c r="M94" s="109">
        <f t="shared" si="60"/>
        <v>270</v>
      </c>
      <c r="N94" s="109">
        <f t="shared" si="60"/>
        <v>270</v>
      </c>
      <c r="O94" s="109">
        <f t="shared" si="60"/>
        <v>270</v>
      </c>
      <c r="P94" s="106">
        <f t="shared" si="50"/>
        <v>3240</v>
      </c>
      <c r="Q94" s="86"/>
      <c r="R94" s="86"/>
      <c r="S94" s="86"/>
      <c r="T94" s="86"/>
      <c r="U94" s="86"/>
      <c r="V94" s="86"/>
    </row>
    <row r="95" spans="1:22">
      <c r="A95" s="22">
        <f t="shared" si="51"/>
        <v>95</v>
      </c>
      <c r="B95" s="183" t="s">
        <v>132</v>
      </c>
      <c r="C95" s="222"/>
      <c r="D95" s="214">
        <f t="shared" ref="D95:O95" si="61">IF(OR(LEFT(D5)="P",LEFT(D5)="E"),VLOOKUP(VALUE(MID(D5,2,2)),Skalalontabel12,7,0)*D6/12*15%*MIN(1,D8)*D3,0)</f>
        <v>0</v>
      </c>
      <c r="E95" s="214">
        <f t="shared" si="61"/>
        <v>0</v>
      </c>
      <c r="F95" s="214">
        <f t="shared" si="61"/>
        <v>0</v>
      </c>
      <c r="G95" s="214">
        <f t="shared" si="61"/>
        <v>0</v>
      </c>
      <c r="H95" s="214">
        <f t="shared" si="61"/>
        <v>0</v>
      </c>
      <c r="I95" s="214">
        <f t="shared" si="61"/>
        <v>0</v>
      </c>
      <c r="J95" s="214">
        <f t="shared" si="61"/>
        <v>0</v>
      </c>
      <c r="K95" s="214">
        <f t="shared" si="61"/>
        <v>0</v>
      </c>
      <c r="L95" s="214">
        <f t="shared" si="61"/>
        <v>0</v>
      </c>
      <c r="M95" s="214">
        <f t="shared" si="61"/>
        <v>0</v>
      </c>
      <c r="N95" s="214">
        <f t="shared" si="61"/>
        <v>0</v>
      </c>
      <c r="O95" s="214">
        <f t="shared" si="61"/>
        <v>0</v>
      </c>
      <c r="P95" s="106">
        <f t="shared" si="50"/>
        <v>0</v>
      </c>
      <c r="Q95" s="86"/>
      <c r="R95" s="86"/>
      <c r="S95" s="86"/>
      <c r="T95" s="86"/>
      <c r="U95" s="86"/>
      <c r="V95" s="86"/>
    </row>
    <row r="96" spans="1:22">
      <c r="A96" s="22">
        <f t="shared" si="51"/>
        <v>96</v>
      </c>
      <c r="B96" s="183" t="s">
        <v>95</v>
      </c>
      <c r="C96" s="222"/>
      <c r="D96" s="214">
        <f>108.35*(D8&gt;=0.4054)</f>
        <v>108.35</v>
      </c>
      <c r="E96" s="109">
        <f t="shared" ref="E96:J96" si="62">108.35*(E8&gt;0)</f>
        <v>108.35</v>
      </c>
      <c r="F96" s="109">
        <f t="shared" si="62"/>
        <v>108.35</v>
      </c>
      <c r="G96" s="109">
        <f t="shared" si="62"/>
        <v>108.35</v>
      </c>
      <c r="H96" s="109">
        <f t="shared" si="62"/>
        <v>108.35</v>
      </c>
      <c r="I96" s="109">
        <f t="shared" si="62"/>
        <v>108.35</v>
      </c>
      <c r="J96" s="109">
        <f t="shared" si="62"/>
        <v>108.35</v>
      </c>
      <c r="K96" s="109">
        <f>108.35*(K8&gt;0)</f>
        <v>108.35</v>
      </c>
      <c r="L96" s="109">
        <f>108.35*(L8&gt;0)</f>
        <v>108.35</v>
      </c>
      <c r="M96" s="109">
        <f>108.35*(M8&gt;0)</f>
        <v>108.35</v>
      </c>
      <c r="N96" s="109">
        <f>108.35*(N8&gt;0)</f>
        <v>108.35</v>
      </c>
      <c r="O96" s="109">
        <f>108.35*(O8&gt;0)</f>
        <v>108.35</v>
      </c>
      <c r="P96" s="106">
        <f t="shared" si="50"/>
        <v>1300.1999999999998</v>
      </c>
      <c r="Q96" s="86"/>
      <c r="R96" s="86"/>
      <c r="S96" s="86"/>
      <c r="T96" s="86"/>
      <c r="U96" s="86"/>
      <c r="V96" s="86"/>
    </row>
    <row r="97" spans="1:22">
      <c r="A97" s="22">
        <f t="shared" si="51"/>
        <v>97</v>
      </c>
      <c r="B97" s="184" t="s">
        <v>215</v>
      </c>
      <c r="C97" s="222"/>
      <c r="D97" s="215">
        <f>D65-(D87+D82+D84+D96)</f>
        <v>13888.101889013122</v>
      </c>
      <c r="E97" s="215">
        <f t="shared" ref="E97:O97" si="63">E65-(E87+E82+E84+E96)</f>
        <v>14238.039999999995</v>
      </c>
      <c r="F97" s="215">
        <f t="shared" si="63"/>
        <v>14238.039999999995</v>
      </c>
      <c r="G97" s="215">
        <f t="shared" si="63"/>
        <v>14238.039999999995</v>
      </c>
      <c r="H97" s="215">
        <f t="shared" si="63"/>
        <v>14238.039999999995</v>
      </c>
      <c r="I97" s="215">
        <f t="shared" si="63"/>
        <v>14238.039999999995</v>
      </c>
      <c r="J97" s="215">
        <f t="shared" si="63"/>
        <v>14238.039999999995</v>
      </c>
      <c r="K97" s="215">
        <f t="shared" si="63"/>
        <v>14238.039999999995</v>
      </c>
      <c r="L97" s="215">
        <f t="shared" si="63"/>
        <v>15148.770000000002</v>
      </c>
      <c r="M97" s="215">
        <f t="shared" si="63"/>
        <v>17106.229886455993</v>
      </c>
      <c r="N97" s="215">
        <f t="shared" si="63"/>
        <v>15148.770000000002</v>
      </c>
      <c r="O97" s="215">
        <f t="shared" si="63"/>
        <v>14723.611033500003</v>
      </c>
      <c r="P97" s="114">
        <f>SUM(C97:O97)</f>
        <v>175681.76280896907</v>
      </c>
      <c r="Q97" s="87"/>
      <c r="R97" s="87"/>
      <c r="S97" s="86"/>
      <c r="T97" s="86"/>
      <c r="U97" s="86"/>
      <c r="V97" s="86"/>
    </row>
    <row r="98" spans="1:22" ht="14">
      <c r="A98" s="22">
        <f t="shared" si="51"/>
        <v>98</v>
      </c>
      <c r="B98" s="116" t="s">
        <v>345</v>
      </c>
      <c r="C98" s="235">
        <f>Ex12_13!P99</f>
        <v>114136.9778009248</v>
      </c>
      <c r="D98" s="134">
        <f>(SUM(D44:D63)+D81)*(1-12/260*D21)</f>
        <v>17418.422173443745</v>
      </c>
      <c r="E98" s="132">
        <f>(SUM(E44:E63)+E81)*(1-12/260*E21)</f>
        <v>23310.929999999997</v>
      </c>
      <c r="F98" s="132">
        <f>(SUM(F44:F63)+F81)*(1-12/260*F21)</f>
        <v>23310.929999999997</v>
      </c>
      <c r="G98" s="132">
        <f>(SUM(G44:G63)+G81)*(1-12/260*G21)</f>
        <v>23310.929999999997</v>
      </c>
      <c r="H98" s="138">
        <f>(SUM(H44:H63)+H81)*(1-12/260*H21)</f>
        <v>23310.929999999997</v>
      </c>
      <c r="I98" s="135" t="s">
        <v>220</v>
      </c>
      <c r="J98" s="118"/>
      <c r="K98" s="118"/>
      <c r="L98" s="118"/>
      <c r="M98" s="118"/>
      <c r="N98" s="118"/>
      <c r="O98" s="118"/>
      <c r="P98" s="106">
        <f>SUM(C98:H98)</f>
        <v>224799.11997436851</v>
      </c>
      <c r="Q98" s="122"/>
      <c r="R98" s="122"/>
      <c r="S98" s="86"/>
      <c r="T98" s="86"/>
      <c r="U98" s="86"/>
      <c r="V98" s="86"/>
    </row>
    <row r="99" spans="1:22" ht="14">
      <c r="A99" s="22">
        <f t="shared" si="51"/>
        <v>99</v>
      </c>
      <c r="B99" s="185" t="s">
        <v>346</v>
      </c>
      <c r="C99" s="225"/>
      <c r="D99" s="136" t="s">
        <v>220</v>
      </c>
      <c r="E99" s="131"/>
      <c r="F99" s="131"/>
      <c r="G99" s="131"/>
      <c r="H99" s="133"/>
      <c r="I99" s="134">
        <f>(SUM(I$44:I$63)+I$81)*(1-12/260*I$21)</f>
        <v>23310.929999999997</v>
      </c>
      <c r="J99" s="132">
        <f>(SUM(J$44:J$63)+J$81)*(1-12/260*J$21)</f>
        <v>23310.929999999997</v>
      </c>
      <c r="K99" s="132">
        <f>(SUM(K$44:K$63)+K$81)*(1-12/260*K$21)</f>
        <v>23310.929999999997</v>
      </c>
      <c r="L99" s="132">
        <f>(SUM(L$44:L$63)+L$81)*(1-12/260*L$21)</f>
        <v>25054.250000000004</v>
      </c>
      <c r="M99" s="132">
        <f>(SUM(M$44:M$63)-M37+M$81)*(1-12/260*M$21)</f>
        <v>25054.249770607265</v>
      </c>
      <c r="N99" s="132">
        <f>(SUM(N$44:N$63)-N37+N$81)*(1-12/260*N$21)</f>
        <v>25054.250000000004</v>
      </c>
      <c r="O99" s="132">
        <f>(SUM(O$44:O$63)-O37+O$81)*(1-12/260*O$21)</f>
        <v>1864.7188508461529</v>
      </c>
      <c r="P99" s="137">
        <f t="shared" si="50"/>
        <v>146960.25862145339</v>
      </c>
      <c r="Q99" s="122"/>
      <c r="R99" s="122"/>
      <c r="S99" s="86"/>
      <c r="T99" s="86"/>
      <c r="U99" s="86"/>
      <c r="V99" s="86"/>
    </row>
    <row r="100" spans="1:22" s="119" customFormat="1">
      <c r="A100" s="22">
        <f t="shared" si="51"/>
        <v>100</v>
      </c>
      <c r="B100" s="128" t="s">
        <v>221</v>
      </c>
      <c r="C100" s="223"/>
      <c r="D100" s="216">
        <f>IF(D8&gt;0,(D44+D45+D52+D53+D54+D55+D56+D57)/D8,0)</f>
        <v>25844.712499999994</v>
      </c>
      <c r="E100" s="129">
        <f t="shared" ref="E100:O100" si="64">IF(E8&gt;0,(E44+E45+E52+E53+E54+E55+E56+E57)/E8,0)</f>
        <v>25844.712499999994</v>
      </c>
      <c r="F100" s="129">
        <f t="shared" si="64"/>
        <v>25844.712499999994</v>
      </c>
      <c r="G100" s="129">
        <f t="shared" si="64"/>
        <v>25844.712499999994</v>
      </c>
      <c r="H100" s="129">
        <f t="shared" si="64"/>
        <v>25844.712499999994</v>
      </c>
      <c r="I100" s="129">
        <f t="shared" si="64"/>
        <v>25844.712499999994</v>
      </c>
      <c r="J100" s="129">
        <f t="shared" si="64"/>
        <v>25844.712499999994</v>
      </c>
      <c r="K100" s="129">
        <f t="shared" si="64"/>
        <v>25844.712499999994</v>
      </c>
      <c r="L100" s="129">
        <f t="shared" si="64"/>
        <v>27783.512500000001</v>
      </c>
      <c r="M100" s="129">
        <f t="shared" si="64"/>
        <v>27783.512500000001</v>
      </c>
      <c r="N100" s="129">
        <f t="shared" si="64"/>
        <v>27783.512500000001</v>
      </c>
      <c r="O100" s="129">
        <f t="shared" si="64"/>
        <v>27783.512500000001</v>
      </c>
      <c r="P100" s="130"/>
      <c r="Q100" s="86"/>
      <c r="R100" s="86"/>
      <c r="S100" s="86"/>
      <c r="T100" s="86"/>
      <c r="U100" s="86"/>
      <c r="V100" s="86"/>
    </row>
    <row r="101" spans="1:22" s="119" customFormat="1" ht="14" thickBot="1">
      <c r="A101" s="22">
        <f>A100+1</f>
        <v>101</v>
      </c>
      <c r="B101" s="119" t="s">
        <v>252</v>
      </c>
      <c r="C101" s="223"/>
      <c r="D101" s="120">
        <f>IF(D8&gt;0,(D66+D73+D74+D76+D77)/D8,0)</f>
        <v>1433.175</v>
      </c>
      <c r="E101" s="120">
        <f t="shared" ref="E101:O101" si="65">IF(E8&gt;0,(E66+E73+E74+E76+E77)/E8,0)</f>
        <v>1433.175</v>
      </c>
      <c r="F101" s="120">
        <f t="shared" si="65"/>
        <v>1433.175</v>
      </c>
      <c r="G101" s="120">
        <f t="shared" si="65"/>
        <v>1433.175</v>
      </c>
      <c r="H101" s="120">
        <f t="shared" si="65"/>
        <v>1433.175</v>
      </c>
      <c r="I101" s="120">
        <f t="shared" si="65"/>
        <v>1433.175</v>
      </c>
      <c r="J101" s="120">
        <f t="shared" si="65"/>
        <v>1433.175</v>
      </c>
      <c r="K101" s="120">
        <f t="shared" si="65"/>
        <v>1433.175</v>
      </c>
      <c r="L101" s="120">
        <f t="shared" si="65"/>
        <v>1542.0624999999998</v>
      </c>
      <c r="M101" s="120">
        <f t="shared" si="65"/>
        <v>1542.0624999999998</v>
      </c>
      <c r="N101" s="120">
        <f t="shared" si="65"/>
        <v>1542.0624999999998</v>
      </c>
      <c r="O101" s="120">
        <f t="shared" si="65"/>
        <v>1542.0624999999998</v>
      </c>
      <c r="Q101" s="86"/>
      <c r="R101" s="86"/>
      <c r="S101" s="86"/>
      <c r="T101" s="86"/>
      <c r="U101" s="86"/>
      <c r="V101" s="86"/>
    </row>
    <row r="102" spans="1:22" ht="14" thickTop="1">
      <c r="A102" s="124">
        <f>A101+1</f>
        <v>102</v>
      </c>
      <c r="B102" s="125" t="s">
        <v>88</v>
      </c>
      <c r="C102" s="224"/>
      <c r="D102" s="149">
        <f t="shared" ref="D102:O102" si="66">IF(LEFT(D$4)&lt;&gt;"b",IF(D$9&gt;=650,650*ROUND(16.38*D$6,2)/12,D$9*ROUND(16.38*D$6,2)/12),IF(D$9&gt;=750,750*ROUND(22.41*D$6,2)/12,D$9*ROUND(22.41*D$6,2)/12))</f>
        <v>1248.5</v>
      </c>
      <c r="E102" s="149">
        <f t="shared" si="66"/>
        <v>1248.5</v>
      </c>
      <c r="F102" s="149">
        <f t="shared" si="66"/>
        <v>1248.5</v>
      </c>
      <c r="G102" s="149">
        <f t="shared" si="66"/>
        <v>1248.5</v>
      </c>
      <c r="H102" s="149">
        <f t="shared" si="66"/>
        <v>1248.5</v>
      </c>
      <c r="I102" s="149">
        <f t="shared" si="66"/>
        <v>1248.5</v>
      </c>
      <c r="J102" s="149">
        <f t="shared" si="66"/>
        <v>1248.5</v>
      </c>
      <c r="K102" s="149">
        <f t="shared" si="66"/>
        <v>1248.5</v>
      </c>
      <c r="L102" s="149">
        <f t="shared" si="66"/>
        <v>1343.6499999999999</v>
      </c>
      <c r="M102" s="149">
        <f t="shared" si="66"/>
        <v>1343.6499999999999</v>
      </c>
      <c r="N102" s="149">
        <f t="shared" si="66"/>
        <v>1343.6499999999999</v>
      </c>
      <c r="O102" s="149">
        <f t="shared" si="66"/>
        <v>1343.6499999999999</v>
      </c>
      <c r="P102" s="126" t="s">
        <v>186</v>
      </c>
      <c r="Q102" s="86"/>
      <c r="R102" s="86"/>
      <c r="S102" s="86"/>
      <c r="T102" s="86"/>
      <c r="U102" s="86"/>
      <c r="V102" s="86"/>
    </row>
    <row r="103" spans="1:22">
      <c r="A103" s="22">
        <f>A102+1</f>
        <v>103</v>
      </c>
      <c r="B103" s="186" t="s">
        <v>89</v>
      </c>
      <c r="C103" s="224"/>
      <c r="D103" s="110">
        <f t="shared" ref="D103:O103" si="67">IF(LEFT(D$4)&lt;&gt;"b",IF(D$9&gt;650,IF(D$9&gt;=700,50*ROUND(98.3*D$6,2)/12,(D$9-650)*ROUND(98.3*D$6,2)/12),0),IF(D$9&gt;750,IF(D$9&gt;=800,50*ROUND(65.53*D$6,2)/12,(D$9-750)*ROUND(65.53*D$6,2)/12),0))</f>
        <v>0</v>
      </c>
      <c r="E103" s="110">
        <f t="shared" si="67"/>
        <v>0</v>
      </c>
      <c r="F103" s="110">
        <f t="shared" si="67"/>
        <v>0</v>
      </c>
      <c r="G103" s="110">
        <f t="shared" si="67"/>
        <v>0</v>
      </c>
      <c r="H103" s="110">
        <f t="shared" si="67"/>
        <v>0</v>
      </c>
      <c r="I103" s="110">
        <f t="shared" si="67"/>
        <v>0</v>
      </c>
      <c r="J103" s="110">
        <f t="shared" si="67"/>
        <v>0</v>
      </c>
      <c r="K103" s="110">
        <f t="shared" si="67"/>
        <v>0</v>
      </c>
      <c r="L103" s="110">
        <f t="shared" si="67"/>
        <v>0</v>
      </c>
      <c r="M103" s="110">
        <f t="shared" si="67"/>
        <v>0</v>
      </c>
      <c r="N103" s="110">
        <f t="shared" si="67"/>
        <v>0</v>
      </c>
      <c r="O103" s="110">
        <f t="shared" si="67"/>
        <v>0</v>
      </c>
      <c r="P103" s="111" t="s">
        <v>186</v>
      </c>
      <c r="Q103" s="86"/>
      <c r="R103" s="86"/>
      <c r="S103" s="86"/>
      <c r="T103" s="86"/>
      <c r="U103" s="86"/>
      <c r="V103" s="86"/>
    </row>
    <row r="104" spans="1:22">
      <c r="A104" s="22">
        <f>A103+1</f>
        <v>104</v>
      </c>
      <c r="B104" s="186" t="s">
        <v>166</v>
      </c>
      <c r="C104" s="224"/>
      <c r="D104" s="110">
        <f t="shared" ref="D104:O104" si="68">IF(LEFT(D$4)&lt;&gt;"b",IF(D$9&gt;700,IF(D$9&gt;=750,50*ROUND(131.07*D$6,2)/12,(D$9-700)*ROUND(131.07*D$6,2)/12),0),IF(D$9&gt;800,IF(D$9&gt;=835,35*ROUND(131.07*D$6,2)/12,(D$9-800)*ROUND(131.07*D$6,2)/12),0))</f>
        <v>0</v>
      </c>
      <c r="E104" s="110">
        <f t="shared" si="68"/>
        <v>0</v>
      </c>
      <c r="F104" s="110">
        <f t="shared" si="68"/>
        <v>0</v>
      </c>
      <c r="G104" s="110">
        <f t="shared" si="68"/>
        <v>0</v>
      </c>
      <c r="H104" s="110">
        <f t="shared" si="68"/>
        <v>0</v>
      </c>
      <c r="I104" s="110">
        <f t="shared" si="68"/>
        <v>0</v>
      </c>
      <c r="J104" s="110">
        <f t="shared" si="68"/>
        <v>0</v>
      </c>
      <c r="K104" s="110">
        <f t="shared" si="68"/>
        <v>0</v>
      </c>
      <c r="L104" s="110">
        <f t="shared" si="68"/>
        <v>0</v>
      </c>
      <c r="M104" s="110">
        <f t="shared" si="68"/>
        <v>0</v>
      </c>
      <c r="N104" s="110">
        <f t="shared" si="68"/>
        <v>0</v>
      </c>
      <c r="O104" s="110">
        <f t="shared" si="68"/>
        <v>0</v>
      </c>
      <c r="P104" s="111" t="s">
        <v>186</v>
      </c>
      <c r="Q104" s="86"/>
      <c r="R104" s="86"/>
      <c r="S104" s="86"/>
      <c r="T104" s="86"/>
      <c r="U104" s="86"/>
      <c r="V104" s="86"/>
    </row>
    <row r="105" spans="1:22">
      <c r="A105" s="22">
        <f>A104+1</f>
        <v>105</v>
      </c>
      <c r="B105" s="187" t="s">
        <v>167</v>
      </c>
      <c r="C105" s="224"/>
      <c r="D105" s="112">
        <f t="shared" ref="D105:O105" si="69">IF(LEFT(D$4)&lt;&gt;"b",IF(D$9&gt;750,(D$9-750)*ROUND(163.83*D$6,2)/12,0),IF(D$9&gt;835,(D$9-835)*ROUND(163.83*D$6,2)/12,0))</f>
        <v>0</v>
      </c>
      <c r="E105" s="112">
        <f t="shared" si="69"/>
        <v>0</v>
      </c>
      <c r="F105" s="112">
        <f t="shared" si="69"/>
        <v>0</v>
      </c>
      <c r="G105" s="112">
        <f t="shared" si="69"/>
        <v>0</v>
      </c>
      <c r="H105" s="112">
        <f t="shared" si="69"/>
        <v>0</v>
      </c>
      <c r="I105" s="112">
        <f t="shared" si="69"/>
        <v>0</v>
      </c>
      <c r="J105" s="112">
        <f t="shared" si="69"/>
        <v>0</v>
      </c>
      <c r="K105" s="112">
        <f t="shared" si="69"/>
        <v>0</v>
      </c>
      <c r="L105" s="112">
        <f t="shared" si="69"/>
        <v>0</v>
      </c>
      <c r="M105" s="112">
        <f t="shared" si="69"/>
        <v>0</v>
      </c>
      <c r="N105" s="112">
        <f t="shared" si="69"/>
        <v>0</v>
      </c>
      <c r="O105" s="112">
        <f t="shared" si="69"/>
        <v>0</v>
      </c>
      <c r="P105" s="113" t="s">
        <v>186</v>
      </c>
      <c r="Q105" s="86"/>
      <c r="R105" s="86"/>
      <c r="S105" s="86"/>
      <c r="T105" s="86"/>
      <c r="U105" s="86"/>
      <c r="V105" s="86"/>
    </row>
    <row r="106" spans="1:22">
      <c r="Q106" s="86"/>
      <c r="R106" s="86"/>
      <c r="S106" s="86"/>
      <c r="T106" s="86"/>
      <c r="U106" s="86"/>
      <c r="V106" s="86"/>
    </row>
    <row r="107" spans="1:22" s="3" customFormat="1">
      <c r="A107" s="87"/>
      <c r="B107" s="86"/>
      <c r="C107" s="86"/>
      <c r="D107" s="115"/>
      <c r="E107" s="115"/>
      <c r="F107" s="115"/>
      <c r="G107" s="115"/>
      <c r="H107" s="115"/>
      <c r="I107" s="115"/>
      <c r="J107" s="115"/>
      <c r="K107" s="115"/>
      <c r="L107" s="115"/>
      <c r="M107" s="115"/>
      <c r="N107" s="115"/>
      <c r="O107" s="115"/>
      <c r="P107" s="86"/>
      <c r="Q107" s="86"/>
      <c r="R107" s="86"/>
      <c r="S107" s="86"/>
      <c r="T107" s="86"/>
      <c r="U107" s="86"/>
      <c r="V107" s="86"/>
    </row>
    <row r="108" spans="1:22" s="3" customFormat="1">
      <c r="A108" s="87"/>
      <c r="B108" s="86"/>
      <c r="C108" s="86"/>
      <c r="D108" s="115"/>
      <c r="E108" s="88"/>
      <c r="F108" s="88"/>
      <c r="G108" s="88"/>
      <c r="H108" s="88"/>
      <c r="I108" s="88"/>
      <c r="J108" s="88"/>
      <c r="K108" s="88"/>
      <c r="L108" s="88"/>
      <c r="M108" s="88"/>
      <c r="N108" s="88"/>
      <c r="O108" s="88"/>
      <c r="P108" s="86"/>
      <c r="Q108" s="86"/>
      <c r="R108" s="86"/>
      <c r="S108" s="86"/>
      <c r="T108" s="86"/>
      <c r="U108" s="86"/>
      <c r="V108" s="86"/>
    </row>
    <row r="109" spans="1:22" s="3" customFormat="1">
      <c r="A109" s="87"/>
      <c r="B109" s="86"/>
      <c r="C109" s="86"/>
      <c r="D109" s="88"/>
      <c r="E109" s="88"/>
      <c r="F109" s="88"/>
      <c r="G109" s="88"/>
      <c r="H109" s="88"/>
      <c r="I109" s="88"/>
      <c r="J109" s="88"/>
      <c r="K109" s="88"/>
      <c r="L109" s="88"/>
      <c r="M109" s="88"/>
      <c r="N109" s="88"/>
      <c r="O109" s="88"/>
      <c r="P109" s="86"/>
      <c r="Q109" s="86"/>
      <c r="R109" s="86"/>
      <c r="S109" s="86"/>
      <c r="T109" s="86"/>
      <c r="U109" s="86"/>
      <c r="V109" s="86"/>
    </row>
    <row r="110" spans="1:22" s="3" customFormat="1">
      <c r="A110" s="87"/>
      <c r="B110" s="86"/>
      <c r="C110" s="86"/>
      <c r="D110" s="88"/>
      <c r="E110" s="88"/>
      <c r="F110" s="88"/>
      <c r="G110" s="88"/>
      <c r="H110" s="88"/>
      <c r="I110" s="88"/>
      <c r="J110" s="88"/>
      <c r="K110" s="88"/>
      <c r="L110" s="88"/>
      <c r="M110" s="88"/>
      <c r="N110" s="88"/>
      <c r="O110" s="88"/>
      <c r="P110" s="86"/>
      <c r="Q110" s="86"/>
      <c r="R110" s="86"/>
      <c r="S110" s="86"/>
      <c r="T110" s="86"/>
      <c r="U110" s="86"/>
      <c r="V110" s="86"/>
    </row>
    <row r="111" spans="1:22" s="3" customFormat="1">
      <c r="A111" s="87"/>
      <c r="B111" s="86"/>
      <c r="C111" s="86"/>
      <c r="D111" s="88"/>
      <c r="E111" s="88"/>
      <c r="F111" s="88"/>
      <c r="G111" s="88"/>
      <c r="H111" s="88"/>
      <c r="I111" s="88"/>
      <c r="J111" s="88"/>
      <c r="K111" s="88"/>
      <c r="L111" s="88"/>
      <c r="M111" s="88"/>
      <c r="N111" s="88"/>
      <c r="O111" s="88"/>
      <c r="P111" s="86"/>
      <c r="Q111" s="86"/>
      <c r="R111" s="86"/>
      <c r="S111" s="86"/>
      <c r="T111" s="86"/>
      <c r="U111" s="86"/>
      <c r="V111" s="86"/>
    </row>
    <row r="112" spans="1:22">
      <c r="A112" s="82"/>
      <c r="B112" s="83"/>
      <c r="C112" s="83"/>
      <c r="D112" s="84"/>
      <c r="E112" s="84"/>
      <c r="F112" s="84"/>
      <c r="G112" s="84"/>
      <c r="H112" s="84"/>
      <c r="I112" s="84"/>
      <c r="J112" s="84"/>
      <c r="K112" s="84"/>
      <c r="L112" s="84"/>
      <c r="M112" s="84"/>
      <c r="N112" s="84"/>
      <c r="O112" s="84"/>
      <c r="P112" s="83"/>
    </row>
    <row r="113" spans="1:16">
      <c r="A113" s="82"/>
      <c r="B113" s="83"/>
      <c r="C113" s="83"/>
      <c r="D113" s="84"/>
      <c r="E113" s="84"/>
      <c r="F113" s="84"/>
      <c r="G113" s="84"/>
      <c r="H113" s="84"/>
      <c r="I113" s="84"/>
      <c r="J113" s="84"/>
      <c r="K113" s="84"/>
      <c r="L113" s="84"/>
      <c r="M113" s="84"/>
      <c r="N113" s="84"/>
      <c r="O113" s="84"/>
      <c r="P113" s="83"/>
    </row>
    <row r="114" spans="1:16">
      <c r="A114" s="82"/>
      <c r="B114" s="83"/>
      <c r="C114" s="83"/>
      <c r="D114" s="84"/>
      <c r="E114" s="84"/>
      <c r="F114" s="84"/>
      <c r="G114" s="84"/>
      <c r="H114" s="84"/>
      <c r="I114" s="84"/>
      <c r="J114" s="84"/>
      <c r="K114" s="84"/>
      <c r="L114" s="84"/>
      <c r="M114" s="84"/>
      <c r="N114" s="84"/>
      <c r="O114" s="84"/>
      <c r="P114" s="83"/>
    </row>
    <row r="115" spans="1:16">
      <c r="A115" s="82"/>
      <c r="B115" s="83"/>
      <c r="C115" s="83"/>
      <c r="D115" s="84"/>
      <c r="E115" s="84"/>
      <c r="F115" s="84"/>
      <c r="G115" s="84"/>
      <c r="H115" s="84"/>
      <c r="I115" s="84"/>
      <c r="J115" s="84"/>
      <c r="K115" s="84"/>
      <c r="L115" s="84"/>
      <c r="M115" s="84"/>
      <c r="N115" s="84"/>
      <c r="O115" s="84"/>
      <c r="P115" s="83"/>
    </row>
    <row r="116" spans="1:16">
      <c r="A116" s="82"/>
      <c r="B116" s="83"/>
      <c r="C116" s="83"/>
      <c r="D116" s="84"/>
      <c r="E116" s="84"/>
      <c r="F116" s="84"/>
      <c r="G116" s="84"/>
      <c r="H116" s="84"/>
      <c r="I116" s="84"/>
      <c r="J116" s="84"/>
      <c r="K116" s="84"/>
      <c r="L116" s="84"/>
      <c r="M116" s="84"/>
      <c r="N116" s="84"/>
      <c r="O116" s="84"/>
      <c r="P116" s="83"/>
    </row>
    <row r="117" spans="1:16">
      <c r="A117" s="82"/>
      <c r="B117" s="83"/>
      <c r="C117" s="83"/>
      <c r="D117" s="84"/>
      <c r="E117" s="84"/>
      <c r="F117" s="84"/>
      <c r="G117" s="84"/>
      <c r="H117" s="84"/>
      <c r="I117" s="84"/>
      <c r="J117" s="84"/>
      <c r="K117" s="84"/>
      <c r="L117" s="84"/>
      <c r="M117" s="84"/>
      <c r="N117" s="84"/>
      <c r="O117" s="84"/>
      <c r="P117" s="83"/>
    </row>
    <row r="118" spans="1:16">
      <c r="A118" s="82"/>
      <c r="B118" s="83"/>
      <c r="C118" s="83"/>
      <c r="D118" s="84"/>
      <c r="E118" s="84"/>
      <c r="F118" s="84"/>
      <c r="G118" s="84"/>
      <c r="H118" s="84"/>
      <c r="I118" s="84"/>
      <c r="J118" s="84"/>
      <c r="K118" s="84"/>
      <c r="L118" s="84"/>
      <c r="M118" s="84"/>
      <c r="N118" s="84"/>
      <c r="O118" s="84"/>
      <c r="P118" s="83"/>
    </row>
    <row r="119" spans="1:16">
      <c r="A119" s="82"/>
      <c r="B119" s="83"/>
      <c r="C119" s="83"/>
      <c r="D119" s="84"/>
      <c r="E119" s="84"/>
      <c r="F119" s="84"/>
      <c r="G119" s="84"/>
      <c r="H119" s="84"/>
      <c r="I119" s="84"/>
      <c r="J119" s="84"/>
      <c r="K119" s="84"/>
      <c r="L119" s="84"/>
      <c r="M119" s="84"/>
      <c r="N119" s="84"/>
      <c r="O119" s="84"/>
      <c r="P119" s="83"/>
    </row>
    <row r="120" spans="1:16">
      <c r="A120" s="82"/>
      <c r="B120" s="83"/>
      <c r="C120" s="83"/>
      <c r="D120" s="84"/>
      <c r="E120" s="84"/>
      <c r="F120" s="84"/>
      <c r="G120" s="84"/>
      <c r="H120" s="84"/>
      <c r="I120" s="84"/>
      <c r="J120" s="84"/>
      <c r="K120" s="84"/>
      <c r="L120" s="84"/>
      <c r="M120" s="84"/>
      <c r="N120" s="84"/>
      <c r="O120" s="84"/>
      <c r="P120" s="83"/>
    </row>
    <row r="121" spans="1:16">
      <c r="A121" s="82"/>
      <c r="B121" s="83"/>
      <c r="C121" s="83"/>
      <c r="D121" s="84"/>
      <c r="E121" s="84"/>
      <c r="F121" s="84"/>
      <c r="G121" s="84"/>
      <c r="H121" s="84"/>
      <c r="I121" s="84"/>
      <c r="J121" s="84"/>
      <c r="K121" s="84"/>
      <c r="L121" s="84"/>
      <c r="M121" s="84"/>
      <c r="N121" s="84"/>
      <c r="O121" s="84"/>
      <c r="P121" s="83"/>
    </row>
    <row r="122" spans="1:16">
      <c r="A122" s="82"/>
      <c r="B122" s="83"/>
      <c r="C122" s="83"/>
      <c r="D122" s="84"/>
      <c r="E122" s="84"/>
      <c r="F122" s="84"/>
      <c r="G122" s="84"/>
      <c r="H122" s="84"/>
      <c r="I122" s="84"/>
      <c r="J122" s="84"/>
      <c r="K122" s="84"/>
      <c r="L122" s="84"/>
      <c r="M122" s="84"/>
      <c r="N122" s="84"/>
      <c r="O122" s="84"/>
      <c r="P122" s="83"/>
    </row>
    <row r="123" spans="1:16">
      <c r="A123" s="82"/>
      <c r="B123" s="83"/>
      <c r="C123" s="83"/>
      <c r="D123" s="84"/>
      <c r="E123" s="84"/>
      <c r="F123" s="84"/>
      <c r="G123" s="84"/>
      <c r="H123" s="84"/>
      <c r="I123" s="84"/>
      <c r="J123" s="84"/>
      <c r="K123" s="84"/>
      <c r="L123" s="84"/>
      <c r="M123" s="84"/>
      <c r="N123" s="84"/>
      <c r="O123" s="84"/>
      <c r="P123" s="83"/>
    </row>
    <row r="124" spans="1:16">
      <c r="A124" s="82"/>
      <c r="B124" s="83"/>
      <c r="C124" s="83"/>
      <c r="D124" s="84"/>
      <c r="E124" s="84"/>
      <c r="F124" s="84"/>
      <c r="G124" s="84"/>
      <c r="H124" s="84"/>
      <c r="I124" s="84"/>
      <c r="J124" s="84"/>
      <c r="K124" s="84"/>
      <c r="L124" s="84"/>
      <c r="M124" s="84"/>
      <c r="N124" s="84"/>
      <c r="O124" s="84"/>
      <c r="P124" s="83"/>
    </row>
    <row r="125" spans="1:16">
      <c r="A125" s="82"/>
      <c r="B125" s="83"/>
      <c r="C125" s="83"/>
      <c r="D125" s="84"/>
      <c r="E125" s="84"/>
      <c r="F125" s="84"/>
      <c r="G125" s="84"/>
      <c r="H125" s="84"/>
      <c r="I125" s="84"/>
      <c r="J125" s="84"/>
      <c r="K125" s="84"/>
      <c r="L125" s="84"/>
      <c r="M125" s="84"/>
      <c r="N125" s="84"/>
      <c r="O125" s="84"/>
      <c r="P125" s="83"/>
    </row>
    <row r="126" spans="1:16">
      <c r="A126" s="82"/>
      <c r="B126" s="83"/>
      <c r="C126" s="83"/>
      <c r="D126" s="84"/>
      <c r="E126" s="84"/>
      <c r="F126" s="84"/>
      <c r="G126" s="84"/>
      <c r="H126" s="84"/>
      <c r="I126" s="84"/>
      <c r="J126" s="84"/>
      <c r="K126" s="84"/>
      <c r="L126" s="84"/>
      <c r="M126" s="84"/>
      <c r="N126" s="84"/>
      <c r="O126" s="84"/>
      <c r="P126" s="83"/>
    </row>
    <row r="127" spans="1:16">
      <c r="A127" s="82"/>
      <c r="B127" s="83"/>
      <c r="C127" s="83"/>
      <c r="D127" s="84"/>
      <c r="E127" s="84"/>
      <c r="F127" s="84"/>
      <c r="G127" s="84"/>
      <c r="H127" s="84"/>
      <c r="I127" s="84"/>
      <c r="J127" s="84"/>
      <c r="K127" s="84"/>
      <c r="L127" s="84"/>
      <c r="M127" s="84"/>
      <c r="N127" s="84"/>
      <c r="O127" s="84"/>
      <c r="P127" s="83"/>
    </row>
    <row r="128" spans="1:16">
      <c r="A128" s="82"/>
      <c r="B128" s="83"/>
      <c r="C128" s="83"/>
      <c r="D128" s="84"/>
      <c r="E128" s="84"/>
      <c r="F128" s="84"/>
      <c r="G128" s="84"/>
      <c r="H128" s="84"/>
      <c r="I128" s="84"/>
      <c r="J128" s="84"/>
      <c r="K128" s="84"/>
      <c r="L128" s="84"/>
      <c r="M128" s="84"/>
      <c r="N128" s="84"/>
      <c r="O128" s="84"/>
      <c r="P128" s="83"/>
    </row>
    <row r="129" spans="1:16">
      <c r="A129" s="82"/>
      <c r="B129" s="83"/>
      <c r="C129" s="83"/>
      <c r="D129" s="84"/>
      <c r="E129" s="84"/>
      <c r="F129" s="84"/>
      <c r="G129" s="84"/>
      <c r="H129" s="84"/>
      <c r="I129" s="84"/>
      <c r="J129" s="84"/>
      <c r="K129" s="84"/>
      <c r="L129" s="84"/>
      <c r="M129" s="84"/>
      <c r="N129" s="84"/>
      <c r="O129" s="84"/>
      <c r="P129" s="83"/>
    </row>
    <row r="130" spans="1:16">
      <c r="A130" s="82"/>
      <c r="B130" s="83"/>
      <c r="C130" s="83"/>
      <c r="D130" s="84"/>
      <c r="E130" s="84"/>
      <c r="F130" s="84"/>
      <c r="G130" s="84"/>
      <c r="H130" s="84"/>
      <c r="I130" s="84"/>
      <c r="J130" s="84"/>
      <c r="K130" s="84"/>
      <c r="L130" s="84"/>
      <c r="M130" s="84"/>
      <c r="N130" s="84"/>
      <c r="O130" s="84"/>
      <c r="P130" s="83"/>
    </row>
    <row r="131" spans="1:16">
      <c r="A131" s="82"/>
      <c r="B131" s="83"/>
      <c r="C131" s="83"/>
      <c r="D131" s="84"/>
      <c r="E131" s="84"/>
      <c r="F131" s="84"/>
      <c r="G131" s="84"/>
      <c r="H131" s="84"/>
      <c r="I131" s="84"/>
      <c r="J131" s="84"/>
      <c r="K131" s="84"/>
      <c r="L131" s="84"/>
      <c r="M131" s="84"/>
      <c r="N131" s="84"/>
      <c r="O131" s="84"/>
      <c r="P131" s="83"/>
    </row>
    <row r="132" spans="1:16">
      <c r="A132" s="82"/>
      <c r="B132" s="83"/>
      <c r="C132" s="83"/>
      <c r="D132" s="84"/>
      <c r="E132" s="84"/>
      <c r="F132" s="84"/>
      <c r="G132" s="84"/>
      <c r="H132" s="84"/>
      <c r="I132" s="84"/>
      <c r="J132" s="84"/>
      <c r="K132" s="84"/>
      <c r="L132" s="84"/>
      <c r="M132" s="84"/>
      <c r="N132" s="84"/>
      <c r="O132" s="84"/>
      <c r="P132" s="83"/>
    </row>
    <row r="133" spans="1:16">
      <c r="A133" s="82"/>
      <c r="B133" s="83"/>
      <c r="C133" s="83"/>
      <c r="D133" s="84"/>
      <c r="E133" s="84"/>
      <c r="F133" s="84"/>
      <c r="G133" s="84"/>
      <c r="H133" s="84"/>
      <c r="I133" s="84"/>
      <c r="J133" s="84"/>
      <c r="K133" s="84"/>
      <c r="L133" s="84"/>
      <c r="M133" s="84"/>
      <c r="N133" s="84"/>
      <c r="O133" s="84"/>
      <c r="P133" s="83"/>
    </row>
    <row r="134" spans="1:16">
      <c r="A134" s="82"/>
      <c r="B134" s="83"/>
      <c r="C134" s="83"/>
      <c r="D134" s="84"/>
      <c r="E134" s="84"/>
      <c r="F134" s="84"/>
      <c r="G134" s="84"/>
      <c r="H134" s="84"/>
      <c r="I134" s="84"/>
      <c r="J134" s="84"/>
      <c r="K134" s="84"/>
      <c r="L134" s="84"/>
      <c r="M134" s="84"/>
      <c r="N134" s="84"/>
      <c r="O134" s="84"/>
      <c r="P134" s="83"/>
    </row>
    <row r="135" spans="1:16">
      <c r="A135" s="82"/>
      <c r="B135" s="83"/>
      <c r="C135" s="83"/>
      <c r="D135" s="84"/>
      <c r="E135" s="84"/>
      <c r="F135" s="84"/>
      <c r="G135" s="84"/>
      <c r="H135" s="84"/>
      <c r="I135" s="84"/>
      <c r="J135" s="84"/>
      <c r="K135" s="84"/>
      <c r="L135" s="84"/>
      <c r="M135" s="84"/>
      <c r="N135" s="84"/>
      <c r="O135" s="84"/>
      <c r="P135" s="83"/>
    </row>
    <row r="136" spans="1:16">
      <c r="A136" s="82"/>
      <c r="B136" s="83"/>
      <c r="C136" s="83"/>
      <c r="D136" s="84"/>
      <c r="E136" s="84"/>
      <c r="F136" s="84"/>
      <c r="G136" s="84"/>
      <c r="H136" s="84"/>
      <c r="I136" s="84"/>
      <c r="J136" s="84"/>
      <c r="K136" s="84"/>
      <c r="L136" s="84"/>
      <c r="M136" s="84"/>
      <c r="N136" s="84"/>
      <c r="O136" s="84"/>
      <c r="P136" s="83"/>
    </row>
    <row r="137" spans="1:16">
      <c r="A137" s="82"/>
      <c r="B137" s="83"/>
      <c r="C137" s="83"/>
      <c r="D137" s="84"/>
      <c r="E137" s="84"/>
      <c r="F137" s="84"/>
      <c r="G137" s="84"/>
      <c r="H137" s="84"/>
      <c r="I137" s="84"/>
      <c r="J137" s="84"/>
      <c r="K137" s="84"/>
      <c r="L137" s="84"/>
      <c r="M137" s="84"/>
      <c r="N137" s="84"/>
      <c r="O137" s="84"/>
      <c r="P137" s="83"/>
    </row>
    <row r="138" spans="1:16">
      <c r="A138" s="82"/>
      <c r="B138" s="83"/>
      <c r="C138" s="83"/>
      <c r="D138" s="84"/>
      <c r="E138" s="84"/>
      <c r="F138" s="84"/>
      <c r="G138" s="84"/>
      <c r="H138" s="84"/>
      <c r="I138" s="84"/>
      <c r="J138" s="84"/>
      <c r="K138" s="84"/>
      <c r="L138" s="84"/>
      <c r="M138" s="84"/>
      <c r="N138" s="84"/>
      <c r="O138" s="84"/>
      <c r="P138" s="83"/>
    </row>
    <row r="139" spans="1:16">
      <c r="A139" s="82"/>
      <c r="B139" s="83"/>
      <c r="C139" s="83"/>
      <c r="D139" s="84"/>
      <c r="E139" s="84"/>
      <c r="F139" s="84"/>
      <c r="G139" s="84"/>
      <c r="H139" s="84"/>
      <c r="I139" s="84"/>
      <c r="J139" s="84"/>
      <c r="K139" s="84"/>
      <c r="L139" s="84"/>
      <c r="M139" s="84"/>
      <c r="N139" s="84"/>
      <c r="O139" s="84"/>
      <c r="P139" s="83"/>
    </row>
    <row r="140" spans="1:16">
      <c r="A140" s="82"/>
      <c r="B140" s="83"/>
      <c r="C140" s="83"/>
      <c r="D140" s="84"/>
      <c r="E140" s="84"/>
      <c r="F140" s="84"/>
      <c r="G140" s="84"/>
      <c r="H140" s="84"/>
      <c r="I140" s="84"/>
      <c r="J140" s="84"/>
      <c r="K140" s="84"/>
      <c r="L140" s="84"/>
      <c r="M140" s="84"/>
      <c r="N140" s="84"/>
      <c r="O140" s="84"/>
      <c r="P140" s="83"/>
    </row>
    <row r="141" spans="1:16">
      <c r="A141" s="82"/>
      <c r="B141" s="83"/>
      <c r="C141" s="83"/>
      <c r="D141" s="84"/>
      <c r="E141" s="84"/>
      <c r="F141" s="84"/>
      <c r="G141" s="84"/>
      <c r="H141" s="84"/>
      <c r="I141" s="84"/>
      <c r="J141" s="84"/>
      <c r="K141" s="84"/>
      <c r="L141" s="84"/>
      <c r="M141" s="84"/>
      <c r="N141" s="84"/>
      <c r="O141" s="84"/>
      <c r="P141" s="83"/>
    </row>
    <row r="142" spans="1:16">
      <c r="A142" s="82"/>
      <c r="B142" s="83"/>
      <c r="C142" s="83"/>
      <c r="D142" s="84"/>
      <c r="E142" s="84"/>
      <c r="F142" s="84"/>
      <c r="G142" s="84"/>
      <c r="H142" s="84"/>
      <c r="I142" s="84"/>
      <c r="J142" s="84"/>
      <c r="K142" s="84"/>
      <c r="L142" s="84"/>
      <c r="M142" s="84"/>
      <c r="N142" s="84"/>
      <c r="O142" s="84"/>
      <c r="P142" s="83"/>
    </row>
    <row r="143" spans="1:16">
      <c r="A143" s="82"/>
      <c r="B143" s="83"/>
      <c r="C143" s="83"/>
      <c r="D143" s="84"/>
      <c r="E143" s="84"/>
      <c r="F143" s="84"/>
      <c r="G143" s="84"/>
      <c r="H143" s="84"/>
      <c r="I143" s="84"/>
      <c r="J143" s="84"/>
      <c r="K143" s="84"/>
      <c r="L143" s="84"/>
      <c r="M143" s="84"/>
      <c r="N143" s="84"/>
      <c r="O143" s="84"/>
      <c r="P143" s="83"/>
    </row>
    <row r="144" spans="1:16">
      <c r="A144" s="82"/>
      <c r="B144" s="83"/>
      <c r="C144" s="83"/>
      <c r="D144" s="84"/>
      <c r="E144" s="84"/>
      <c r="F144" s="84"/>
      <c r="G144" s="84"/>
      <c r="H144" s="84"/>
      <c r="I144" s="84"/>
      <c r="J144" s="84"/>
      <c r="K144" s="84"/>
      <c r="L144" s="84"/>
      <c r="M144" s="84"/>
      <c r="N144" s="84"/>
      <c r="O144" s="84"/>
      <c r="P144" s="83"/>
    </row>
    <row r="145" spans="1:16">
      <c r="A145" s="82"/>
      <c r="B145" s="83"/>
      <c r="C145" s="83"/>
      <c r="D145" s="84"/>
      <c r="E145" s="84"/>
      <c r="F145" s="84"/>
      <c r="G145" s="84"/>
      <c r="H145" s="84"/>
      <c r="I145" s="84"/>
      <c r="J145" s="84"/>
      <c r="K145" s="84"/>
      <c r="L145" s="84"/>
      <c r="M145" s="84"/>
      <c r="N145" s="84"/>
      <c r="O145" s="84"/>
      <c r="P145" s="83"/>
    </row>
    <row r="146" spans="1:16">
      <c r="A146" s="82"/>
      <c r="B146" s="83"/>
      <c r="C146" s="83"/>
      <c r="D146" s="84"/>
      <c r="E146" s="84"/>
      <c r="F146" s="84"/>
      <c r="G146" s="84"/>
      <c r="H146" s="84"/>
      <c r="I146" s="84"/>
      <c r="J146" s="84"/>
      <c r="K146" s="84"/>
      <c r="L146" s="84"/>
      <c r="M146" s="84"/>
      <c r="N146" s="84"/>
      <c r="O146" s="84"/>
      <c r="P146" s="83"/>
    </row>
    <row r="147" spans="1:16">
      <c r="A147" s="82"/>
      <c r="B147" s="83"/>
      <c r="C147" s="83"/>
      <c r="D147" s="84"/>
      <c r="E147" s="84"/>
      <c r="F147" s="84"/>
      <c r="G147" s="84"/>
      <c r="H147" s="84"/>
      <c r="I147" s="84"/>
      <c r="J147" s="84"/>
      <c r="K147" s="84"/>
      <c r="L147" s="84"/>
      <c r="M147" s="84"/>
      <c r="N147" s="84"/>
      <c r="O147" s="84"/>
      <c r="P147" s="83"/>
    </row>
    <row r="148" spans="1:16">
      <c r="A148" s="82"/>
      <c r="B148" s="83"/>
      <c r="C148" s="83"/>
      <c r="D148" s="84"/>
      <c r="E148" s="84"/>
      <c r="F148" s="84"/>
      <c r="G148" s="84"/>
      <c r="H148" s="84"/>
      <c r="I148" s="84"/>
      <c r="J148" s="84"/>
      <c r="K148" s="84"/>
      <c r="L148" s="84"/>
      <c r="M148" s="84"/>
      <c r="N148" s="84"/>
      <c r="O148" s="84"/>
      <c r="P148" s="83"/>
    </row>
    <row r="149" spans="1:16">
      <c r="A149" s="82"/>
      <c r="B149" s="83"/>
      <c r="C149" s="83"/>
      <c r="D149" s="84"/>
      <c r="E149" s="84"/>
      <c r="F149" s="84"/>
      <c r="G149" s="84"/>
      <c r="H149" s="84"/>
      <c r="I149" s="84"/>
      <c r="J149" s="84"/>
      <c r="K149" s="84"/>
      <c r="L149" s="84"/>
      <c r="M149" s="84"/>
      <c r="N149" s="84"/>
      <c r="O149" s="84"/>
      <c r="P149" s="83"/>
    </row>
    <row r="150" spans="1:16">
      <c r="A150" s="82"/>
      <c r="B150" s="83"/>
      <c r="C150" s="83"/>
      <c r="D150" s="84"/>
      <c r="E150" s="84"/>
      <c r="F150" s="84"/>
      <c r="G150" s="84"/>
      <c r="H150" s="84"/>
      <c r="I150" s="84"/>
      <c r="J150" s="84"/>
      <c r="K150" s="84"/>
      <c r="L150" s="84"/>
      <c r="M150" s="84"/>
      <c r="N150" s="84"/>
      <c r="O150" s="84"/>
      <c r="P150" s="83"/>
    </row>
    <row r="151" spans="1:16">
      <c r="A151" s="82"/>
      <c r="B151" s="83"/>
      <c r="C151" s="83"/>
      <c r="D151" s="84"/>
      <c r="E151" s="84"/>
      <c r="F151" s="84"/>
      <c r="G151" s="84"/>
      <c r="H151" s="84"/>
      <c r="I151" s="84"/>
      <c r="J151" s="84"/>
      <c r="K151" s="84"/>
      <c r="L151" s="84"/>
      <c r="M151" s="84"/>
      <c r="N151" s="84"/>
      <c r="O151" s="84"/>
      <c r="P151" s="83"/>
    </row>
    <row r="152" spans="1:16">
      <c r="A152" s="82"/>
      <c r="B152" s="83"/>
      <c r="C152" s="83"/>
      <c r="D152" s="84"/>
      <c r="E152" s="84"/>
      <c r="F152" s="84"/>
      <c r="G152" s="84"/>
      <c r="H152" s="84"/>
      <c r="I152" s="84"/>
      <c r="J152" s="84"/>
      <c r="K152" s="84"/>
      <c r="L152" s="84"/>
      <c r="M152" s="84"/>
      <c r="N152" s="84"/>
      <c r="O152" s="84"/>
      <c r="P152" s="83"/>
    </row>
    <row r="153" spans="1:16">
      <c r="A153" s="82"/>
      <c r="B153" s="83"/>
      <c r="C153" s="83"/>
      <c r="D153" s="84"/>
      <c r="E153" s="84"/>
      <c r="F153" s="84"/>
      <c r="G153" s="84"/>
      <c r="H153" s="84"/>
      <c r="I153" s="84"/>
      <c r="J153" s="84"/>
      <c r="K153" s="84"/>
      <c r="L153" s="84"/>
      <c r="M153" s="84"/>
      <c r="N153" s="84"/>
      <c r="O153" s="84"/>
      <c r="P153" s="83"/>
    </row>
    <row r="154" spans="1:16">
      <c r="A154" s="82"/>
      <c r="B154" s="83"/>
      <c r="C154" s="83"/>
      <c r="D154" s="84"/>
      <c r="E154" s="84"/>
      <c r="F154" s="84"/>
      <c r="G154" s="84"/>
      <c r="H154" s="84"/>
      <c r="I154" s="84"/>
      <c r="J154" s="84"/>
      <c r="K154" s="84"/>
      <c r="L154" s="84"/>
      <c r="M154" s="84"/>
      <c r="N154" s="84"/>
      <c r="O154" s="84"/>
      <c r="P154" s="83"/>
    </row>
    <row r="155" spans="1:16">
      <c r="A155" s="82"/>
      <c r="B155" s="83"/>
      <c r="C155" s="83"/>
      <c r="D155" s="84"/>
      <c r="E155" s="84"/>
      <c r="F155" s="84"/>
      <c r="G155" s="84"/>
      <c r="H155" s="84"/>
      <c r="I155" s="84"/>
      <c r="J155" s="84"/>
      <c r="K155" s="84"/>
      <c r="L155" s="84"/>
      <c r="M155" s="84"/>
      <c r="N155" s="84"/>
      <c r="O155" s="84"/>
      <c r="P155" s="83"/>
    </row>
    <row r="156" spans="1:16">
      <c r="A156" s="82"/>
      <c r="B156" s="83"/>
      <c r="C156" s="83"/>
      <c r="D156" s="84"/>
      <c r="E156" s="84"/>
      <c r="F156" s="84"/>
      <c r="G156" s="84"/>
      <c r="H156" s="84"/>
      <c r="I156" s="84"/>
      <c r="J156" s="84"/>
      <c r="K156" s="84"/>
      <c r="L156" s="84"/>
      <c r="M156" s="84"/>
      <c r="N156" s="84"/>
      <c r="O156" s="84"/>
      <c r="P156" s="83"/>
    </row>
    <row r="157" spans="1:16">
      <c r="A157" s="82"/>
      <c r="B157" s="83"/>
      <c r="C157" s="83"/>
      <c r="D157" s="84"/>
      <c r="E157" s="84"/>
      <c r="F157" s="84"/>
      <c r="G157" s="84"/>
      <c r="H157" s="84"/>
      <c r="I157" s="84"/>
      <c r="J157" s="84"/>
      <c r="K157" s="84"/>
      <c r="L157" s="84"/>
      <c r="M157" s="84"/>
      <c r="N157" s="84"/>
      <c r="O157" s="84"/>
      <c r="P157" s="83"/>
    </row>
    <row r="158" spans="1:16">
      <c r="A158" s="82"/>
      <c r="B158" s="83"/>
      <c r="C158" s="83"/>
      <c r="D158" s="84"/>
      <c r="E158" s="84"/>
      <c r="F158" s="84"/>
      <c r="G158" s="84"/>
      <c r="H158" s="84"/>
      <c r="I158" s="84"/>
      <c r="J158" s="84"/>
      <c r="K158" s="84"/>
      <c r="L158" s="84"/>
      <c r="M158" s="84"/>
      <c r="N158" s="84"/>
      <c r="O158" s="84"/>
      <c r="P158" s="83"/>
    </row>
    <row r="159" spans="1:16">
      <c r="A159" s="82"/>
      <c r="B159" s="83"/>
      <c r="C159" s="83"/>
      <c r="D159" s="84"/>
      <c r="E159" s="84"/>
      <c r="F159" s="84"/>
      <c r="G159" s="84"/>
      <c r="H159" s="84"/>
      <c r="I159" s="84"/>
      <c r="J159" s="84"/>
      <c r="K159" s="84"/>
      <c r="L159" s="84"/>
      <c r="M159" s="84"/>
      <c r="N159" s="84"/>
      <c r="O159" s="84"/>
      <c r="P159" s="83"/>
    </row>
    <row r="160" spans="1:16">
      <c r="A160" s="82"/>
      <c r="B160" s="83"/>
      <c r="C160" s="83"/>
      <c r="D160" s="84"/>
      <c r="E160" s="84"/>
      <c r="F160" s="84"/>
      <c r="G160" s="84"/>
      <c r="H160" s="84"/>
      <c r="I160" s="84"/>
      <c r="J160" s="84"/>
      <c r="K160" s="84"/>
      <c r="L160" s="84"/>
      <c r="M160" s="84"/>
      <c r="N160" s="84"/>
      <c r="O160" s="84"/>
      <c r="P160" s="83"/>
    </row>
    <row r="161" spans="1:16">
      <c r="A161" s="82"/>
      <c r="B161" s="83"/>
      <c r="C161" s="83"/>
      <c r="D161" s="84"/>
      <c r="E161" s="84"/>
      <c r="F161" s="84"/>
      <c r="G161" s="84"/>
      <c r="H161" s="84"/>
      <c r="I161" s="84"/>
      <c r="J161" s="84"/>
      <c r="K161" s="84"/>
      <c r="L161" s="84"/>
      <c r="M161" s="84"/>
      <c r="N161" s="84"/>
      <c r="O161" s="84"/>
      <c r="P161" s="83"/>
    </row>
    <row r="162" spans="1:16">
      <c r="A162" s="82"/>
      <c r="B162" s="83"/>
      <c r="C162" s="83"/>
      <c r="D162" s="84"/>
      <c r="E162" s="84"/>
      <c r="F162" s="84"/>
      <c r="G162" s="84"/>
      <c r="H162" s="84"/>
      <c r="I162" s="84"/>
      <c r="J162" s="84"/>
      <c r="K162" s="84"/>
      <c r="L162" s="84"/>
      <c r="M162" s="84"/>
      <c r="N162" s="84"/>
      <c r="O162" s="84"/>
      <c r="P162" s="83"/>
    </row>
    <row r="163" spans="1:16">
      <c r="A163" s="82"/>
      <c r="B163" s="83"/>
      <c r="C163" s="83"/>
      <c r="D163" s="84"/>
      <c r="E163" s="84"/>
      <c r="F163" s="84"/>
      <c r="G163" s="84"/>
      <c r="H163" s="84"/>
      <c r="I163" s="84"/>
      <c r="J163" s="84"/>
      <c r="K163" s="84"/>
      <c r="L163" s="84"/>
      <c r="M163" s="84"/>
      <c r="N163" s="84"/>
      <c r="O163" s="84"/>
      <c r="P163" s="83"/>
    </row>
    <row r="164" spans="1:16">
      <c r="A164" s="82"/>
      <c r="B164" s="83"/>
      <c r="C164" s="83"/>
      <c r="D164" s="84"/>
      <c r="E164" s="84"/>
      <c r="F164" s="84"/>
      <c r="G164" s="84"/>
      <c r="H164" s="84"/>
      <c r="I164" s="84"/>
      <c r="J164" s="84"/>
      <c r="K164" s="84"/>
      <c r="L164" s="84"/>
      <c r="M164" s="84"/>
      <c r="N164" s="84"/>
      <c r="O164" s="84"/>
      <c r="P164" s="83"/>
    </row>
    <row r="165" spans="1:16">
      <c r="A165" s="82"/>
      <c r="B165" s="83"/>
      <c r="C165" s="83"/>
      <c r="D165" s="84"/>
      <c r="E165" s="84"/>
      <c r="F165" s="84"/>
      <c r="G165" s="84"/>
      <c r="H165" s="84"/>
      <c r="I165" s="84"/>
      <c r="J165" s="84"/>
      <c r="K165" s="84"/>
      <c r="L165" s="84"/>
      <c r="M165" s="84"/>
      <c r="N165" s="84"/>
      <c r="O165" s="84"/>
      <c r="P165" s="83"/>
    </row>
    <row r="166" spans="1:16">
      <c r="A166" s="82"/>
      <c r="B166" s="83"/>
      <c r="C166" s="83"/>
      <c r="D166" s="84"/>
      <c r="E166" s="84"/>
      <c r="F166" s="84"/>
      <c r="G166" s="84"/>
      <c r="H166" s="84"/>
      <c r="I166" s="84"/>
      <c r="J166" s="84"/>
      <c r="K166" s="84"/>
      <c r="L166" s="84"/>
      <c r="M166" s="84"/>
      <c r="N166" s="84"/>
      <c r="O166" s="84"/>
      <c r="P166" s="83"/>
    </row>
    <row r="167" spans="1:16">
      <c r="A167" s="82"/>
      <c r="B167" s="83"/>
      <c r="C167" s="83"/>
      <c r="D167" s="84"/>
      <c r="E167" s="84"/>
      <c r="F167" s="84"/>
      <c r="G167" s="84"/>
      <c r="H167" s="84"/>
      <c r="I167" s="84"/>
      <c r="J167" s="84"/>
      <c r="K167" s="84"/>
      <c r="L167" s="84"/>
      <c r="M167" s="84"/>
      <c r="N167" s="84"/>
      <c r="O167" s="84"/>
      <c r="P167" s="83"/>
    </row>
    <row r="168" spans="1:16">
      <c r="A168" s="82"/>
      <c r="B168" s="83"/>
      <c r="C168" s="83"/>
      <c r="D168" s="84"/>
      <c r="E168" s="84"/>
      <c r="F168" s="84"/>
      <c r="G168" s="84"/>
      <c r="H168" s="84"/>
      <c r="I168" s="84"/>
      <c r="J168" s="84"/>
      <c r="K168" s="84"/>
      <c r="L168" s="84"/>
      <c r="M168" s="84"/>
      <c r="N168" s="84"/>
      <c r="O168" s="84"/>
      <c r="P168" s="83"/>
    </row>
    <row r="169" spans="1:16">
      <c r="A169" s="82"/>
      <c r="B169" s="83"/>
      <c r="C169" s="83"/>
      <c r="D169" s="84"/>
      <c r="E169" s="84"/>
      <c r="F169" s="84"/>
      <c r="G169" s="84"/>
      <c r="H169" s="84"/>
      <c r="I169" s="84"/>
      <c r="J169" s="84"/>
      <c r="K169" s="84"/>
      <c r="L169" s="84"/>
      <c r="M169" s="84"/>
      <c r="N169" s="84"/>
      <c r="O169" s="84"/>
      <c r="P169" s="83"/>
    </row>
    <row r="170" spans="1:16">
      <c r="A170" s="82"/>
      <c r="B170" s="83"/>
      <c r="C170" s="83"/>
      <c r="D170" s="84"/>
      <c r="E170" s="84"/>
      <c r="F170" s="84"/>
      <c r="G170" s="84"/>
      <c r="H170" s="84"/>
      <c r="I170" s="84"/>
      <c r="J170" s="84"/>
      <c r="K170" s="84"/>
      <c r="L170" s="84"/>
      <c r="M170" s="84"/>
      <c r="N170" s="84"/>
      <c r="O170" s="84"/>
      <c r="P170" s="83"/>
    </row>
    <row r="171" spans="1:16">
      <c r="A171" s="82"/>
      <c r="B171" s="83"/>
      <c r="C171" s="83"/>
      <c r="D171" s="84"/>
      <c r="E171" s="84"/>
      <c r="F171" s="84"/>
      <c r="G171" s="84"/>
      <c r="H171" s="84"/>
      <c r="I171" s="84"/>
      <c r="J171" s="84"/>
      <c r="K171" s="84"/>
      <c r="L171" s="84"/>
      <c r="M171" s="84"/>
      <c r="N171" s="84"/>
      <c r="O171" s="84"/>
      <c r="P171" s="83"/>
    </row>
    <row r="172" spans="1:16">
      <c r="A172" s="82"/>
      <c r="B172" s="83"/>
      <c r="C172" s="83"/>
      <c r="D172" s="84"/>
      <c r="E172" s="84"/>
      <c r="F172" s="84"/>
      <c r="G172" s="84"/>
      <c r="H172" s="84"/>
      <c r="I172" s="84"/>
      <c r="J172" s="84"/>
      <c r="K172" s="84"/>
      <c r="L172" s="84"/>
      <c r="M172" s="84"/>
      <c r="N172" s="84"/>
      <c r="O172" s="84"/>
      <c r="P172" s="83"/>
    </row>
    <row r="173" spans="1:16">
      <c r="A173" s="82"/>
      <c r="B173" s="83"/>
      <c r="C173" s="83"/>
      <c r="D173" s="84"/>
      <c r="E173" s="84"/>
      <c r="F173" s="84"/>
      <c r="G173" s="84"/>
      <c r="H173" s="84"/>
      <c r="I173" s="84"/>
      <c r="J173" s="84"/>
      <c r="K173" s="84"/>
      <c r="L173" s="84"/>
      <c r="M173" s="84"/>
      <c r="N173" s="84"/>
      <c r="O173" s="84"/>
      <c r="P173" s="83"/>
    </row>
    <row r="174" spans="1:16">
      <c r="A174" s="82"/>
      <c r="B174" s="83"/>
      <c r="C174" s="83"/>
      <c r="D174" s="84"/>
      <c r="E174" s="84"/>
      <c r="F174" s="84"/>
      <c r="G174" s="84"/>
      <c r="H174" s="84"/>
      <c r="I174" s="84"/>
      <c r="J174" s="84"/>
      <c r="K174" s="84"/>
      <c r="L174" s="84"/>
      <c r="M174" s="84"/>
      <c r="N174" s="84"/>
      <c r="O174" s="84"/>
      <c r="P174" s="83"/>
    </row>
    <row r="175" spans="1:16">
      <c r="A175" s="82"/>
      <c r="B175" s="83"/>
      <c r="C175" s="83"/>
      <c r="D175" s="84"/>
      <c r="E175" s="84"/>
      <c r="F175" s="84"/>
      <c r="G175" s="84"/>
      <c r="H175" s="84"/>
      <c r="I175" s="84"/>
      <c r="J175" s="84"/>
      <c r="K175" s="84"/>
      <c r="L175" s="84"/>
      <c r="M175" s="84"/>
      <c r="N175" s="84"/>
      <c r="O175" s="84"/>
      <c r="P175" s="83"/>
    </row>
    <row r="176" spans="1:16">
      <c r="A176" s="82"/>
      <c r="B176" s="83"/>
      <c r="C176" s="83"/>
      <c r="D176" s="84"/>
      <c r="E176" s="84"/>
      <c r="F176" s="84"/>
      <c r="G176" s="84"/>
      <c r="H176" s="84"/>
      <c r="I176" s="84"/>
      <c r="J176" s="84"/>
      <c r="K176" s="84"/>
      <c r="L176" s="84"/>
      <c r="M176" s="84"/>
      <c r="N176" s="84"/>
      <c r="O176" s="84"/>
      <c r="P176" s="83"/>
    </row>
    <row r="177" spans="1:16">
      <c r="A177" s="82"/>
      <c r="B177" s="83"/>
      <c r="C177" s="83"/>
      <c r="D177" s="84"/>
      <c r="E177" s="84"/>
      <c r="F177" s="84"/>
      <c r="G177" s="84"/>
      <c r="H177" s="84"/>
      <c r="I177" s="84"/>
      <c r="J177" s="84"/>
      <c r="K177" s="84"/>
      <c r="L177" s="84"/>
      <c r="M177" s="84"/>
      <c r="N177" s="84"/>
      <c r="O177" s="84"/>
      <c r="P177" s="83"/>
    </row>
    <row r="178" spans="1:16">
      <c r="A178" s="82"/>
      <c r="B178" s="83"/>
      <c r="C178" s="83"/>
      <c r="D178" s="84"/>
      <c r="E178" s="84"/>
      <c r="F178" s="84"/>
      <c r="G178" s="84"/>
      <c r="H178" s="84"/>
      <c r="I178" s="84"/>
      <c r="J178" s="84"/>
      <c r="K178" s="84"/>
      <c r="L178" s="84"/>
      <c r="M178" s="84"/>
      <c r="N178" s="84"/>
      <c r="O178" s="84"/>
      <c r="P178" s="83"/>
    </row>
    <row r="179" spans="1:16">
      <c r="A179" s="82"/>
      <c r="B179" s="83"/>
      <c r="C179" s="83"/>
      <c r="D179" s="84"/>
      <c r="E179" s="84"/>
      <c r="F179" s="84"/>
      <c r="G179" s="84"/>
      <c r="H179" s="84"/>
      <c r="I179" s="84"/>
      <c r="J179" s="84"/>
      <c r="K179" s="84"/>
      <c r="L179" s="84"/>
      <c r="M179" s="84"/>
      <c r="N179" s="84"/>
      <c r="O179" s="84"/>
      <c r="P179" s="83"/>
    </row>
    <row r="180" spans="1:16">
      <c r="A180" s="82"/>
      <c r="B180" s="83"/>
      <c r="C180" s="83"/>
      <c r="D180" s="84"/>
      <c r="E180" s="84"/>
      <c r="F180" s="84"/>
      <c r="G180" s="84"/>
      <c r="H180" s="84"/>
      <c r="I180" s="84"/>
      <c r="J180" s="84"/>
      <c r="K180" s="84"/>
      <c r="L180" s="84"/>
      <c r="M180" s="84"/>
      <c r="N180" s="84"/>
      <c r="O180" s="84"/>
      <c r="P180" s="83"/>
    </row>
    <row r="181" spans="1:16">
      <c r="A181" s="82"/>
      <c r="B181" s="83"/>
      <c r="C181" s="83"/>
      <c r="D181" s="84"/>
      <c r="E181" s="84"/>
      <c r="F181" s="84"/>
      <c r="G181" s="84"/>
      <c r="H181" s="84"/>
      <c r="I181" s="84"/>
      <c r="J181" s="84"/>
      <c r="K181" s="84"/>
      <c r="L181" s="84"/>
      <c r="M181" s="84"/>
      <c r="N181" s="84"/>
      <c r="O181" s="84"/>
      <c r="P181" s="83"/>
    </row>
    <row r="182" spans="1:16">
      <c r="A182" s="82"/>
      <c r="B182" s="83"/>
      <c r="C182" s="83"/>
      <c r="D182" s="84"/>
      <c r="E182" s="84"/>
      <c r="F182" s="84"/>
      <c r="G182" s="84"/>
      <c r="H182" s="84"/>
      <c r="I182" s="84"/>
      <c r="J182" s="84"/>
      <c r="K182" s="84"/>
      <c r="L182" s="84"/>
      <c r="M182" s="84"/>
      <c r="N182" s="84"/>
      <c r="O182" s="84"/>
      <c r="P182" s="83"/>
    </row>
    <row r="183" spans="1:16">
      <c r="A183" s="82"/>
      <c r="B183" s="83"/>
      <c r="C183" s="83"/>
      <c r="D183" s="84"/>
      <c r="E183" s="84"/>
      <c r="F183" s="84"/>
      <c r="G183" s="84"/>
      <c r="H183" s="84"/>
      <c r="I183" s="84"/>
      <c r="J183" s="84"/>
      <c r="K183" s="84"/>
      <c r="L183" s="84"/>
      <c r="M183" s="84"/>
      <c r="N183" s="84"/>
      <c r="O183" s="84"/>
      <c r="P183" s="83"/>
    </row>
    <row r="184" spans="1:16">
      <c r="A184" s="82"/>
      <c r="B184" s="83"/>
      <c r="C184" s="83"/>
      <c r="D184" s="84"/>
      <c r="E184" s="84"/>
      <c r="F184" s="84"/>
      <c r="G184" s="84"/>
      <c r="H184" s="84"/>
      <c r="I184" s="84"/>
      <c r="J184" s="84"/>
      <c r="K184" s="84"/>
      <c r="L184" s="84"/>
      <c r="M184" s="84"/>
      <c r="N184" s="84"/>
      <c r="O184" s="84"/>
      <c r="P184" s="83"/>
    </row>
    <row r="185" spans="1:16">
      <c r="A185" s="82"/>
      <c r="B185" s="83"/>
      <c r="C185" s="83"/>
      <c r="D185" s="84"/>
      <c r="E185" s="84"/>
      <c r="F185" s="84"/>
      <c r="G185" s="84"/>
      <c r="H185" s="84"/>
      <c r="I185" s="84"/>
      <c r="J185" s="84"/>
      <c r="K185" s="84"/>
      <c r="L185" s="84"/>
      <c r="M185" s="84"/>
      <c r="N185" s="84"/>
      <c r="O185" s="84"/>
      <c r="P185" s="83"/>
    </row>
    <row r="186" spans="1:16">
      <c r="A186" s="82"/>
      <c r="B186" s="83"/>
      <c r="C186" s="83"/>
      <c r="D186" s="84"/>
      <c r="E186" s="84"/>
      <c r="F186" s="84"/>
      <c r="G186" s="84"/>
      <c r="H186" s="84"/>
      <c r="I186" s="84"/>
      <c r="J186" s="84"/>
      <c r="K186" s="84"/>
      <c r="L186" s="84"/>
      <c r="M186" s="84"/>
      <c r="N186" s="84"/>
      <c r="O186" s="84"/>
      <c r="P186" s="83"/>
    </row>
    <row r="187" spans="1:16">
      <c r="A187" s="82"/>
      <c r="B187" s="83"/>
      <c r="C187" s="83"/>
      <c r="D187" s="84"/>
      <c r="E187" s="84"/>
      <c r="F187" s="84"/>
      <c r="G187" s="84"/>
      <c r="H187" s="84"/>
      <c r="I187" s="84"/>
      <c r="J187" s="84"/>
      <c r="K187" s="84"/>
      <c r="L187" s="84"/>
      <c r="M187" s="84"/>
      <c r="N187" s="84"/>
      <c r="O187" s="84"/>
      <c r="P187" s="83"/>
    </row>
    <row r="188" spans="1:16">
      <c r="A188" s="82"/>
      <c r="B188" s="83"/>
      <c r="C188" s="83"/>
      <c r="D188" s="84"/>
      <c r="E188" s="84"/>
      <c r="F188" s="84"/>
      <c r="G188" s="84"/>
      <c r="H188" s="84"/>
      <c r="I188" s="84"/>
      <c r="J188" s="84"/>
      <c r="K188" s="84"/>
      <c r="L188" s="84"/>
      <c r="M188" s="84"/>
      <c r="N188" s="84"/>
      <c r="O188" s="84"/>
      <c r="P188" s="83"/>
    </row>
    <row r="189" spans="1:16">
      <c r="A189" s="82"/>
      <c r="B189" s="83"/>
      <c r="C189" s="83"/>
      <c r="D189" s="84"/>
      <c r="E189" s="84"/>
      <c r="F189" s="84"/>
      <c r="G189" s="84"/>
      <c r="H189" s="84"/>
      <c r="I189" s="84"/>
      <c r="J189" s="84"/>
      <c r="K189" s="84"/>
      <c r="L189" s="84"/>
      <c r="M189" s="84"/>
      <c r="N189" s="84"/>
      <c r="O189" s="84"/>
      <c r="P189" s="83"/>
    </row>
    <row r="190" spans="1:16">
      <c r="A190" s="82"/>
      <c r="B190" s="83"/>
      <c r="C190" s="83"/>
      <c r="D190" s="84"/>
      <c r="E190" s="84"/>
      <c r="F190" s="84"/>
      <c r="G190" s="84"/>
      <c r="H190" s="84"/>
      <c r="I190" s="84"/>
      <c r="J190" s="84"/>
      <c r="K190" s="84"/>
      <c r="L190" s="84"/>
      <c r="M190" s="84"/>
      <c r="N190" s="84"/>
      <c r="O190" s="84"/>
      <c r="P190" s="83"/>
    </row>
    <row r="191" spans="1:16">
      <c r="A191" s="82"/>
      <c r="B191" s="83"/>
      <c r="C191" s="83"/>
      <c r="D191" s="84"/>
      <c r="E191" s="84"/>
      <c r="F191" s="84"/>
      <c r="G191" s="84"/>
      <c r="H191" s="84"/>
      <c r="I191" s="84"/>
      <c r="J191" s="84"/>
      <c r="K191" s="84"/>
      <c r="L191" s="84"/>
      <c r="M191" s="84"/>
      <c r="N191" s="84"/>
      <c r="O191" s="84"/>
      <c r="P191" s="83"/>
    </row>
    <row r="192" spans="1:16">
      <c r="A192" s="82"/>
      <c r="B192" s="83"/>
      <c r="C192" s="83"/>
      <c r="D192" s="84"/>
      <c r="E192" s="84"/>
      <c r="F192" s="84"/>
      <c r="G192" s="84"/>
      <c r="H192" s="84"/>
      <c r="I192" s="84"/>
      <c r="J192" s="84"/>
      <c r="K192" s="84"/>
      <c r="L192" s="84"/>
      <c r="M192" s="84"/>
      <c r="N192" s="84"/>
      <c r="O192" s="84"/>
      <c r="P192" s="83"/>
    </row>
    <row r="193" spans="1:16">
      <c r="A193" s="82"/>
      <c r="B193" s="83"/>
      <c r="C193" s="83"/>
      <c r="D193" s="84"/>
      <c r="E193" s="84"/>
      <c r="F193" s="84"/>
      <c r="G193" s="84"/>
      <c r="H193" s="84"/>
      <c r="I193" s="84"/>
      <c r="J193" s="84"/>
      <c r="K193" s="84"/>
      <c r="L193" s="84"/>
      <c r="M193" s="84"/>
      <c r="N193" s="84"/>
      <c r="O193" s="84"/>
      <c r="P193" s="83"/>
    </row>
    <row r="194" spans="1:16">
      <c r="A194" s="82"/>
      <c r="B194" s="83"/>
      <c r="C194" s="83"/>
      <c r="D194" s="84"/>
      <c r="E194" s="84"/>
      <c r="F194" s="84"/>
      <c r="G194" s="84"/>
      <c r="H194" s="84"/>
      <c r="I194" s="84"/>
      <c r="J194" s="84"/>
      <c r="K194" s="84"/>
      <c r="L194" s="84"/>
      <c r="M194" s="84"/>
      <c r="N194" s="84"/>
      <c r="O194" s="84"/>
      <c r="P194" s="83"/>
    </row>
    <row r="195" spans="1:16">
      <c r="A195" s="82"/>
      <c r="B195" s="83"/>
      <c r="C195" s="83"/>
      <c r="D195" s="84"/>
      <c r="E195" s="84"/>
      <c r="F195" s="84"/>
      <c r="G195" s="84"/>
      <c r="H195" s="84"/>
      <c r="I195" s="84"/>
      <c r="J195" s="84"/>
      <c r="K195" s="84"/>
      <c r="L195" s="84"/>
      <c r="M195" s="84"/>
      <c r="N195" s="84"/>
      <c r="O195" s="84"/>
      <c r="P195" s="83"/>
    </row>
    <row r="196" spans="1:16">
      <c r="A196" s="82"/>
      <c r="B196" s="83"/>
      <c r="C196" s="83"/>
      <c r="D196" s="84"/>
      <c r="E196" s="84"/>
      <c r="F196" s="84"/>
      <c r="G196" s="84"/>
      <c r="H196" s="84"/>
      <c r="I196" s="84"/>
      <c r="J196" s="84"/>
      <c r="K196" s="84"/>
      <c r="L196" s="84"/>
      <c r="M196" s="84"/>
      <c r="N196" s="84"/>
      <c r="O196" s="84"/>
      <c r="P196" s="83"/>
    </row>
    <row r="197" spans="1:16">
      <c r="A197" s="82"/>
      <c r="B197" s="83"/>
      <c r="C197" s="83"/>
      <c r="D197" s="84"/>
      <c r="E197" s="84"/>
      <c r="F197" s="84"/>
      <c r="G197" s="84"/>
      <c r="H197" s="84"/>
      <c r="I197" s="84"/>
      <c r="J197" s="84"/>
      <c r="K197" s="84"/>
      <c r="L197" s="84"/>
      <c r="M197" s="84"/>
      <c r="N197" s="84"/>
      <c r="O197" s="84"/>
      <c r="P197" s="83"/>
    </row>
    <row r="198" spans="1:16">
      <c r="A198" s="82"/>
      <c r="B198" s="83"/>
      <c r="C198" s="83"/>
      <c r="D198" s="84"/>
      <c r="E198" s="84"/>
      <c r="F198" s="84"/>
      <c r="G198" s="84"/>
      <c r="H198" s="84"/>
      <c r="I198" s="84"/>
      <c r="J198" s="84"/>
      <c r="K198" s="84"/>
      <c r="L198" s="84"/>
      <c r="M198" s="84"/>
      <c r="N198" s="84"/>
      <c r="O198" s="84"/>
      <c r="P198" s="83"/>
    </row>
    <row r="199" spans="1:16">
      <c r="A199" s="82"/>
      <c r="B199" s="83"/>
      <c r="C199" s="83"/>
      <c r="D199" s="84"/>
      <c r="E199" s="84"/>
      <c r="F199" s="84"/>
      <c r="G199" s="84"/>
      <c r="H199" s="84"/>
      <c r="I199" s="84"/>
      <c r="J199" s="84"/>
      <c r="K199" s="84"/>
      <c r="L199" s="84"/>
      <c r="M199" s="84"/>
      <c r="N199" s="84"/>
      <c r="O199" s="84"/>
      <c r="P199" s="83"/>
    </row>
    <row r="200" spans="1:16">
      <c r="A200" s="82"/>
      <c r="B200" s="83"/>
      <c r="C200" s="83"/>
      <c r="D200" s="84"/>
      <c r="E200" s="84"/>
      <c r="F200" s="84"/>
      <c r="G200" s="84"/>
      <c r="H200" s="84"/>
      <c r="I200" s="84"/>
      <c r="J200" s="84"/>
      <c r="K200" s="84"/>
      <c r="L200" s="84"/>
      <c r="M200" s="84"/>
      <c r="N200" s="84"/>
      <c r="O200" s="84"/>
      <c r="P200" s="83"/>
    </row>
    <row r="201" spans="1:16">
      <c r="A201" s="82"/>
      <c r="B201" s="83"/>
      <c r="C201" s="83"/>
      <c r="D201" s="84"/>
      <c r="E201" s="84"/>
      <c r="F201" s="84"/>
      <c r="G201" s="84"/>
      <c r="H201" s="84"/>
      <c r="I201" s="84"/>
      <c r="J201" s="84"/>
      <c r="K201" s="84"/>
      <c r="L201" s="84"/>
      <c r="M201" s="84"/>
      <c r="N201" s="84"/>
      <c r="O201" s="84"/>
      <c r="P201" s="83"/>
    </row>
    <row r="202" spans="1:16">
      <c r="A202" s="82"/>
      <c r="B202" s="83"/>
      <c r="C202" s="83"/>
      <c r="D202" s="84"/>
      <c r="E202" s="84"/>
      <c r="F202" s="84"/>
      <c r="G202" s="84"/>
      <c r="H202" s="84"/>
      <c r="I202" s="84"/>
      <c r="J202" s="84"/>
      <c r="K202" s="84"/>
      <c r="L202" s="84"/>
      <c r="M202" s="84"/>
      <c r="N202" s="84"/>
      <c r="O202" s="84"/>
      <c r="P202" s="83"/>
    </row>
    <row r="203" spans="1:16">
      <c r="A203" s="82"/>
      <c r="B203" s="83"/>
      <c r="C203" s="83"/>
      <c r="D203" s="84"/>
      <c r="E203" s="84"/>
      <c r="F203" s="84"/>
      <c r="G203" s="84"/>
      <c r="H203" s="84"/>
      <c r="I203" s="84"/>
      <c r="J203" s="84"/>
      <c r="K203" s="84"/>
      <c r="L203" s="84"/>
      <c r="M203" s="84"/>
      <c r="N203" s="84"/>
      <c r="O203" s="84"/>
      <c r="P203" s="83"/>
    </row>
    <row r="204" spans="1:16">
      <c r="A204" s="82"/>
      <c r="B204" s="83"/>
      <c r="C204" s="83"/>
      <c r="D204" s="84"/>
      <c r="E204" s="84"/>
      <c r="F204" s="84"/>
      <c r="G204" s="84"/>
      <c r="H204" s="84"/>
      <c r="I204" s="84"/>
      <c r="J204" s="84"/>
      <c r="K204" s="84"/>
      <c r="L204" s="84"/>
      <c r="M204" s="84"/>
      <c r="N204" s="84"/>
      <c r="O204" s="84"/>
      <c r="P204" s="83"/>
    </row>
    <row r="205" spans="1:16">
      <c r="A205" s="82"/>
      <c r="B205" s="83"/>
      <c r="C205" s="83"/>
      <c r="D205" s="84"/>
      <c r="E205" s="84"/>
      <c r="F205" s="84"/>
      <c r="G205" s="84"/>
      <c r="H205" s="84"/>
      <c r="I205" s="84"/>
      <c r="J205" s="84"/>
      <c r="K205" s="84"/>
      <c r="L205" s="84"/>
      <c r="M205" s="84"/>
      <c r="N205" s="84"/>
      <c r="O205" s="84"/>
      <c r="P205" s="83"/>
    </row>
    <row r="206" spans="1:16">
      <c r="A206" s="82"/>
      <c r="B206" s="83"/>
      <c r="C206" s="83"/>
      <c r="D206" s="84"/>
      <c r="E206" s="84"/>
      <c r="F206" s="84"/>
      <c r="G206" s="84"/>
      <c r="H206" s="84"/>
      <c r="I206" s="84"/>
      <c r="J206" s="84"/>
      <c r="K206" s="84"/>
      <c r="L206" s="84"/>
      <c r="M206" s="84"/>
      <c r="N206" s="84"/>
      <c r="O206" s="84"/>
      <c r="P206" s="83"/>
    </row>
    <row r="207" spans="1:16">
      <c r="A207" s="82"/>
      <c r="B207" s="83"/>
      <c r="C207" s="83"/>
      <c r="D207" s="84"/>
      <c r="E207" s="84"/>
      <c r="F207" s="84"/>
      <c r="G207" s="84"/>
      <c r="H207" s="84"/>
      <c r="I207" s="84"/>
      <c r="J207" s="84"/>
      <c r="K207" s="84"/>
      <c r="L207" s="84"/>
      <c r="M207" s="84"/>
      <c r="N207" s="84"/>
      <c r="O207" s="84"/>
      <c r="P207" s="83"/>
    </row>
    <row r="208" spans="1:16">
      <c r="A208" s="82"/>
      <c r="B208" s="83"/>
      <c r="C208" s="83"/>
      <c r="D208" s="84"/>
      <c r="E208" s="84"/>
      <c r="F208" s="84"/>
      <c r="G208" s="84"/>
      <c r="H208" s="84"/>
      <c r="I208" s="84"/>
      <c r="J208" s="84"/>
      <c r="K208" s="84"/>
      <c r="L208" s="84"/>
      <c r="M208" s="84"/>
      <c r="N208" s="84"/>
      <c r="O208" s="84"/>
      <c r="P208" s="83"/>
    </row>
    <row r="209" spans="1:16">
      <c r="A209" s="82"/>
      <c r="B209" s="83"/>
      <c r="C209" s="83"/>
      <c r="D209" s="84"/>
      <c r="E209" s="84"/>
      <c r="F209" s="84"/>
      <c r="G209" s="84"/>
      <c r="H209" s="84"/>
      <c r="I209" s="84"/>
      <c r="J209" s="84"/>
      <c r="K209" s="84"/>
      <c r="L209" s="84"/>
      <c r="M209" s="84"/>
      <c r="N209" s="84"/>
      <c r="O209" s="84"/>
      <c r="P209" s="83"/>
    </row>
    <row r="210" spans="1:16">
      <c r="A210" s="82"/>
      <c r="B210" s="83"/>
      <c r="C210" s="83"/>
      <c r="D210" s="84"/>
      <c r="E210" s="84"/>
      <c r="F210" s="84"/>
      <c r="G210" s="84"/>
      <c r="H210" s="84"/>
      <c r="I210" s="84"/>
      <c r="J210" s="84"/>
      <c r="K210" s="84"/>
      <c r="L210" s="84"/>
      <c r="M210" s="84"/>
      <c r="N210" s="84"/>
      <c r="O210" s="84"/>
      <c r="P210" s="83"/>
    </row>
    <row r="211" spans="1:16">
      <c r="A211" s="82"/>
      <c r="B211" s="83"/>
      <c r="C211" s="83"/>
      <c r="D211" s="84"/>
      <c r="E211" s="84"/>
      <c r="F211" s="84"/>
      <c r="G211" s="84"/>
      <c r="H211" s="84"/>
      <c r="I211" s="84"/>
      <c r="J211" s="84"/>
      <c r="K211" s="84"/>
      <c r="L211" s="84"/>
      <c r="M211" s="84"/>
      <c r="N211" s="84"/>
      <c r="O211" s="84"/>
      <c r="P211" s="83"/>
    </row>
    <row r="212" spans="1:16">
      <c r="A212" s="82"/>
      <c r="B212" s="83"/>
      <c r="C212" s="83"/>
      <c r="D212" s="84"/>
      <c r="E212" s="84"/>
      <c r="F212" s="84"/>
      <c r="G212" s="84"/>
      <c r="H212" s="84"/>
      <c r="I212" s="84"/>
      <c r="J212" s="84"/>
      <c r="K212" s="84"/>
      <c r="L212" s="84"/>
      <c r="M212" s="84"/>
      <c r="N212" s="84"/>
      <c r="O212" s="84"/>
      <c r="P212" s="83"/>
    </row>
    <row r="213" spans="1:16">
      <c r="A213" s="82"/>
      <c r="B213" s="83"/>
      <c r="C213" s="83"/>
      <c r="D213" s="84"/>
      <c r="E213" s="84"/>
      <c r="F213" s="84"/>
      <c r="G213" s="84"/>
      <c r="H213" s="84"/>
      <c r="I213" s="84"/>
      <c r="J213" s="84"/>
      <c r="K213" s="84"/>
      <c r="L213" s="84"/>
      <c r="M213" s="84"/>
      <c r="N213" s="84"/>
      <c r="O213" s="84"/>
      <c r="P213" s="83"/>
    </row>
    <row r="214" spans="1:16">
      <c r="A214" s="82"/>
      <c r="B214" s="83"/>
      <c r="C214" s="83"/>
      <c r="D214" s="84"/>
      <c r="E214" s="84"/>
      <c r="F214" s="84"/>
      <c r="G214" s="84"/>
      <c r="H214" s="84"/>
      <c r="I214" s="84"/>
      <c r="J214" s="84"/>
      <c r="K214" s="84"/>
      <c r="L214" s="84"/>
      <c r="M214" s="84"/>
      <c r="N214" s="84"/>
      <c r="O214" s="84"/>
      <c r="P214" s="83"/>
    </row>
    <row r="215" spans="1:16">
      <c r="A215" s="82"/>
      <c r="B215" s="83"/>
      <c r="C215" s="83"/>
      <c r="D215" s="84"/>
      <c r="E215" s="84"/>
      <c r="F215" s="84"/>
      <c r="G215" s="84"/>
      <c r="H215" s="84"/>
      <c r="I215" s="84"/>
      <c r="J215" s="84"/>
      <c r="K215" s="84"/>
      <c r="L215" s="84"/>
      <c r="M215" s="84"/>
      <c r="N215" s="84"/>
      <c r="O215" s="84"/>
      <c r="P215" s="83"/>
    </row>
    <row r="216" spans="1:16">
      <c r="A216" s="82"/>
      <c r="B216" s="83"/>
      <c r="C216" s="83"/>
      <c r="D216" s="84"/>
      <c r="E216" s="84"/>
      <c r="F216" s="84"/>
      <c r="G216" s="84"/>
      <c r="H216" s="84"/>
      <c r="I216" s="84"/>
      <c r="J216" s="84"/>
      <c r="K216" s="84"/>
      <c r="L216" s="84"/>
      <c r="M216" s="84"/>
      <c r="N216" s="84"/>
      <c r="O216" s="84"/>
      <c r="P216" s="83"/>
    </row>
    <row r="217" spans="1:16">
      <c r="A217" s="82"/>
      <c r="B217" s="83"/>
      <c r="C217" s="83"/>
      <c r="D217" s="84"/>
      <c r="E217" s="84"/>
      <c r="F217" s="84"/>
      <c r="G217" s="84"/>
      <c r="H217" s="84"/>
      <c r="I217" s="84"/>
      <c r="J217" s="84"/>
      <c r="K217" s="84"/>
      <c r="L217" s="84"/>
      <c r="M217" s="84"/>
      <c r="N217" s="84"/>
      <c r="O217" s="84"/>
      <c r="P217" s="83"/>
    </row>
    <row r="218" spans="1:16">
      <c r="A218" s="82"/>
      <c r="B218" s="83"/>
      <c r="C218" s="83"/>
      <c r="D218" s="84"/>
      <c r="E218" s="84"/>
      <c r="F218" s="84"/>
      <c r="G218" s="84"/>
      <c r="H218" s="84"/>
      <c r="I218" s="84"/>
      <c r="J218" s="84"/>
      <c r="K218" s="84"/>
      <c r="L218" s="84"/>
      <c r="M218" s="84"/>
      <c r="N218" s="84"/>
      <c r="O218" s="84"/>
      <c r="P218" s="83"/>
    </row>
    <row r="219" spans="1:16">
      <c r="A219" s="82"/>
      <c r="B219" s="83"/>
      <c r="C219" s="83"/>
      <c r="D219" s="84"/>
      <c r="E219" s="84"/>
      <c r="F219" s="84"/>
      <c r="G219" s="84"/>
      <c r="H219" s="84"/>
      <c r="I219" s="84"/>
      <c r="J219" s="84"/>
      <c r="K219" s="84"/>
      <c r="L219" s="84"/>
      <c r="M219" s="84"/>
      <c r="N219" s="84"/>
      <c r="O219" s="84"/>
      <c r="P219" s="83"/>
    </row>
    <row r="220" spans="1:16">
      <c r="A220" s="82"/>
      <c r="B220" s="83"/>
      <c r="C220" s="83"/>
      <c r="D220" s="84"/>
      <c r="E220" s="84"/>
      <c r="F220" s="84"/>
      <c r="G220" s="84"/>
      <c r="H220" s="84"/>
      <c r="I220" s="84"/>
      <c r="J220" s="84"/>
      <c r="K220" s="84"/>
      <c r="L220" s="84"/>
      <c r="M220" s="84"/>
      <c r="N220" s="84"/>
      <c r="O220" s="84"/>
      <c r="P220" s="83"/>
    </row>
    <row r="221" spans="1:16">
      <c r="A221" s="82"/>
      <c r="B221" s="83"/>
      <c r="C221" s="83"/>
      <c r="D221" s="84"/>
      <c r="E221" s="84"/>
      <c r="F221" s="84"/>
      <c r="G221" s="84"/>
      <c r="H221" s="84"/>
      <c r="I221" s="84"/>
      <c r="J221" s="84"/>
      <c r="K221" s="84"/>
      <c r="L221" s="84"/>
      <c r="M221" s="84"/>
      <c r="N221" s="84"/>
      <c r="O221" s="84"/>
      <c r="P221" s="83"/>
    </row>
    <row r="222" spans="1:16">
      <c r="A222" s="82"/>
      <c r="B222" s="83"/>
      <c r="C222" s="83"/>
      <c r="D222" s="84"/>
      <c r="E222" s="84"/>
      <c r="F222" s="84"/>
      <c r="G222" s="84"/>
      <c r="H222" s="84"/>
      <c r="I222" s="84"/>
      <c r="J222" s="84"/>
      <c r="K222" s="84"/>
      <c r="L222" s="84"/>
      <c r="M222" s="84"/>
      <c r="N222" s="84"/>
      <c r="O222" s="84"/>
      <c r="P222" s="83"/>
    </row>
    <row r="223" spans="1:16">
      <c r="A223" s="82"/>
      <c r="B223" s="83"/>
      <c r="C223" s="83"/>
      <c r="D223" s="84"/>
      <c r="E223" s="84"/>
      <c r="F223" s="84"/>
      <c r="G223" s="84"/>
      <c r="H223" s="84"/>
      <c r="I223" s="84"/>
      <c r="J223" s="84"/>
      <c r="K223" s="84"/>
      <c r="L223" s="84"/>
      <c r="M223" s="84"/>
      <c r="N223" s="84"/>
      <c r="O223" s="84"/>
      <c r="P223" s="83"/>
    </row>
    <row r="224" spans="1:16">
      <c r="A224" s="82"/>
      <c r="B224" s="83"/>
      <c r="C224" s="83"/>
      <c r="D224" s="84"/>
      <c r="E224" s="84"/>
      <c r="F224" s="84"/>
      <c r="G224" s="84"/>
      <c r="H224" s="84"/>
      <c r="I224" s="84"/>
      <c r="J224" s="84"/>
      <c r="K224" s="84"/>
      <c r="L224" s="84"/>
      <c r="M224" s="84"/>
      <c r="N224" s="84"/>
      <c r="O224" s="84"/>
      <c r="P224" s="83"/>
    </row>
    <row r="225" spans="1:16">
      <c r="A225" s="82"/>
      <c r="B225" s="83"/>
      <c r="C225" s="83"/>
      <c r="D225" s="84"/>
      <c r="E225" s="84"/>
      <c r="F225" s="84"/>
      <c r="G225" s="84"/>
      <c r="H225" s="84"/>
      <c r="I225" s="84"/>
      <c r="J225" s="84"/>
      <c r="K225" s="84"/>
      <c r="L225" s="84"/>
      <c r="M225" s="84"/>
      <c r="N225" s="84"/>
      <c r="O225" s="84"/>
      <c r="P225" s="83"/>
    </row>
    <row r="226" spans="1:16">
      <c r="A226" s="82"/>
      <c r="B226" s="83"/>
      <c r="C226" s="83"/>
      <c r="D226" s="84"/>
      <c r="E226" s="84"/>
      <c r="F226" s="84"/>
      <c r="G226" s="84"/>
      <c r="H226" s="84"/>
      <c r="I226" s="84"/>
      <c r="J226" s="84"/>
      <c r="K226" s="84"/>
      <c r="L226" s="84"/>
      <c r="M226" s="84"/>
      <c r="N226" s="84"/>
      <c r="O226" s="84"/>
      <c r="P226" s="83"/>
    </row>
    <row r="227" spans="1:16">
      <c r="A227" s="82"/>
      <c r="B227" s="83"/>
      <c r="C227" s="83"/>
      <c r="D227" s="84"/>
      <c r="E227" s="84"/>
      <c r="F227" s="84"/>
      <c r="G227" s="84"/>
      <c r="H227" s="84"/>
      <c r="I227" s="84"/>
      <c r="J227" s="84"/>
      <c r="K227" s="84"/>
      <c r="L227" s="84"/>
      <c r="M227" s="84"/>
      <c r="N227" s="84"/>
      <c r="O227" s="84"/>
      <c r="P227" s="83"/>
    </row>
    <row r="228" spans="1:16">
      <c r="A228" s="82"/>
      <c r="B228" s="83"/>
      <c r="C228" s="83"/>
      <c r="D228" s="84"/>
      <c r="E228" s="84"/>
      <c r="F228" s="84"/>
      <c r="G228" s="84"/>
      <c r="H228" s="84"/>
      <c r="I228" s="84"/>
      <c r="J228" s="84"/>
      <c r="K228" s="84"/>
      <c r="L228" s="84"/>
      <c r="M228" s="84"/>
      <c r="N228" s="84"/>
      <c r="O228" s="84"/>
      <c r="P228" s="83"/>
    </row>
    <row r="229" spans="1:16">
      <c r="A229" s="82"/>
      <c r="B229" s="83"/>
      <c r="C229" s="83"/>
      <c r="D229" s="84"/>
      <c r="E229" s="84"/>
      <c r="F229" s="84"/>
      <c r="G229" s="84"/>
      <c r="H229" s="84"/>
      <c r="I229" s="84"/>
      <c r="J229" s="84"/>
      <c r="K229" s="84"/>
      <c r="L229" s="84"/>
      <c r="M229" s="84"/>
      <c r="N229" s="84"/>
      <c r="O229" s="84"/>
      <c r="P229" s="83"/>
    </row>
    <row r="230" spans="1:16">
      <c r="A230" s="82"/>
      <c r="B230" s="83"/>
      <c r="C230" s="83"/>
      <c r="D230" s="84"/>
      <c r="E230" s="84"/>
      <c r="F230" s="84"/>
      <c r="G230" s="84"/>
      <c r="H230" s="84"/>
      <c r="I230" s="84"/>
      <c r="J230" s="84"/>
      <c r="K230" s="84"/>
      <c r="L230" s="84"/>
      <c r="M230" s="84"/>
      <c r="N230" s="84"/>
      <c r="O230" s="84"/>
      <c r="P230" s="83"/>
    </row>
    <row r="231" spans="1:16">
      <c r="A231" s="82"/>
      <c r="B231" s="83"/>
      <c r="C231" s="83"/>
      <c r="D231" s="84"/>
      <c r="E231" s="84"/>
      <c r="F231" s="84"/>
      <c r="G231" s="84"/>
      <c r="H231" s="84"/>
      <c r="I231" s="84"/>
      <c r="J231" s="84"/>
      <c r="K231" s="84"/>
      <c r="L231" s="84"/>
      <c r="M231" s="84"/>
      <c r="N231" s="84"/>
      <c r="O231" s="84"/>
      <c r="P231" s="83"/>
    </row>
    <row r="232" spans="1:16">
      <c r="A232" s="82"/>
      <c r="B232" s="83"/>
      <c r="C232" s="83"/>
      <c r="D232" s="84"/>
      <c r="E232" s="84"/>
      <c r="F232" s="84"/>
      <c r="G232" s="84"/>
      <c r="H232" s="84"/>
      <c r="I232" s="84"/>
      <c r="J232" s="84"/>
      <c r="K232" s="84"/>
      <c r="L232" s="84"/>
      <c r="M232" s="84"/>
      <c r="N232" s="84"/>
      <c r="O232" s="84"/>
      <c r="P232" s="83"/>
    </row>
    <row r="233" spans="1:16">
      <c r="A233" s="82"/>
      <c r="B233" s="83"/>
      <c r="C233" s="83"/>
      <c r="D233" s="84"/>
      <c r="E233" s="84"/>
      <c r="F233" s="84"/>
      <c r="G233" s="84"/>
      <c r="H233" s="84"/>
      <c r="I233" s="84"/>
      <c r="J233" s="84"/>
      <c r="K233" s="84"/>
      <c r="L233" s="84"/>
      <c r="M233" s="84"/>
      <c r="N233" s="84"/>
      <c r="O233" s="84"/>
      <c r="P233" s="83"/>
    </row>
    <row r="234" spans="1:16">
      <c r="A234" s="82"/>
      <c r="B234" s="83"/>
      <c r="C234" s="83"/>
      <c r="D234" s="84"/>
      <c r="E234" s="84"/>
      <c r="F234" s="84"/>
      <c r="G234" s="84"/>
      <c r="H234" s="84"/>
      <c r="I234" s="84"/>
      <c r="J234" s="84"/>
      <c r="K234" s="84"/>
      <c r="L234" s="84"/>
      <c r="M234" s="84"/>
      <c r="N234" s="84"/>
      <c r="O234" s="84"/>
      <c r="P234" s="83"/>
    </row>
    <row r="235" spans="1:16">
      <c r="A235" s="82"/>
      <c r="B235" s="83"/>
      <c r="C235" s="83"/>
      <c r="D235" s="84"/>
      <c r="E235" s="84"/>
      <c r="F235" s="84"/>
      <c r="G235" s="84"/>
      <c r="H235" s="84"/>
      <c r="I235" s="84"/>
      <c r="J235" s="84"/>
      <c r="K235" s="84"/>
      <c r="L235" s="84"/>
      <c r="M235" s="84"/>
      <c r="N235" s="84"/>
      <c r="O235" s="84"/>
      <c r="P235" s="83"/>
    </row>
    <row r="236" spans="1:16">
      <c r="A236" s="82"/>
      <c r="B236" s="83"/>
      <c r="C236" s="83"/>
      <c r="D236" s="84"/>
      <c r="E236" s="84"/>
      <c r="F236" s="84"/>
      <c r="G236" s="84"/>
      <c r="H236" s="84"/>
      <c r="I236" s="84"/>
      <c r="J236" s="84"/>
      <c r="K236" s="84"/>
      <c r="L236" s="84"/>
      <c r="M236" s="84"/>
      <c r="N236" s="84"/>
      <c r="O236" s="84"/>
      <c r="P236" s="83"/>
    </row>
    <row r="237" spans="1:16">
      <c r="A237" s="82"/>
      <c r="B237" s="83"/>
      <c r="C237" s="83"/>
      <c r="D237" s="84"/>
      <c r="E237" s="84"/>
      <c r="F237" s="84"/>
      <c r="G237" s="84"/>
      <c r="H237" s="84"/>
      <c r="I237" s="84"/>
      <c r="J237" s="84"/>
      <c r="K237" s="84"/>
      <c r="L237" s="84"/>
      <c r="M237" s="84"/>
      <c r="N237" s="84"/>
      <c r="O237" s="84"/>
      <c r="P237" s="83"/>
    </row>
    <row r="238" spans="1:16">
      <c r="A238" s="82"/>
      <c r="B238" s="83"/>
      <c r="C238" s="83"/>
      <c r="D238" s="84"/>
      <c r="E238" s="84"/>
      <c r="F238" s="84"/>
      <c r="G238" s="84"/>
      <c r="H238" s="84"/>
      <c r="I238" s="84"/>
      <c r="J238" s="84"/>
      <c r="K238" s="84"/>
      <c r="L238" s="84"/>
      <c r="M238" s="84"/>
      <c r="N238" s="84"/>
      <c r="O238" s="84"/>
      <c r="P238" s="83"/>
    </row>
    <row r="239" spans="1:16">
      <c r="A239" s="82"/>
      <c r="B239" s="83"/>
      <c r="C239" s="83"/>
      <c r="D239" s="84"/>
      <c r="E239" s="84"/>
      <c r="F239" s="84"/>
      <c r="G239" s="84"/>
      <c r="H239" s="84"/>
      <c r="I239" s="84"/>
      <c r="J239" s="84"/>
      <c r="K239" s="84"/>
      <c r="L239" s="84"/>
      <c r="M239" s="84"/>
      <c r="N239" s="84"/>
      <c r="O239" s="84"/>
      <c r="P239" s="83"/>
    </row>
    <row r="240" spans="1:16">
      <c r="A240" s="82"/>
      <c r="B240" s="83"/>
      <c r="C240" s="83"/>
      <c r="D240" s="84"/>
      <c r="E240" s="84"/>
      <c r="F240" s="84"/>
      <c r="G240" s="84"/>
      <c r="H240" s="84"/>
      <c r="I240" s="84"/>
      <c r="J240" s="84"/>
      <c r="K240" s="84"/>
      <c r="L240" s="84"/>
      <c r="M240" s="84"/>
      <c r="N240" s="84"/>
      <c r="O240" s="84"/>
      <c r="P240" s="83"/>
    </row>
    <row r="241" spans="1:16">
      <c r="A241" s="82"/>
      <c r="B241" s="83"/>
      <c r="C241" s="83"/>
      <c r="D241" s="84"/>
      <c r="E241" s="84"/>
      <c r="F241" s="84"/>
      <c r="G241" s="84"/>
      <c r="H241" s="84"/>
      <c r="I241" s="84"/>
      <c r="J241" s="84"/>
      <c r="K241" s="84"/>
      <c r="L241" s="84"/>
      <c r="M241" s="84"/>
      <c r="N241" s="84"/>
      <c r="O241" s="84"/>
      <c r="P241" s="83"/>
    </row>
    <row r="242" spans="1:16">
      <c r="A242" s="82"/>
      <c r="B242" s="83"/>
      <c r="C242" s="83"/>
      <c r="D242" s="84"/>
      <c r="E242" s="84"/>
      <c r="F242" s="84"/>
      <c r="G242" s="84"/>
      <c r="H242" s="84"/>
      <c r="I242" s="84"/>
      <c r="J242" s="84"/>
      <c r="K242" s="84"/>
      <c r="L242" s="84"/>
      <c r="M242" s="84"/>
      <c r="N242" s="84"/>
      <c r="O242" s="84"/>
      <c r="P242" s="83"/>
    </row>
    <row r="243" spans="1:16">
      <c r="A243" s="82"/>
      <c r="B243" s="83"/>
      <c r="C243" s="83"/>
      <c r="D243" s="84"/>
      <c r="E243" s="84"/>
      <c r="F243" s="84"/>
      <c r="G243" s="84"/>
      <c r="H243" s="84"/>
      <c r="I243" s="84"/>
      <c r="J243" s="84"/>
      <c r="K243" s="84"/>
      <c r="L243" s="84"/>
      <c r="M243" s="84"/>
      <c r="N243" s="84"/>
      <c r="O243" s="84"/>
      <c r="P243" s="83"/>
    </row>
    <row r="244" spans="1:16">
      <c r="A244" s="82"/>
      <c r="B244" s="83"/>
      <c r="C244" s="83"/>
      <c r="D244" s="84"/>
      <c r="E244" s="84"/>
      <c r="F244" s="84"/>
      <c r="G244" s="84"/>
      <c r="H244" s="84"/>
      <c r="I244" s="84"/>
      <c r="J244" s="84"/>
      <c r="K244" s="84"/>
      <c r="L244" s="84"/>
      <c r="M244" s="84"/>
      <c r="N244" s="84"/>
      <c r="O244" s="84"/>
      <c r="P244" s="83"/>
    </row>
    <row r="245" spans="1:16">
      <c r="A245" s="82"/>
      <c r="B245" s="83"/>
      <c r="C245" s="83"/>
      <c r="D245" s="84"/>
      <c r="E245" s="84"/>
      <c r="F245" s="84"/>
      <c r="G245" s="84"/>
      <c r="H245" s="84"/>
      <c r="I245" s="84"/>
      <c r="J245" s="84"/>
      <c r="K245" s="84"/>
      <c r="L245" s="84"/>
      <c r="M245" s="84"/>
      <c r="N245" s="84"/>
      <c r="O245" s="84"/>
      <c r="P245" s="83"/>
    </row>
    <row r="246" spans="1:16">
      <c r="A246" s="82"/>
      <c r="B246" s="83"/>
      <c r="C246" s="83"/>
      <c r="D246" s="84"/>
      <c r="E246" s="84"/>
      <c r="F246" s="84"/>
      <c r="G246" s="84"/>
      <c r="H246" s="84"/>
      <c r="I246" s="84"/>
      <c r="J246" s="84"/>
      <c r="K246" s="84"/>
      <c r="L246" s="84"/>
      <c r="M246" s="84"/>
      <c r="N246" s="84"/>
      <c r="O246" s="84"/>
      <c r="P246" s="83"/>
    </row>
    <row r="247" spans="1:16">
      <c r="A247" s="82"/>
      <c r="B247" s="83"/>
      <c r="C247" s="83"/>
      <c r="D247" s="84"/>
      <c r="E247" s="84"/>
      <c r="F247" s="84"/>
      <c r="G247" s="84"/>
      <c r="H247" s="84"/>
      <c r="I247" s="84"/>
      <c r="J247" s="84"/>
      <c r="K247" s="84"/>
      <c r="L247" s="84"/>
      <c r="M247" s="84"/>
      <c r="N247" s="84"/>
      <c r="O247" s="84"/>
      <c r="P247" s="83"/>
    </row>
    <row r="248" spans="1:16">
      <c r="A248" s="82"/>
      <c r="B248" s="83"/>
      <c r="C248" s="83"/>
      <c r="D248" s="84"/>
      <c r="E248" s="84"/>
      <c r="F248" s="84"/>
      <c r="G248" s="84"/>
      <c r="H248" s="84"/>
      <c r="I248" s="84"/>
      <c r="J248" s="84"/>
      <c r="K248" s="84"/>
      <c r="L248" s="84"/>
      <c r="M248" s="84"/>
      <c r="N248" s="84"/>
      <c r="O248" s="84"/>
      <c r="P248" s="83"/>
    </row>
    <row r="249" spans="1:16">
      <c r="A249" s="82"/>
      <c r="B249" s="83"/>
      <c r="C249" s="83"/>
      <c r="D249" s="84"/>
      <c r="E249" s="84"/>
      <c r="F249" s="84"/>
      <c r="G249" s="84"/>
      <c r="H249" s="84"/>
      <c r="I249" s="84"/>
      <c r="J249" s="84"/>
      <c r="K249" s="84"/>
      <c r="L249" s="84"/>
      <c r="M249" s="84"/>
      <c r="N249" s="84"/>
      <c r="O249" s="84"/>
      <c r="P249" s="83"/>
    </row>
    <row r="250" spans="1:16">
      <c r="A250" s="82"/>
      <c r="B250" s="83"/>
      <c r="C250" s="83"/>
      <c r="D250" s="84"/>
      <c r="E250" s="84"/>
      <c r="F250" s="84"/>
      <c r="G250" s="84"/>
      <c r="H250" s="84"/>
      <c r="I250" s="84"/>
      <c r="J250" s="84"/>
      <c r="K250" s="84"/>
      <c r="L250" s="84"/>
      <c r="M250" s="84"/>
      <c r="N250" s="84"/>
      <c r="O250" s="84"/>
      <c r="P250" s="83"/>
    </row>
    <row r="251" spans="1:16">
      <c r="A251" s="82"/>
      <c r="B251" s="83"/>
      <c r="C251" s="83"/>
      <c r="D251" s="84"/>
      <c r="E251" s="84"/>
      <c r="F251" s="84"/>
      <c r="G251" s="84"/>
      <c r="H251" s="84"/>
      <c r="I251" s="84"/>
      <c r="J251" s="84"/>
      <c r="K251" s="84"/>
      <c r="L251" s="84"/>
      <c r="M251" s="84"/>
      <c r="N251" s="84"/>
      <c r="O251" s="84"/>
      <c r="P251" s="83"/>
    </row>
    <row r="252" spans="1:16">
      <c r="A252" s="82"/>
      <c r="B252" s="83"/>
      <c r="C252" s="83"/>
      <c r="D252" s="84"/>
      <c r="E252" s="84"/>
      <c r="F252" s="84"/>
      <c r="G252" s="84"/>
      <c r="H252" s="84"/>
      <c r="I252" s="84"/>
      <c r="J252" s="84"/>
      <c r="K252" s="84"/>
      <c r="L252" s="84"/>
      <c r="M252" s="84"/>
      <c r="N252" s="84"/>
      <c r="O252" s="84"/>
      <c r="P252" s="83"/>
    </row>
    <row r="253" spans="1:16">
      <c r="A253" s="82"/>
      <c r="B253" s="83"/>
      <c r="C253" s="83"/>
      <c r="D253" s="84"/>
      <c r="E253" s="84"/>
      <c r="F253" s="84"/>
      <c r="G253" s="84"/>
      <c r="H253" s="84"/>
      <c r="I253" s="84"/>
      <c r="J253" s="84"/>
      <c r="K253" s="84"/>
      <c r="L253" s="84"/>
      <c r="M253" s="84"/>
      <c r="N253" s="84"/>
      <c r="O253" s="84"/>
      <c r="P253" s="83"/>
    </row>
    <row r="254" spans="1:16">
      <c r="A254" s="82"/>
      <c r="B254" s="83"/>
      <c r="C254" s="83"/>
      <c r="D254" s="84"/>
      <c r="E254" s="84"/>
      <c r="F254" s="84"/>
      <c r="G254" s="84"/>
      <c r="H254" s="84"/>
      <c r="I254" s="84"/>
      <c r="J254" s="84"/>
      <c r="K254" s="84"/>
      <c r="L254" s="84"/>
      <c r="M254" s="84"/>
      <c r="N254" s="84"/>
      <c r="O254" s="84"/>
      <c r="P254" s="83"/>
    </row>
    <row r="255" spans="1:16">
      <c r="A255" s="82"/>
      <c r="B255" s="83"/>
      <c r="C255" s="83"/>
      <c r="D255" s="84"/>
      <c r="E255" s="84"/>
      <c r="F255" s="84"/>
      <c r="G255" s="84"/>
      <c r="H255" s="84"/>
      <c r="I255" s="84"/>
      <c r="J255" s="84"/>
      <c r="K255" s="84"/>
      <c r="L255" s="84"/>
      <c r="M255" s="84"/>
      <c r="N255" s="84"/>
      <c r="O255" s="84"/>
      <c r="P255" s="83"/>
    </row>
    <row r="256" spans="1:16">
      <c r="A256" s="82"/>
      <c r="B256" s="83"/>
      <c r="C256" s="83"/>
      <c r="D256" s="84"/>
      <c r="E256" s="84"/>
      <c r="F256" s="84"/>
      <c r="G256" s="84"/>
      <c r="H256" s="84"/>
      <c r="I256" s="84"/>
      <c r="J256" s="84"/>
      <c r="K256" s="84"/>
      <c r="L256" s="84"/>
      <c r="M256" s="84"/>
      <c r="N256" s="84"/>
      <c r="O256" s="84"/>
      <c r="P256" s="83"/>
    </row>
    <row r="257" spans="1:16">
      <c r="A257" s="82"/>
      <c r="B257" s="83"/>
      <c r="C257" s="83"/>
      <c r="D257" s="84"/>
      <c r="E257" s="84"/>
      <c r="F257" s="84"/>
      <c r="G257" s="84"/>
      <c r="H257" s="84"/>
      <c r="I257" s="84"/>
      <c r="J257" s="84"/>
      <c r="K257" s="84"/>
      <c r="L257" s="84"/>
      <c r="M257" s="84"/>
      <c r="N257" s="84"/>
      <c r="O257" s="84"/>
      <c r="P257" s="83"/>
    </row>
    <row r="258" spans="1:16">
      <c r="A258" s="82"/>
      <c r="B258" s="83"/>
      <c r="C258" s="83"/>
      <c r="D258" s="84"/>
      <c r="E258" s="84"/>
      <c r="F258" s="84"/>
      <c r="G258" s="84"/>
      <c r="H258" s="84"/>
      <c r="I258" s="84"/>
      <c r="J258" s="84"/>
      <c r="K258" s="84"/>
      <c r="L258" s="84"/>
      <c r="M258" s="84"/>
      <c r="N258" s="84"/>
      <c r="O258" s="84"/>
      <c r="P258" s="83"/>
    </row>
    <row r="259" spans="1:16">
      <c r="A259" s="82"/>
      <c r="B259" s="83"/>
      <c r="C259" s="83"/>
      <c r="D259" s="84"/>
      <c r="E259" s="84"/>
      <c r="F259" s="84"/>
      <c r="G259" s="84"/>
      <c r="H259" s="84"/>
      <c r="I259" s="84"/>
      <c r="J259" s="84"/>
      <c r="K259" s="84"/>
      <c r="L259" s="84"/>
      <c r="M259" s="84"/>
      <c r="N259" s="84"/>
      <c r="O259" s="84"/>
      <c r="P259" s="83"/>
    </row>
    <row r="260" spans="1:16">
      <c r="A260" s="82"/>
      <c r="B260" s="83"/>
      <c r="C260" s="83"/>
      <c r="D260" s="84"/>
      <c r="E260" s="84"/>
      <c r="F260" s="84"/>
      <c r="G260" s="84"/>
      <c r="H260" s="84"/>
      <c r="I260" s="84"/>
      <c r="J260" s="84"/>
      <c r="K260" s="84"/>
      <c r="L260" s="84"/>
      <c r="M260" s="84"/>
      <c r="N260" s="84"/>
      <c r="O260" s="84"/>
      <c r="P260" s="83"/>
    </row>
    <row r="261" spans="1:16">
      <c r="A261" s="82"/>
      <c r="B261" s="83"/>
      <c r="C261" s="83"/>
      <c r="D261" s="84"/>
      <c r="E261" s="84"/>
      <c r="F261" s="84"/>
      <c r="G261" s="84"/>
      <c r="H261" s="84"/>
      <c r="I261" s="84"/>
      <c r="J261" s="84"/>
      <c r="K261" s="84"/>
      <c r="L261" s="84"/>
      <c r="M261" s="84"/>
      <c r="N261" s="84"/>
      <c r="O261" s="84"/>
      <c r="P261" s="83"/>
    </row>
    <row r="262" spans="1:16">
      <c r="A262" s="82"/>
      <c r="B262" s="83"/>
      <c r="C262" s="83"/>
      <c r="D262" s="84"/>
      <c r="E262" s="84"/>
      <c r="F262" s="84"/>
      <c r="G262" s="84"/>
      <c r="H262" s="84"/>
      <c r="I262" s="84"/>
      <c r="J262" s="84"/>
      <c r="K262" s="84"/>
      <c r="L262" s="84"/>
      <c r="M262" s="84"/>
      <c r="N262" s="84"/>
      <c r="O262" s="84"/>
      <c r="P262" s="83"/>
    </row>
    <row r="263" spans="1:16">
      <c r="A263" s="82"/>
      <c r="B263" s="83"/>
      <c r="C263" s="83"/>
      <c r="D263" s="84"/>
      <c r="E263" s="84"/>
      <c r="F263" s="84"/>
      <c r="G263" s="84"/>
      <c r="H263" s="84"/>
      <c r="I263" s="84"/>
      <c r="J263" s="84"/>
      <c r="K263" s="84"/>
      <c r="L263" s="84"/>
      <c r="M263" s="84"/>
      <c r="N263" s="84"/>
      <c r="O263" s="84"/>
      <c r="P263" s="83"/>
    </row>
    <row r="264" spans="1:16">
      <c r="A264" s="82"/>
      <c r="B264" s="83"/>
      <c r="C264" s="83"/>
      <c r="D264" s="84"/>
      <c r="E264" s="84"/>
      <c r="F264" s="84"/>
      <c r="G264" s="84"/>
      <c r="H264" s="84"/>
      <c r="I264" s="84"/>
      <c r="J264" s="84"/>
      <c r="K264" s="84"/>
      <c r="L264" s="84"/>
      <c r="M264" s="84"/>
      <c r="N264" s="84"/>
      <c r="O264" s="84"/>
      <c r="P264" s="83"/>
    </row>
    <row r="265" spans="1:16">
      <c r="A265" s="82"/>
      <c r="B265" s="83"/>
      <c r="C265" s="83"/>
      <c r="D265" s="84"/>
      <c r="E265" s="84"/>
      <c r="F265" s="84"/>
      <c r="G265" s="84"/>
      <c r="H265" s="84"/>
      <c r="I265" s="84"/>
      <c r="J265" s="84"/>
      <c r="K265" s="84"/>
      <c r="L265" s="84"/>
      <c r="M265" s="84"/>
      <c r="N265" s="84"/>
      <c r="O265" s="84"/>
      <c r="P265" s="83"/>
    </row>
    <row r="266" spans="1:16">
      <c r="A266" s="82"/>
      <c r="B266" s="83"/>
      <c r="C266" s="83"/>
      <c r="D266" s="84"/>
      <c r="E266" s="84"/>
      <c r="F266" s="84"/>
      <c r="G266" s="84"/>
      <c r="H266" s="84"/>
      <c r="I266" s="84"/>
      <c r="J266" s="84"/>
      <c r="K266" s="84"/>
      <c r="L266" s="84"/>
      <c r="M266" s="84"/>
      <c r="N266" s="84"/>
      <c r="O266" s="84"/>
      <c r="P266" s="83"/>
    </row>
    <row r="267" spans="1:16">
      <c r="A267" s="82"/>
      <c r="B267" s="83"/>
      <c r="C267" s="83"/>
      <c r="D267" s="84"/>
      <c r="E267" s="84"/>
      <c r="F267" s="84"/>
      <c r="G267" s="84"/>
      <c r="H267" s="84"/>
      <c r="I267" s="84"/>
      <c r="J267" s="84"/>
      <c r="K267" s="84"/>
      <c r="L267" s="84"/>
      <c r="M267" s="84"/>
      <c r="N267" s="84"/>
      <c r="O267" s="84"/>
      <c r="P267" s="83"/>
    </row>
    <row r="268" spans="1:16">
      <c r="A268" s="82"/>
      <c r="B268" s="83"/>
      <c r="C268" s="83"/>
      <c r="D268" s="84"/>
      <c r="E268" s="84"/>
      <c r="F268" s="84"/>
      <c r="G268" s="84"/>
      <c r="H268" s="84"/>
      <c r="I268" s="84"/>
      <c r="J268" s="84"/>
      <c r="K268" s="84"/>
      <c r="L268" s="84"/>
      <c r="M268" s="84"/>
      <c r="N268" s="84"/>
      <c r="O268" s="84"/>
      <c r="P268" s="83"/>
    </row>
    <row r="269" spans="1:16">
      <c r="A269" s="82"/>
      <c r="B269" s="83"/>
      <c r="C269" s="83"/>
      <c r="D269" s="84"/>
      <c r="E269" s="84"/>
      <c r="F269" s="84"/>
      <c r="G269" s="84"/>
      <c r="H269" s="84"/>
      <c r="I269" s="84"/>
      <c r="J269" s="84"/>
      <c r="K269" s="84"/>
      <c r="L269" s="84"/>
      <c r="M269" s="84"/>
      <c r="N269" s="84"/>
      <c r="O269" s="84"/>
      <c r="P269" s="83"/>
    </row>
    <row r="270" spans="1:16">
      <c r="A270" s="82"/>
      <c r="B270" s="83"/>
      <c r="C270" s="83"/>
      <c r="D270" s="84"/>
      <c r="E270" s="84"/>
      <c r="F270" s="84"/>
      <c r="G270" s="84"/>
      <c r="H270" s="84"/>
      <c r="I270" s="84"/>
      <c r="J270" s="84"/>
      <c r="K270" s="84"/>
      <c r="L270" s="84"/>
      <c r="M270" s="84"/>
      <c r="N270" s="84"/>
      <c r="O270" s="84"/>
      <c r="P270" s="83"/>
    </row>
    <row r="271" spans="1:16">
      <c r="A271" s="82"/>
      <c r="B271" s="83"/>
      <c r="C271" s="83"/>
      <c r="D271" s="84"/>
      <c r="E271" s="84"/>
      <c r="F271" s="84"/>
      <c r="G271" s="84"/>
      <c r="H271" s="84"/>
      <c r="I271" s="84"/>
      <c r="J271" s="84"/>
      <c r="K271" s="84"/>
      <c r="L271" s="84"/>
      <c r="M271" s="84"/>
      <c r="N271" s="84"/>
      <c r="O271" s="84"/>
      <c r="P271" s="83"/>
    </row>
    <row r="272" spans="1:16">
      <c r="A272" s="82"/>
      <c r="B272" s="83"/>
      <c r="C272" s="83"/>
      <c r="D272" s="84"/>
      <c r="E272" s="84"/>
      <c r="F272" s="84"/>
      <c r="G272" s="84"/>
      <c r="H272" s="84"/>
      <c r="I272" s="84"/>
      <c r="J272" s="84"/>
      <c r="K272" s="84"/>
      <c r="L272" s="84"/>
      <c r="M272" s="84"/>
      <c r="N272" s="84"/>
      <c r="O272" s="84"/>
      <c r="P272" s="83"/>
    </row>
    <row r="273" spans="1:16">
      <c r="A273" s="82"/>
      <c r="B273" s="83"/>
      <c r="C273" s="83"/>
      <c r="D273" s="84"/>
      <c r="E273" s="84"/>
      <c r="F273" s="84"/>
      <c r="G273" s="84"/>
      <c r="H273" s="84"/>
      <c r="I273" s="84"/>
      <c r="J273" s="84"/>
      <c r="K273" s="84"/>
      <c r="L273" s="84"/>
      <c r="M273" s="84"/>
      <c r="N273" s="84"/>
      <c r="O273" s="84"/>
      <c r="P273" s="83"/>
    </row>
    <row r="274" spans="1:16">
      <c r="A274" s="82"/>
      <c r="B274" s="83"/>
      <c r="C274" s="83"/>
      <c r="D274" s="84"/>
      <c r="E274" s="84"/>
      <c r="F274" s="84"/>
      <c r="G274" s="84"/>
      <c r="H274" s="84"/>
      <c r="I274" s="84"/>
      <c r="J274" s="84"/>
      <c r="K274" s="84"/>
      <c r="L274" s="84"/>
      <c r="M274" s="84"/>
      <c r="N274" s="84"/>
      <c r="O274" s="84"/>
      <c r="P274" s="83"/>
    </row>
    <row r="275" spans="1:16">
      <c r="A275" s="82"/>
      <c r="B275" s="83"/>
      <c r="C275" s="83"/>
      <c r="D275" s="84"/>
      <c r="E275" s="84"/>
      <c r="F275" s="84"/>
      <c r="G275" s="84"/>
      <c r="H275" s="84"/>
      <c r="I275" s="84"/>
      <c r="J275" s="84"/>
      <c r="K275" s="84"/>
      <c r="L275" s="84"/>
      <c r="M275" s="84"/>
      <c r="N275" s="84"/>
      <c r="O275" s="84"/>
      <c r="P275" s="83"/>
    </row>
    <row r="276" spans="1:16">
      <c r="A276" s="82"/>
      <c r="B276" s="83"/>
      <c r="C276" s="83"/>
      <c r="D276" s="84"/>
      <c r="E276" s="84"/>
      <c r="F276" s="84"/>
      <c r="G276" s="84"/>
      <c r="H276" s="84"/>
      <c r="I276" s="84"/>
      <c r="J276" s="84"/>
      <c r="K276" s="84"/>
      <c r="L276" s="84"/>
      <c r="M276" s="84"/>
      <c r="N276" s="84"/>
      <c r="O276" s="84"/>
      <c r="P276" s="83"/>
    </row>
    <row r="277" spans="1:16">
      <c r="A277" s="82"/>
      <c r="B277" s="83"/>
      <c r="C277" s="83"/>
      <c r="D277" s="84"/>
      <c r="E277" s="84"/>
      <c r="F277" s="84"/>
      <c r="G277" s="84"/>
      <c r="H277" s="84"/>
      <c r="I277" s="84"/>
      <c r="J277" s="84"/>
      <c r="K277" s="84"/>
      <c r="L277" s="84"/>
      <c r="M277" s="84"/>
      <c r="N277" s="84"/>
      <c r="O277" s="84"/>
      <c r="P277" s="83"/>
    </row>
    <row r="278" spans="1:16">
      <c r="A278" s="82"/>
      <c r="B278" s="83"/>
      <c r="C278" s="83"/>
      <c r="D278" s="84"/>
      <c r="E278" s="84"/>
      <c r="F278" s="84"/>
      <c r="G278" s="84"/>
      <c r="H278" s="84"/>
      <c r="I278" s="84"/>
      <c r="J278" s="84"/>
      <c r="K278" s="84"/>
      <c r="L278" s="84"/>
      <c r="M278" s="84"/>
      <c r="N278" s="84"/>
      <c r="O278" s="84"/>
      <c r="P278" s="83"/>
    </row>
    <row r="279" spans="1:16">
      <c r="A279" s="82"/>
      <c r="B279" s="83"/>
      <c r="C279" s="83"/>
      <c r="D279" s="84"/>
      <c r="E279" s="84"/>
      <c r="F279" s="84"/>
      <c r="G279" s="84"/>
      <c r="H279" s="84"/>
      <c r="I279" s="84"/>
      <c r="J279" s="84"/>
      <c r="K279" s="84"/>
      <c r="L279" s="84"/>
      <c r="M279" s="84"/>
      <c r="N279" s="84"/>
      <c r="O279" s="84"/>
      <c r="P279" s="83"/>
    </row>
    <row r="280" spans="1:16">
      <c r="A280" s="82"/>
      <c r="B280" s="83"/>
      <c r="C280" s="83"/>
      <c r="D280" s="84"/>
      <c r="E280" s="84"/>
      <c r="F280" s="84"/>
      <c r="G280" s="84"/>
      <c r="H280" s="84"/>
      <c r="I280" s="84"/>
      <c r="J280" s="84"/>
      <c r="K280" s="84"/>
      <c r="L280" s="84"/>
      <c r="M280" s="84"/>
      <c r="N280" s="84"/>
      <c r="O280" s="84"/>
      <c r="P280" s="83"/>
    </row>
    <row r="281" spans="1:16">
      <c r="A281" s="82"/>
      <c r="B281" s="83"/>
      <c r="C281" s="83"/>
      <c r="D281" s="84"/>
      <c r="E281" s="84"/>
      <c r="F281" s="84"/>
      <c r="G281" s="84"/>
      <c r="H281" s="84"/>
      <c r="I281" s="84"/>
      <c r="J281" s="84"/>
      <c r="K281" s="84"/>
      <c r="L281" s="84"/>
      <c r="M281" s="84"/>
      <c r="N281" s="84"/>
      <c r="O281" s="84"/>
      <c r="P281" s="83"/>
    </row>
    <row r="282" spans="1:16">
      <c r="A282" s="82"/>
      <c r="B282" s="83"/>
      <c r="C282" s="83"/>
      <c r="D282" s="84"/>
      <c r="E282" s="84"/>
      <c r="F282" s="84"/>
      <c r="G282" s="84"/>
      <c r="H282" s="84"/>
      <c r="I282" s="84"/>
      <c r="J282" s="84"/>
      <c r="K282" s="84"/>
      <c r="L282" s="84"/>
      <c r="M282" s="84"/>
      <c r="N282" s="84"/>
      <c r="O282" s="84"/>
      <c r="P282" s="83"/>
    </row>
    <row r="283" spans="1:16">
      <c r="A283" s="82"/>
      <c r="B283" s="83"/>
      <c r="C283" s="83"/>
      <c r="D283" s="84"/>
      <c r="E283" s="84"/>
      <c r="F283" s="84"/>
      <c r="G283" s="84"/>
      <c r="H283" s="84"/>
      <c r="I283" s="84"/>
      <c r="J283" s="84"/>
      <c r="K283" s="84"/>
      <c r="L283" s="84"/>
      <c r="M283" s="84"/>
      <c r="N283" s="84"/>
      <c r="O283" s="84"/>
      <c r="P283" s="83"/>
    </row>
    <row r="284" spans="1:16">
      <c r="A284" s="82"/>
      <c r="B284" s="83"/>
      <c r="C284" s="83"/>
      <c r="D284" s="84"/>
      <c r="E284" s="84"/>
      <c r="F284" s="84"/>
      <c r="G284" s="84"/>
      <c r="H284" s="84"/>
      <c r="I284" s="84"/>
      <c r="J284" s="84"/>
      <c r="K284" s="84"/>
      <c r="L284" s="84"/>
      <c r="M284" s="84"/>
      <c r="N284" s="84"/>
      <c r="O284" s="84"/>
      <c r="P284" s="83"/>
    </row>
    <row r="285" spans="1:16">
      <c r="A285" s="82"/>
      <c r="B285" s="83"/>
      <c r="C285" s="83"/>
      <c r="D285" s="84"/>
      <c r="E285" s="84"/>
      <c r="F285" s="84"/>
      <c r="G285" s="84"/>
      <c r="H285" s="84"/>
      <c r="I285" s="84"/>
      <c r="J285" s="84"/>
      <c r="K285" s="84"/>
      <c r="L285" s="84"/>
      <c r="M285" s="84"/>
      <c r="N285" s="84"/>
      <c r="O285" s="84"/>
      <c r="P285" s="83"/>
    </row>
    <row r="286" spans="1:16">
      <c r="A286" s="82"/>
      <c r="B286" s="83"/>
      <c r="C286" s="83"/>
      <c r="D286" s="84"/>
      <c r="E286" s="84"/>
      <c r="F286" s="84"/>
      <c r="G286" s="84"/>
      <c r="H286" s="84"/>
      <c r="I286" s="84"/>
      <c r="J286" s="84"/>
      <c r="K286" s="84"/>
      <c r="L286" s="84"/>
      <c r="M286" s="84"/>
      <c r="N286" s="84"/>
      <c r="O286" s="84"/>
      <c r="P286" s="83"/>
    </row>
    <row r="287" spans="1:16">
      <c r="A287" s="82"/>
      <c r="B287" s="83"/>
      <c r="C287" s="83"/>
      <c r="D287" s="84"/>
      <c r="E287" s="84"/>
      <c r="F287" s="84"/>
      <c r="G287" s="84"/>
      <c r="H287" s="84"/>
      <c r="I287" s="84"/>
      <c r="J287" s="84"/>
      <c r="K287" s="84"/>
      <c r="L287" s="84"/>
      <c r="M287" s="84"/>
      <c r="N287" s="84"/>
      <c r="O287" s="84"/>
      <c r="P287" s="83"/>
    </row>
    <row r="288" spans="1:16">
      <c r="A288" s="82"/>
      <c r="B288" s="83"/>
      <c r="C288" s="83"/>
      <c r="D288" s="84"/>
      <c r="E288" s="84"/>
      <c r="F288" s="84"/>
      <c r="G288" s="84"/>
      <c r="H288" s="84"/>
      <c r="I288" s="84"/>
      <c r="J288" s="84"/>
      <c r="K288" s="84"/>
      <c r="L288" s="84"/>
      <c r="M288" s="84"/>
      <c r="N288" s="84"/>
      <c r="O288" s="84"/>
      <c r="P288" s="83"/>
    </row>
    <row r="289" spans="1:16">
      <c r="A289" s="82"/>
      <c r="B289" s="83"/>
      <c r="C289" s="83"/>
      <c r="D289" s="84"/>
      <c r="E289" s="84"/>
      <c r="F289" s="84"/>
      <c r="G289" s="84"/>
      <c r="H289" s="84"/>
      <c r="I289" s="84"/>
      <c r="J289" s="84"/>
      <c r="K289" s="84"/>
      <c r="L289" s="84"/>
      <c r="M289" s="84"/>
      <c r="N289" s="84"/>
      <c r="O289" s="84"/>
      <c r="P289" s="83"/>
    </row>
    <row r="290" spans="1:16">
      <c r="A290" s="82"/>
      <c r="B290" s="83"/>
      <c r="C290" s="83"/>
      <c r="D290" s="84"/>
      <c r="E290" s="84"/>
      <c r="F290" s="84"/>
      <c r="G290" s="84"/>
      <c r="H290" s="84"/>
      <c r="I290" s="84"/>
      <c r="J290" s="84"/>
      <c r="K290" s="84"/>
      <c r="L290" s="84"/>
      <c r="M290" s="84"/>
      <c r="N290" s="84"/>
      <c r="O290" s="84"/>
      <c r="P290" s="83"/>
    </row>
    <row r="291" spans="1:16">
      <c r="A291" s="82"/>
      <c r="B291" s="83"/>
      <c r="C291" s="83"/>
      <c r="D291" s="84"/>
      <c r="E291" s="84"/>
      <c r="F291" s="84"/>
      <c r="G291" s="84"/>
      <c r="H291" s="84"/>
      <c r="I291" s="84"/>
      <c r="J291" s="84"/>
      <c r="K291" s="84"/>
      <c r="L291" s="84"/>
      <c r="M291" s="84"/>
      <c r="N291" s="84"/>
      <c r="O291" s="84"/>
      <c r="P291" s="83"/>
    </row>
    <row r="292" spans="1:16">
      <c r="A292" s="82"/>
      <c r="B292" s="83"/>
      <c r="C292" s="83"/>
      <c r="D292" s="84"/>
      <c r="E292" s="84"/>
      <c r="F292" s="84"/>
      <c r="G292" s="84"/>
      <c r="H292" s="84"/>
      <c r="I292" s="84"/>
      <c r="J292" s="84"/>
      <c r="K292" s="84"/>
      <c r="L292" s="84"/>
      <c r="M292" s="84"/>
      <c r="N292" s="84"/>
      <c r="O292" s="84"/>
      <c r="P292" s="83"/>
    </row>
    <row r="293" spans="1:16">
      <c r="A293" s="82"/>
      <c r="B293" s="83"/>
      <c r="C293" s="83"/>
      <c r="D293" s="84"/>
      <c r="E293" s="84"/>
      <c r="F293" s="84"/>
      <c r="G293" s="84"/>
      <c r="H293" s="84"/>
      <c r="I293" s="84"/>
      <c r="J293" s="84"/>
      <c r="K293" s="84"/>
      <c r="L293" s="84"/>
      <c r="M293" s="84"/>
      <c r="N293" s="84"/>
      <c r="O293" s="84"/>
      <c r="P293" s="83"/>
    </row>
    <row r="294" spans="1:16">
      <c r="A294" s="82"/>
      <c r="B294" s="83"/>
      <c r="C294" s="83"/>
      <c r="D294" s="84"/>
      <c r="E294" s="84"/>
      <c r="F294" s="84"/>
      <c r="G294" s="84"/>
      <c r="H294" s="84"/>
      <c r="I294" s="84"/>
      <c r="J294" s="84"/>
      <c r="K294" s="84"/>
      <c r="L294" s="84"/>
      <c r="M294" s="84"/>
      <c r="N294" s="84"/>
      <c r="O294" s="84"/>
      <c r="P294" s="83"/>
    </row>
    <row r="295" spans="1:16">
      <c r="A295" s="82"/>
      <c r="B295" s="83"/>
      <c r="C295" s="83"/>
      <c r="D295" s="84"/>
      <c r="E295" s="84"/>
      <c r="F295" s="84"/>
      <c r="G295" s="84"/>
      <c r="H295" s="84"/>
      <c r="I295" s="84"/>
      <c r="J295" s="84"/>
      <c r="K295" s="84"/>
      <c r="L295" s="84"/>
      <c r="M295" s="84"/>
      <c r="N295" s="84"/>
      <c r="O295" s="84"/>
      <c r="P295" s="83"/>
    </row>
  </sheetData>
  <sheetProtection formatCells="0" formatColumns="0" formatRows="0" insertColumns="0"/>
  <mergeCells count="1">
    <mergeCell ref="C3:C42"/>
  </mergeCells>
  <pageMargins left="0.35000000000000003" right="0.35000000000000003" top="0.98" bottom="0.25" header="0.31" footer="0.31"/>
  <pageSetup paperSize="9" orientation="portrait" horizontalDpi="0" verticalDpi="0"/>
  <headerFooter>
    <oddHeader>&amp;C&amp;"Helvetica,Normal"&amp;14Lønberegning for &amp;A på XX Friskole</oddHeader>
    <oddFooter>&amp;LFriskolernes Kontor&amp;RUdskrevet den &amp;D kl. &amp;T</oddFooter>
  </headerFooter>
  <rowBreaks count="1" manualBreakCount="1">
    <brk id="42" max="16383" man="1"/>
  </rowBreaks>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35">
    <pageSetUpPr fitToPage="1"/>
  </sheetPr>
  <dimension ref="A1:G76"/>
  <sheetViews>
    <sheetView showGridLines="0" topLeftCell="C13" workbookViewId="0">
      <selection activeCell="A69" sqref="A69:F74"/>
    </sheetView>
  </sheetViews>
  <sheetFormatPr baseColWidth="10" defaultColWidth="12.140625" defaultRowHeight="16"/>
  <cols>
    <col min="1" max="6" width="12.140625" style="28"/>
    <col min="7" max="7" width="14.140625" style="28" customWidth="1"/>
    <col min="8" max="16384" width="12.140625" style="28"/>
  </cols>
  <sheetData>
    <row r="1" spans="1:7">
      <c r="A1" s="25" t="s">
        <v>83</v>
      </c>
      <c r="B1" s="26"/>
      <c r="C1" s="26"/>
      <c r="D1" s="26"/>
      <c r="E1" s="26"/>
      <c r="F1" s="26"/>
      <c r="G1" s="27"/>
    </row>
    <row r="2" spans="1:7">
      <c r="A2" s="29"/>
      <c r="B2" s="30"/>
      <c r="C2" s="31"/>
      <c r="D2" s="32" t="s">
        <v>49</v>
      </c>
      <c r="E2" s="31"/>
      <c r="F2" s="33"/>
      <c r="G2" s="34"/>
    </row>
    <row r="3" spans="1:7">
      <c r="A3" s="35" t="s">
        <v>50</v>
      </c>
      <c r="B3" s="36" t="s">
        <v>78</v>
      </c>
      <c r="C3" s="37" t="s">
        <v>79</v>
      </c>
      <c r="D3" s="37" t="s">
        <v>80</v>
      </c>
      <c r="E3" s="37" t="s">
        <v>81</v>
      </c>
      <c r="F3" s="37" t="s">
        <v>161</v>
      </c>
      <c r="G3" s="38" t="s">
        <v>162</v>
      </c>
    </row>
    <row r="4" spans="1:7">
      <c r="A4" s="39">
        <v>1</v>
      </c>
      <c r="B4" s="40">
        <v>141011</v>
      </c>
      <c r="C4" s="41">
        <v>143641</v>
      </c>
      <c r="D4" s="41">
        <v>145461</v>
      </c>
      <c r="E4" s="41">
        <v>148092</v>
      </c>
      <c r="F4" s="41">
        <v>149912</v>
      </c>
      <c r="G4" s="42">
        <v>131168.56</v>
      </c>
    </row>
    <row r="5" spans="1:7">
      <c r="A5" s="39">
        <v>2</v>
      </c>
      <c r="B5" s="40">
        <v>143176</v>
      </c>
      <c r="C5" s="41">
        <v>145871</v>
      </c>
      <c r="D5" s="41">
        <v>147736</v>
      </c>
      <c r="E5" s="41">
        <v>150429</v>
      </c>
      <c r="F5" s="41">
        <v>152295</v>
      </c>
      <c r="G5" s="42">
        <v>133198.04</v>
      </c>
    </row>
    <row r="6" spans="1:7">
      <c r="A6" s="39">
        <v>3</v>
      </c>
      <c r="B6" s="40">
        <v>145401</v>
      </c>
      <c r="C6" s="41">
        <v>148160</v>
      </c>
      <c r="D6" s="41">
        <v>150071</v>
      </c>
      <c r="E6" s="41">
        <v>152830</v>
      </c>
      <c r="F6" s="41">
        <v>154742</v>
      </c>
      <c r="G6" s="42">
        <v>135282.59</v>
      </c>
    </row>
    <row r="7" spans="1:7">
      <c r="A7" s="39">
        <v>4</v>
      </c>
      <c r="B7" s="40">
        <v>147687</v>
      </c>
      <c r="C7" s="41">
        <v>150515</v>
      </c>
      <c r="D7" s="41">
        <v>152473</v>
      </c>
      <c r="E7" s="41">
        <v>155300</v>
      </c>
      <c r="F7" s="41">
        <v>157257</v>
      </c>
      <c r="G7" s="42">
        <v>137424.97</v>
      </c>
    </row>
    <row r="8" spans="1:7">
      <c r="A8" s="39">
        <v>5</v>
      </c>
      <c r="B8" s="40">
        <v>150035</v>
      </c>
      <c r="C8" s="41">
        <v>152932</v>
      </c>
      <c r="D8" s="41">
        <v>154939</v>
      </c>
      <c r="E8" s="41">
        <v>157836</v>
      </c>
      <c r="F8" s="41">
        <v>159841</v>
      </c>
      <c r="G8" s="42">
        <v>139625.18</v>
      </c>
    </row>
    <row r="9" spans="1:7">
      <c r="A9" s="39">
        <v>6</v>
      </c>
      <c r="B9" s="40">
        <v>152450</v>
      </c>
      <c r="C9" s="41">
        <v>155418</v>
      </c>
      <c r="D9" s="41">
        <v>157474</v>
      </c>
      <c r="E9" s="41">
        <v>160442</v>
      </c>
      <c r="F9" s="41">
        <v>162497</v>
      </c>
      <c r="G9" s="42">
        <v>141887.34</v>
      </c>
    </row>
    <row r="10" spans="1:7">
      <c r="A10" s="39">
        <v>7</v>
      </c>
      <c r="B10" s="40">
        <v>154928</v>
      </c>
      <c r="C10" s="41">
        <v>157970</v>
      </c>
      <c r="D10" s="41">
        <v>160076</v>
      </c>
      <c r="E10" s="41">
        <v>163118</v>
      </c>
      <c r="F10" s="41">
        <v>165223</v>
      </c>
      <c r="G10" s="42">
        <v>144210.09</v>
      </c>
    </row>
    <row r="11" spans="1:7">
      <c r="A11" s="39">
        <v>8</v>
      </c>
      <c r="B11" s="40">
        <v>157475</v>
      </c>
      <c r="C11" s="41">
        <v>160592</v>
      </c>
      <c r="D11" s="41">
        <v>162751</v>
      </c>
      <c r="E11" s="41">
        <v>165868</v>
      </c>
      <c r="F11" s="41">
        <v>168027</v>
      </c>
      <c r="G11" s="42">
        <v>146597.54999999999</v>
      </c>
    </row>
    <row r="12" spans="1:7">
      <c r="A12" s="39">
        <v>9</v>
      </c>
      <c r="B12" s="40">
        <v>160094</v>
      </c>
      <c r="C12" s="41">
        <v>163288</v>
      </c>
      <c r="D12" s="41">
        <v>165501</v>
      </c>
      <c r="E12" s="41">
        <v>168695</v>
      </c>
      <c r="F12" s="41">
        <v>170908</v>
      </c>
      <c r="G12" s="42">
        <v>149051.1</v>
      </c>
    </row>
    <row r="13" spans="1:7">
      <c r="A13" s="39">
        <v>10</v>
      </c>
      <c r="B13" s="40">
        <v>162783</v>
      </c>
      <c r="C13" s="41">
        <v>166058</v>
      </c>
      <c r="D13" s="41">
        <v>168325</v>
      </c>
      <c r="E13" s="41">
        <v>171600</v>
      </c>
      <c r="F13" s="41">
        <v>173868</v>
      </c>
      <c r="G13" s="42">
        <v>151572.10999999999</v>
      </c>
    </row>
    <row r="14" spans="1:7">
      <c r="A14" s="39">
        <v>11</v>
      </c>
      <c r="B14" s="40">
        <v>164905</v>
      </c>
      <c r="C14" s="41">
        <v>168261</v>
      </c>
      <c r="D14" s="41">
        <v>170585</v>
      </c>
      <c r="E14" s="41">
        <v>173941</v>
      </c>
      <c r="F14" s="41">
        <v>176265</v>
      </c>
      <c r="G14" s="42">
        <v>154161.97</v>
      </c>
    </row>
    <row r="15" spans="1:7">
      <c r="A15" s="39">
        <v>12</v>
      </c>
      <c r="B15" s="40">
        <v>167744</v>
      </c>
      <c r="C15" s="41">
        <v>171185</v>
      </c>
      <c r="D15" s="41">
        <v>173568</v>
      </c>
      <c r="E15" s="41">
        <v>177008</v>
      </c>
      <c r="F15" s="41">
        <v>179390</v>
      </c>
      <c r="G15" s="42">
        <v>156823.42000000001</v>
      </c>
    </row>
    <row r="16" spans="1:7">
      <c r="A16" s="39">
        <v>13</v>
      </c>
      <c r="B16" s="40">
        <v>170663</v>
      </c>
      <c r="C16" s="41">
        <v>174190</v>
      </c>
      <c r="D16" s="41">
        <v>176632</v>
      </c>
      <c r="E16" s="41">
        <v>180160</v>
      </c>
      <c r="F16" s="41">
        <v>182601</v>
      </c>
      <c r="G16" s="42">
        <v>159557.85</v>
      </c>
    </row>
    <row r="17" spans="1:7">
      <c r="A17" s="39">
        <v>14</v>
      </c>
      <c r="B17" s="40">
        <v>173661</v>
      </c>
      <c r="C17" s="41">
        <v>177278</v>
      </c>
      <c r="D17" s="41">
        <v>179781</v>
      </c>
      <c r="E17" s="41">
        <v>183397</v>
      </c>
      <c r="F17" s="41">
        <v>185900</v>
      </c>
      <c r="G17" s="42">
        <v>162368</v>
      </c>
    </row>
    <row r="18" spans="1:7">
      <c r="A18" s="39">
        <v>15</v>
      </c>
      <c r="B18" s="40">
        <v>176742</v>
      </c>
      <c r="C18" s="41">
        <v>180449</v>
      </c>
      <c r="D18" s="41">
        <v>183015</v>
      </c>
      <c r="E18" s="41">
        <v>186723</v>
      </c>
      <c r="F18" s="41">
        <v>189289</v>
      </c>
      <c r="G18" s="42">
        <v>165253.88</v>
      </c>
    </row>
    <row r="19" spans="1:7">
      <c r="A19" s="39">
        <v>16</v>
      </c>
      <c r="B19" s="40">
        <v>179103</v>
      </c>
      <c r="C19" s="41">
        <v>182904</v>
      </c>
      <c r="D19" s="41">
        <v>185536</v>
      </c>
      <c r="E19" s="41">
        <v>189337</v>
      </c>
      <c r="F19" s="41">
        <v>191969</v>
      </c>
      <c r="G19" s="42">
        <v>168220.99</v>
      </c>
    </row>
    <row r="20" spans="1:7">
      <c r="A20" s="39">
        <v>17</v>
      </c>
      <c r="B20" s="40">
        <v>182355</v>
      </c>
      <c r="C20" s="41">
        <v>186253</v>
      </c>
      <c r="D20" s="41">
        <v>188951</v>
      </c>
      <c r="E20" s="41">
        <v>192849</v>
      </c>
      <c r="F20" s="41">
        <v>195546</v>
      </c>
      <c r="G20" s="42">
        <v>171267.96</v>
      </c>
    </row>
    <row r="21" spans="1:7">
      <c r="A21" s="39">
        <v>18</v>
      </c>
      <c r="B21" s="40">
        <v>185698</v>
      </c>
      <c r="C21" s="41">
        <v>189695</v>
      </c>
      <c r="D21" s="41">
        <v>192462</v>
      </c>
      <c r="E21" s="41">
        <v>196458</v>
      </c>
      <c r="F21" s="41">
        <v>199224</v>
      </c>
      <c r="G21" s="42">
        <v>174400.3</v>
      </c>
    </row>
    <row r="22" spans="1:7">
      <c r="A22" s="39">
        <v>19</v>
      </c>
      <c r="B22" s="40">
        <v>188193</v>
      </c>
      <c r="C22" s="41">
        <v>192292</v>
      </c>
      <c r="D22" s="41">
        <v>195128</v>
      </c>
      <c r="E22" s="41">
        <v>199227</v>
      </c>
      <c r="F22" s="41">
        <v>202065</v>
      </c>
      <c r="G22" s="42">
        <v>177618</v>
      </c>
    </row>
    <row r="23" spans="1:7">
      <c r="A23" s="39">
        <v>20</v>
      </c>
      <c r="B23" s="40">
        <v>190784</v>
      </c>
      <c r="C23" s="41">
        <v>194986</v>
      </c>
      <c r="D23" s="41">
        <v>197896</v>
      </c>
      <c r="E23" s="41">
        <v>202098</v>
      </c>
      <c r="F23" s="41">
        <v>205007</v>
      </c>
      <c r="G23" s="42">
        <v>180923.82</v>
      </c>
    </row>
    <row r="24" spans="1:7">
      <c r="A24" s="39">
        <v>21</v>
      </c>
      <c r="B24" s="40">
        <v>193942</v>
      </c>
      <c r="C24" s="41">
        <v>198252</v>
      </c>
      <c r="D24" s="41">
        <v>201236</v>
      </c>
      <c r="E24" s="41">
        <v>205546</v>
      </c>
      <c r="F24" s="41">
        <v>208530</v>
      </c>
      <c r="G24" s="42">
        <v>184321.88</v>
      </c>
    </row>
    <row r="25" spans="1:7">
      <c r="A25" s="39">
        <v>22</v>
      </c>
      <c r="B25" s="40">
        <v>196868</v>
      </c>
      <c r="C25" s="41">
        <v>201178</v>
      </c>
      <c r="D25" s="41">
        <v>204162</v>
      </c>
      <c r="E25" s="41">
        <v>208472</v>
      </c>
      <c r="F25" s="41">
        <v>211456</v>
      </c>
      <c r="G25" s="42">
        <v>187717.13</v>
      </c>
    </row>
    <row r="26" spans="1:7">
      <c r="A26" s="39">
        <v>23</v>
      </c>
      <c r="B26" s="40">
        <v>200004</v>
      </c>
      <c r="C26" s="41">
        <v>204194</v>
      </c>
      <c r="D26" s="41">
        <v>207097</v>
      </c>
      <c r="E26" s="41">
        <v>211289</v>
      </c>
      <c r="F26" s="41">
        <v>214190</v>
      </c>
      <c r="G26" s="42">
        <v>191104.14</v>
      </c>
    </row>
    <row r="27" spans="1:7">
      <c r="A27" s="39">
        <v>24</v>
      </c>
      <c r="B27" s="40">
        <v>203235</v>
      </c>
      <c r="C27" s="41">
        <v>207308</v>
      </c>
      <c r="D27" s="41">
        <v>210128</v>
      </c>
      <c r="E27" s="41">
        <v>214201</v>
      </c>
      <c r="F27" s="41">
        <v>217021</v>
      </c>
      <c r="G27" s="42">
        <v>194587.44</v>
      </c>
    </row>
    <row r="28" spans="1:7">
      <c r="A28" s="39">
        <v>25</v>
      </c>
      <c r="B28" s="40">
        <v>206538</v>
      </c>
      <c r="C28" s="41">
        <v>210484</v>
      </c>
      <c r="D28" s="41">
        <v>213216</v>
      </c>
      <c r="E28" s="41">
        <v>217162</v>
      </c>
      <c r="F28" s="41">
        <v>219894</v>
      </c>
      <c r="G28" s="42">
        <v>198161</v>
      </c>
    </row>
    <row r="29" spans="1:7">
      <c r="A29" s="39">
        <v>26</v>
      </c>
      <c r="B29" s="40">
        <v>209918</v>
      </c>
      <c r="C29" s="41">
        <v>213727</v>
      </c>
      <c r="D29" s="41">
        <v>216364</v>
      </c>
      <c r="E29" s="41">
        <v>220174</v>
      </c>
      <c r="F29" s="41">
        <v>222811</v>
      </c>
      <c r="G29" s="42">
        <v>201828.54</v>
      </c>
    </row>
    <row r="30" spans="1:7">
      <c r="A30" s="39">
        <v>27</v>
      </c>
      <c r="B30" s="40">
        <v>213370</v>
      </c>
      <c r="C30" s="41">
        <v>217033</v>
      </c>
      <c r="D30" s="41">
        <v>219570</v>
      </c>
      <c r="E30" s="41">
        <v>223233</v>
      </c>
      <c r="F30" s="41">
        <v>225770</v>
      </c>
      <c r="G30" s="42">
        <v>205591</v>
      </c>
    </row>
    <row r="31" spans="1:7">
      <c r="A31" s="39">
        <v>28</v>
      </c>
      <c r="B31" s="40">
        <v>216901</v>
      </c>
      <c r="C31" s="41">
        <v>220409</v>
      </c>
      <c r="D31" s="41">
        <v>222837</v>
      </c>
      <c r="E31" s="41">
        <v>226345</v>
      </c>
      <c r="F31" s="41">
        <v>228774</v>
      </c>
      <c r="G31" s="42">
        <v>209453.43</v>
      </c>
    </row>
    <row r="32" spans="1:7">
      <c r="A32" s="39">
        <v>29</v>
      </c>
      <c r="B32" s="40">
        <v>220510</v>
      </c>
      <c r="C32" s="41">
        <v>223852</v>
      </c>
      <c r="D32" s="41">
        <v>226166</v>
      </c>
      <c r="E32" s="41">
        <v>229508</v>
      </c>
      <c r="F32" s="41">
        <v>231821</v>
      </c>
      <c r="G32" s="42">
        <v>213415.37</v>
      </c>
    </row>
    <row r="33" spans="1:7">
      <c r="A33" s="39">
        <v>30</v>
      </c>
      <c r="B33" s="40">
        <v>224202</v>
      </c>
      <c r="C33" s="41">
        <v>227367</v>
      </c>
      <c r="D33" s="41">
        <v>229558</v>
      </c>
      <c r="E33" s="41">
        <v>232721</v>
      </c>
      <c r="F33" s="41">
        <v>234912</v>
      </c>
      <c r="G33" s="42">
        <v>217481.83</v>
      </c>
    </row>
    <row r="34" spans="1:7">
      <c r="A34" s="39">
        <v>31</v>
      </c>
      <c r="B34" s="40">
        <v>227973</v>
      </c>
      <c r="C34" s="41">
        <v>230949</v>
      </c>
      <c r="D34" s="41">
        <v>233011</v>
      </c>
      <c r="E34" s="41">
        <v>235987</v>
      </c>
      <c r="F34" s="41">
        <v>238048</v>
      </c>
      <c r="G34" s="42">
        <v>221653.7</v>
      </c>
    </row>
    <row r="35" spans="1:7">
      <c r="A35" s="39">
        <v>32</v>
      </c>
      <c r="B35" s="40">
        <v>231831</v>
      </c>
      <c r="C35" s="41">
        <v>234607</v>
      </c>
      <c r="D35" s="41">
        <v>236529</v>
      </c>
      <c r="E35" s="41">
        <v>239306</v>
      </c>
      <c r="F35" s="41">
        <v>241227</v>
      </c>
      <c r="G35" s="42">
        <v>225935.95</v>
      </c>
    </row>
    <row r="36" spans="1:7">
      <c r="A36" s="39">
        <v>33</v>
      </c>
      <c r="B36" s="40">
        <v>235771</v>
      </c>
      <c r="C36" s="41">
        <v>238334</v>
      </c>
      <c r="D36" s="41">
        <v>240110</v>
      </c>
      <c r="E36" s="41">
        <v>242674</v>
      </c>
      <c r="F36" s="41">
        <v>244449</v>
      </c>
      <c r="G36" s="42">
        <v>230328.08</v>
      </c>
    </row>
    <row r="37" spans="1:7">
      <c r="A37" s="39">
        <v>34</v>
      </c>
      <c r="B37" s="40">
        <v>239801</v>
      </c>
      <c r="C37" s="41">
        <v>242140</v>
      </c>
      <c r="D37" s="41">
        <v>243759</v>
      </c>
      <c r="E37" s="41">
        <v>246096</v>
      </c>
      <c r="F37" s="41">
        <v>247715</v>
      </c>
      <c r="G37" s="42">
        <v>234836.36</v>
      </c>
    </row>
    <row r="38" spans="1:7">
      <c r="A38" s="39">
        <v>35</v>
      </c>
      <c r="B38" s="40">
        <v>243921</v>
      </c>
      <c r="C38" s="41">
        <v>246021</v>
      </c>
      <c r="D38" s="41">
        <v>247474</v>
      </c>
      <c r="E38" s="41">
        <v>249574</v>
      </c>
      <c r="F38" s="41">
        <v>251027</v>
      </c>
      <c r="G38" s="42">
        <v>239462.99</v>
      </c>
    </row>
    <row r="39" spans="1:7">
      <c r="A39" s="39">
        <v>36</v>
      </c>
      <c r="B39" s="40">
        <v>248130</v>
      </c>
      <c r="C39" s="41">
        <v>249976</v>
      </c>
      <c r="D39" s="41">
        <v>251255</v>
      </c>
      <c r="E39" s="41">
        <v>253102</v>
      </c>
      <c r="F39" s="41">
        <v>254380</v>
      </c>
      <c r="G39" s="42">
        <v>244208.78</v>
      </c>
    </row>
    <row r="40" spans="1:7">
      <c r="A40" s="39">
        <v>37</v>
      </c>
      <c r="B40" s="40">
        <v>252432</v>
      </c>
      <c r="C40" s="41">
        <v>254012</v>
      </c>
      <c r="D40" s="41">
        <v>255104</v>
      </c>
      <c r="E40" s="41">
        <v>256684</v>
      </c>
      <c r="F40" s="41">
        <v>257778</v>
      </c>
      <c r="G40" s="42">
        <v>249078.59</v>
      </c>
    </row>
    <row r="41" spans="1:7">
      <c r="A41" s="39">
        <v>38</v>
      </c>
      <c r="B41" s="40">
        <v>256976</v>
      </c>
      <c r="C41" s="41">
        <v>258297</v>
      </c>
      <c r="D41" s="41">
        <v>259212</v>
      </c>
      <c r="E41" s="41">
        <v>260534</v>
      </c>
      <c r="F41" s="41">
        <v>261450</v>
      </c>
      <c r="G41" s="42">
        <v>254168.8</v>
      </c>
    </row>
    <row r="42" spans="1:7">
      <c r="A42" s="39">
        <v>39</v>
      </c>
      <c r="B42" s="40">
        <v>261564</v>
      </c>
      <c r="C42" s="41">
        <v>262582</v>
      </c>
      <c r="D42" s="41">
        <v>263287</v>
      </c>
      <c r="E42" s="41">
        <v>264304</v>
      </c>
      <c r="F42" s="41">
        <v>265009</v>
      </c>
      <c r="G42" s="42">
        <v>259403.21</v>
      </c>
    </row>
    <row r="43" spans="1:7">
      <c r="A43" s="39">
        <v>40</v>
      </c>
      <c r="B43" s="40">
        <v>266252</v>
      </c>
      <c r="C43" s="41">
        <v>266948</v>
      </c>
      <c r="D43" s="41">
        <v>267430</v>
      </c>
      <c r="E43" s="41">
        <v>268126</v>
      </c>
      <c r="F43" s="41">
        <v>268608</v>
      </c>
      <c r="G43" s="42">
        <v>264773.06</v>
      </c>
    </row>
    <row r="44" spans="1:7">
      <c r="A44" s="39">
        <v>41</v>
      </c>
      <c r="B44" s="40">
        <v>271043</v>
      </c>
      <c r="C44" s="41">
        <v>271399</v>
      </c>
      <c r="D44" s="41">
        <v>271647</v>
      </c>
      <c r="E44" s="41">
        <v>272004</v>
      </c>
      <c r="F44" s="41">
        <v>272251</v>
      </c>
      <c r="G44" s="42">
        <v>270283.09000000003</v>
      </c>
    </row>
    <row r="45" spans="1:7">
      <c r="A45" s="39">
        <v>42</v>
      </c>
      <c r="B45" s="40">
        <v>275937</v>
      </c>
      <c r="C45" s="41">
        <v>275937</v>
      </c>
      <c r="D45" s="41">
        <v>275937</v>
      </c>
      <c r="E45" s="41">
        <v>275937</v>
      </c>
      <c r="F45" s="41">
        <v>275937</v>
      </c>
      <c r="G45" s="42">
        <v>275936.7</v>
      </c>
    </row>
    <row r="46" spans="1:7">
      <c r="A46" s="39">
        <v>43</v>
      </c>
      <c r="B46" s="40">
        <v>282063</v>
      </c>
      <c r="C46" s="41">
        <v>282063</v>
      </c>
      <c r="D46" s="41">
        <v>282063</v>
      </c>
      <c r="E46" s="41">
        <v>282063</v>
      </c>
      <c r="F46" s="41">
        <v>282063</v>
      </c>
      <c r="G46" s="42">
        <v>282062.88</v>
      </c>
    </row>
    <row r="47" spans="1:7">
      <c r="A47" s="39">
        <v>44</v>
      </c>
      <c r="B47" s="40">
        <v>288356</v>
      </c>
      <c r="C47" s="41">
        <v>288356</v>
      </c>
      <c r="D47" s="41">
        <v>288356</v>
      </c>
      <c r="E47" s="41">
        <v>288356</v>
      </c>
      <c r="F47" s="41">
        <v>288356</v>
      </c>
      <c r="G47" s="42">
        <v>288356.47999999998</v>
      </c>
    </row>
    <row r="48" spans="1:7">
      <c r="A48" s="39">
        <v>45</v>
      </c>
      <c r="B48" s="40">
        <v>294824</v>
      </c>
      <c r="C48" s="41">
        <v>294824</v>
      </c>
      <c r="D48" s="41">
        <v>294824</v>
      </c>
      <c r="E48" s="41">
        <v>294824</v>
      </c>
      <c r="F48" s="41">
        <v>294824</v>
      </c>
      <c r="G48" s="42">
        <v>294824.2</v>
      </c>
    </row>
    <row r="49" spans="1:7">
      <c r="A49" s="39">
        <v>46</v>
      </c>
      <c r="B49" s="40">
        <v>301470</v>
      </c>
      <c r="C49" s="41">
        <v>301470</v>
      </c>
      <c r="D49" s="41">
        <v>301470</v>
      </c>
      <c r="E49" s="41">
        <v>301470</v>
      </c>
      <c r="F49" s="41">
        <v>301470</v>
      </c>
      <c r="G49" s="42">
        <v>301470.05</v>
      </c>
    </row>
    <row r="50" spans="1:7">
      <c r="A50" s="39">
        <v>47</v>
      </c>
      <c r="B50" s="40">
        <v>315314</v>
      </c>
      <c r="C50" s="41">
        <v>315314</v>
      </c>
      <c r="D50" s="41">
        <v>315314</v>
      </c>
      <c r="E50" s="41">
        <v>315314</v>
      </c>
      <c r="F50" s="41">
        <v>315314</v>
      </c>
      <c r="G50" s="42">
        <v>315313.56</v>
      </c>
    </row>
    <row r="51" spans="1:7">
      <c r="A51" s="39">
        <v>48</v>
      </c>
      <c r="B51" s="40">
        <v>336492</v>
      </c>
      <c r="C51" s="41">
        <v>336492</v>
      </c>
      <c r="D51" s="41">
        <v>336492</v>
      </c>
      <c r="E51" s="41">
        <v>336492</v>
      </c>
      <c r="F51" s="41">
        <v>336492</v>
      </c>
      <c r="G51" s="42">
        <v>336491.35</v>
      </c>
    </row>
    <row r="52" spans="1:7">
      <c r="A52" s="39">
        <v>49</v>
      </c>
      <c r="B52" s="40">
        <v>359957</v>
      </c>
      <c r="C52" s="41">
        <v>359957</v>
      </c>
      <c r="D52" s="41">
        <v>359957</v>
      </c>
      <c r="E52" s="41">
        <v>359957</v>
      </c>
      <c r="F52" s="41">
        <v>359957</v>
      </c>
      <c r="G52" s="42">
        <v>359956.74</v>
      </c>
    </row>
    <row r="53" spans="1:7">
      <c r="A53" s="39">
        <v>50</v>
      </c>
      <c r="B53" s="40">
        <v>397581</v>
      </c>
      <c r="C53" s="41">
        <v>397581</v>
      </c>
      <c r="D53" s="41">
        <v>397581</v>
      </c>
      <c r="E53" s="41">
        <v>397581</v>
      </c>
      <c r="F53" s="41">
        <v>397581</v>
      </c>
      <c r="G53" s="42">
        <v>397581.73</v>
      </c>
    </row>
    <row r="54" spans="1:7">
      <c r="A54" s="39">
        <v>51</v>
      </c>
      <c r="B54" s="40">
        <v>444240</v>
      </c>
      <c r="C54" s="41">
        <v>444240</v>
      </c>
      <c r="D54" s="41">
        <v>444240</v>
      </c>
      <c r="E54" s="41">
        <v>444240</v>
      </c>
      <c r="F54" s="41">
        <v>444240</v>
      </c>
      <c r="G54" s="42">
        <v>444240.63</v>
      </c>
    </row>
    <row r="55" spans="1:7">
      <c r="A55" s="39">
        <v>52</v>
      </c>
      <c r="B55" s="40">
        <v>484035</v>
      </c>
      <c r="C55" s="41">
        <v>484035</v>
      </c>
      <c r="D55" s="41">
        <v>484035</v>
      </c>
      <c r="E55" s="41">
        <v>484035</v>
      </c>
      <c r="F55" s="41">
        <v>484035</v>
      </c>
      <c r="G55" s="42">
        <v>484035.37</v>
      </c>
    </row>
    <row r="56" spans="1:7">
      <c r="A56" s="39">
        <v>53</v>
      </c>
      <c r="B56" s="40">
        <v>538581</v>
      </c>
      <c r="C56" s="41">
        <v>538581</v>
      </c>
      <c r="D56" s="41">
        <v>538581</v>
      </c>
      <c r="E56" s="41">
        <v>538581</v>
      </c>
      <c r="F56" s="41">
        <v>538581</v>
      </c>
      <c r="G56" s="42">
        <v>538581.69999999995</v>
      </c>
    </row>
    <row r="57" spans="1:7">
      <c r="A57" s="39">
        <v>54</v>
      </c>
      <c r="B57" s="40">
        <v>604096</v>
      </c>
      <c r="C57" s="41">
        <v>604096</v>
      </c>
      <c r="D57" s="41">
        <v>604096</v>
      </c>
      <c r="E57" s="41">
        <v>604096</v>
      </c>
      <c r="F57" s="41">
        <v>604096</v>
      </c>
      <c r="G57" s="42">
        <v>604095.94999999995</v>
      </c>
    </row>
    <row r="58" spans="1:7">
      <c r="A58" s="43">
        <v>55</v>
      </c>
      <c r="B58" s="44">
        <v>679129</v>
      </c>
      <c r="C58" s="45">
        <v>679129</v>
      </c>
      <c r="D58" s="45">
        <v>679129</v>
      </c>
      <c r="E58" s="45">
        <v>679129</v>
      </c>
      <c r="F58" s="45">
        <v>679129</v>
      </c>
      <c r="G58" s="46">
        <v>679128.96</v>
      </c>
    </row>
    <row r="59" spans="1:7">
      <c r="A59" s="39" t="s">
        <v>120</v>
      </c>
      <c r="B59" s="40">
        <v>213400</v>
      </c>
      <c r="C59" s="47">
        <v>213400</v>
      </c>
      <c r="D59" s="47">
        <v>213400</v>
      </c>
      <c r="E59" s="47">
        <v>213400</v>
      </c>
      <c r="F59" s="47">
        <v>213400</v>
      </c>
      <c r="G59" s="59">
        <v>213400</v>
      </c>
    </row>
    <row r="60" spans="1:7">
      <c r="A60" s="39" t="s">
        <v>119</v>
      </c>
      <c r="B60" s="40">
        <v>227400</v>
      </c>
      <c r="C60" s="41">
        <v>227400</v>
      </c>
      <c r="D60" s="41">
        <v>227400</v>
      </c>
      <c r="E60" s="41">
        <v>227400</v>
      </c>
      <c r="F60" s="41">
        <v>227400</v>
      </c>
      <c r="G60" s="60">
        <v>227400</v>
      </c>
    </row>
    <row r="61" spans="1:7">
      <c r="A61" s="39" t="s">
        <v>117</v>
      </c>
      <c r="B61" s="40">
        <v>248500</v>
      </c>
      <c r="C61" s="41">
        <v>248500</v>
      </c>
      <c r="D61" s="41">
        <v>248500</v>
      </c>
      <c r="E61" s="41">
        <v>248500</v>
      </c>
      <c r="F61" s="41">
        <v>248500</v>
      </c>
      <c r="G61" s="60">
        <v>248500</v>
      </c>
    </row>
    <row r="62" spans="1:7">
      <c r="A62" s="39" t="s">
        <v>163</v>
      </c>
      <c r="B62" s="40">
        <v>203400</v>
      </c>
      <c r="C62" s="41">
        <v>203400</v>
      </c>
      <c r="D62" s="41">
        <v>203400</v>
      </c>
      <c r="E62" s="41">
        <v>203400</v>
      </c>
      <c r="F62" s="41">
        <v>203400</v>
      </c>
      <c r="G62" s="60">
        <v>203400</v>
      </c>
    </row>
    <row r="63" spans="1:7">
      <c r="A63" s="39" t="s">
        <v>121</v>
      </c>
      <c r="B63" s="40">
        <v>213400</v>
      </c>
      <c r="C63" s="41">
        <v>213400</v>
      </c>
      <c r="D63" s="41">
        <v>213400</v>
      </c>
      <c r="E63" s="41">
        <v>213400</v>
      </c>
      <c r="F63" s="41">
        <v>213400</v>
      </c>
      <c r="G63" s="60">
        <v>213400</v>
      </c>
    </row>
    <row r="64" spans="1:7">
      <c r="A64" s="43" t="s">
        <v>118</v>
      </c>
      <c r="B64" s="44">
        <v>221500</v>
      </c>
      <c r="C64" s="45">
        <v>221500</v>
      </c>
      <c r="D64" s="45">
        <v>221500</v>
      </c>
      <c r="E64" s="45">
        <v>221500</v>
      </c>
      <c r="F64" s="45">
        <v>221500</v>
      </c>
      <c r="G64" s="61">
        <v>221500</v>
      </c>
    </row>
    <row r="66" spans="1:7" ht="18">
      <c r="A66" s="51" t="s">
        <v>51</v>
      </c>
      <c r="C66" s="28" t="s">
        <v>116</v>
      </c>
    </row>
    <row r="67" spans="1:7">
      <c r="A67" s="29"/>
      <c r="B67" s="30"/>
      <c r="C67" s="31"/>
      <c r="D67" s="32" t="s">
        <v>49</v>
      </c>
      <c r="E67" s="31"/>
      <c r="F67" s="52"/>
      <c r="G67" s="53"/>
    </row>
    <row r="68" spans="1:7">
      <c r="A68" s="35" t="s">
        <v>50</v>
      </c>
      <c r="B68" s="36" t="s">
        <v>78</v>
      </c>
      <c r="C68" s="37" t="s">
        <v>79</v>
      </c>
      <c r="D68" s="37" t="s">
        <v>80</v>
      </c>
      <c r="E68" s="37" t="s">
        <v>81</v>
      </c>
      <c r="F68" s="54" t="s">
        <v>161</v>
      </c>
      <c r="G68" s="55"/>
    </row>
    <row r="69" spans="1:7">
      <c r="A69" s="39" t="s">
        <v>120</v>
      </c>
      <c r="B69" s="40">
        <v>0</v>
      </c>
      <c r="C69" s="47">
        <v>3900</v>
      </c>
      <c r="D69" s="47">
        <v>6900</v>
      </c>
      <c r="E69" s="47">
        <v>10800</v>
      </c>
      <c r="F69" s="48">
        <v>13800</v>
      </c>
    </row>
    <row r="70" spans="1:7">
      <c r="A70" s="39" t="s">
        <v>119</v>
      </c>
      <c r="B70" s="40">
        <v>0</v>
      </c>
      <c r="C70" s="41">
        <v>3300</v>
      </c>
      <c r="D70" s="41">
        <v>5700</v>
      </c>
      <c r="E70" s="41">
        <v>9000</v>
      </c>
      <c r="F70" s="49">
        <v>11400</v>
      </c>
    </row>
    <row r="71" spans="1:7">
      <c r="A71" s="39" t="s">
        <v>117</v>
      </c>
      <c r="B71" s="40">
        <v>0</v>
      </c>
      <c r="C71" s="41">
        <v>2100</v>
      </c>
      <c r="D71" s="41">
        <v>3900</v>
      </c>
      <c r="E71" s="41">
        <v>6000</v>
      </c>
      <c r="F71" s="49">
        <v>7500</v>
      </c>
    </row>
    <row r="72" spans="1:7">
      <c r="A72" s="39" t="s">
        <v>163</v>
      </c>
      <c r="B72" s="40">
        <v>0</v>
      </c>
      <c r="C72" s="41">
        <v>4500</v>
      </c>
      <c r="D72" s="41">
        <v>7500</v>
      </c>
      <c r="E72" s="41">
        <v>12000</v>
      </c>
      <c r="F72" s="49">
        <v>15000</v>
      </c>
    </row>
    <row r="73" spans="1:7">
      <c r="A73" s="39" t="s">
        <v>121</v>
      </c>
      <c r="B73" s="40">
        <v>0</v>
      </c>
      <c r="C73" s="41">
        <v>3900</v>
      </c>
      <c r="D73" s="41">
        <v>6900</v>
      </c>
      <c r="E73" s="41">
        <v>10800</v>
      </c>
      <c r="F73" s="49">
        <v>13800</v>
      </c>
    </row>
    <row r="74" spans="1:7">
      <c r="A74" s="43" t="s">
        <v>118</v>
      </c>
      <c r="B74" s="44">
        <v>0</v>
      </c>
      <c r="C74" s="45">
        <v>3600</v>
      </c>
      <c r="D74" s="45">
        <v>6300</v>
      </c>
      <c r="E74" s="45">
        <v>9900</v>
      </c>
      <c r="F74" s="50">
        <v>12600</v>
      </c>
    </row>
    <row r="76" spans="1:7">
      <c r="A76" s="28" t="s">
        <v>113</v>
      </c>
    </row>
  </sheetData>
  <sheetProtection sheet="1" objects="1" scenarios="1"/>
  <phoneticPr fontId="12"/>
  <printOptions horizontalCentered="1" verticalCentered="1" gridLinesSet="0"/>
  <pageMargins left="0.39370078740157483" right="0.39370078740157483" top="0.98425196850393704" bottom="0.98425196850393704" header="0.51181102362204722" footer="0.51181102362204722"/>
  <headerFooter>
    <oddHeader>&amp;L&amp;"Geneva,Fed"&amp;24LØNTABEL</oddHeader>
    <oddFooter>&amp;L&amp;"Geneva,Normal"FRISKOLERNES KONTOR, Prices Havevej 11, 5600 Fåborg&amp;R&amp;"Geneva,Normal"Ole Mikkelsen, friskolekonsulent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492C4-E208-1549-8BBB-06FE6FEFDFBE}">
  <sheetPr codeName="Ark36"/>
  <dimension ref="A1:F32"/>
  <sheetViews>
    <sheetView zoomScale="104" workbookViewId="0">
      <selection activeCell="B28" sqref="B28"/>
    </sheetView>
  </sheetViews>
  <sheetFormatPr baseColWidth="10" defaultRowHeight="16"/>
  <cols>
    <col min="1" max="1" width="31.5703125" style="1014" customWidth="1"/>
    <col min="2" max="2" width="16.42578125" style="1014" customWidth="1"/>
    <col min="3" max="3" width="11.28515625" style="1014" customWidth="1"/>
    <col min="4" max="16384" width="10.7109375" style="1014"/>
  </cols>
  <sheetData>
    <row r="1" spans="1:6" ht="31">
      <c r="A1" s="1172" t="s">
        <v>663</v>
      </c>
      <c r="B1" s="1172"/>
      <c r="C1" s="1172"/>
      <c r="D1" s="1172"/>
      <c r="E1" s="1013"/>
      <c r="F1" s="1013"/>
    </row>
    <row r="2" spans="1:6" ht="39" customHeight="1">
      <c r="A2" s="1173" t="s">
        <v>664</v>
      </c>
      <c r="B2" s="1173"/>
      <c r="C2" s="1173"/>
      <c r="D2" s="1173"/>
    </row>
    <row r="3" spans="1:6" ht="31" customHeight="1">
      <c r="A3" s="1173" t="s">
        <v>665</v>
      </c>
      <c r="B3" s="1173"/>
      <c r="C3" s="1173"/>
      <c r="D3" s="1173"/>
    </row>
    <row r="4" spans="1:6" ht="31" customHeight="1">
      <c r="A4" s="1173" t="s">
        <v>666</v>
      </c>
      <c r="B4" s="1173"/>
      <c r="C4" s="1173"/>
      <c r="D4" s="1173"/>
    </row>
    <row r="5" spans="1:6">
      <c r="A5" s="1174" t="s">
        <v>667</v>
      </c>
      <c r="B5" s="1174"/>
      <c r="C5" s="1174"/>
      <c r="D5" s="1174"/>
    </row>
    <row r="7" spans="1:6">
      <c r="A7" s="1014" t="s">
        <v>668</v>
      </c>
    </row>
    <row r="8" spans="1:6">
      <c r="A8" s="1174" t="s">
        <v>669</v>
      </c>
      <c r="B8" s="1174"/>
      <c r="C8" s="1174"/>
      <c r="D8" s="1174"/>
    </row>
    <row r="9" spans="1:6">
      <c r="A9" s="1174" t="s">
        <v>670</v>
      </c>
      <c r="B9" s="1174"/>
      <c r="C9" s="1174"/>
      <c r="D9" s="1174"/>
    </row>
    <row r="10" spans="1:6" ht="33" customHeight="1">
      <c r="A10" s="1173" t="s">
        <v>671</v>
      </c>
      <c r="B10" s="1173"/>
      <c r="C10" s="1173"/>
      <c r="D10" s="1173"/>
    </row>
    <row r="11" spans="1:6" ht="17">
      <c r="A11" s="1015"/>
    </row>
    <row r="12" spans="1:6">
      <c r="A12" s="1175" t="s">
        <v>672</v>
      </c>
      <c r="B12" s="1175"/>
      <c r="C12" s="1175"/>
      <c r="D12" s="1175"/>
    </row>
    <row r="13" spans="1:6" ht="34" customHeight="1">
      <c r="A13" s="1176" t="s">
        <v>673</v>
      </c>
      <c r="B13" s="1176"/>
      <c r="C13" s="1176"/>
      <c r="D13" s="1176"/>
    </row>
    <row r="14" spans="1:6" ht="31" customHeight="1">
      <c r="A14" s="1176" t="s">
        <v>674</v>
      </c>
      <c r="B14" s="1176"/>
      <c r="C14" s="1176"/>
      <c r="D14" s="1176"/>
    </row>
    <row r="15" spans="1:6">
      <c r="A15" s="1016"/>
    </row>
    <row r="16" spans="1:6">
      <c r="A16" s="1016" t="s">
        <v>675</v>
      </c>
      <c r="B16" s="1014">
        <v>37</v>
      </c>
    </row>
    <row r="17" spans="1:4">
      <c r="A17" s="1016" t="s">
        <v>676</v>
      </c>
      <c r="B17" s="1017">
        <v>33.630000000000003</v>
      </c>
    </row>
    <row r="18" spans="1:4">
      <c r="A18" s="1016"/>
      <c r="B18" s="1017"/>
    </row>
    <row r="19" spans="1:4">
      <c r="A19" s="1171" t="s">
        <v>677</v>
      </c>
      <c r="B19" s="1171"/>
      <c r="C19" s="1171"/>
      <c r="D19" s="1171"/>
    </row>
    <row r="20" spans="1:4">
      <c r="A20" s="1170" t="s">
        <v>678</v>
      </c>
      <c r="B20" s="1170"/>
      <c r="C20" s="1170"/>
      <c r="D20" s="1018"/>
    </row>
    <row r="21" spans="1:4">
      <c r="A21" s="1170" t="s">
        <v>679</v>
      </c>
      <c r="B21" s="1170"/>
      <c r="C21" s="1170"/>
      <c r="D21" s="1019">
        <f>D20/B16*B17</f>
        <v>0</v>
      </c>
    </row>
    <row r="22" spans="1:4">
      <c r="A22" s="1016"/>
      <c r="B22" s="1017"/>
      <c r="D22" s="1017"/>
    </row>
    <row r="23" spans="1:4">
      <c r="A23" s="1171" t="s">
        <v>680</v>
      </c>
      <c r="B23" s="1171"/>
      <c r="C23" s="1171"/>
      <c r="D23" s="1171"/>
    </row>
    <row r="24" spans="1:4">
      <c r="A24" s="1170" t="s">
        <v>681</v>
      </c>
      <c r="B24" s="1170"/>
      <c r="C24" s="1170"/>
      <c r="D24" s="1020"/>
    </row>
    <row r="25" spans="1:4">
      <c r="A25" s="1170" t="s">
        <v>682</v>
      </c>
      <c r="B25" s="1170"/>
      <c r="C25" s="1170"/>
      <c r="D25" s="1019">
        <f>D24/B17*B16</f>
        <v>0</v>
      </c>
    </row>
    <row r="26" spans="1:4" ht="17">
      <c r="A26" s="1015"/>
    </row>
    <row r="27" spans="1:4">
      <c r="B27" s="1021"/>
    </row>
    <row r="28" spans="1:4">
      <c r="B28" s="1021"/>
    </row>
    <row r="29" spans="1:4">
      <c r="B29" s="1022"/>
    </row>
    <row r="30" spans="1:4">
      <c r="B30" s="1021"/>
    </row>
    <row r="31" spans="1:4">
      <c r="B31" s="1021"/>
    </row>
    <row r="32" spans="1:4">
      <c r="B32" s="1022"/>
    </row>
  </sheetData>
  <sheetProtection sheet="1" objects="1" scenarios="1"/>
  <mergeCells count="17">
    <mergeCell ref="A19:D19"/>
    <mergeCell ref="A1:D1"/>
    <mergeCell ref="A2:D2"/>
    <mergeCell ref="A3:D3"/>
    <mergeCell ref="A4:D4"/>
    <mergeCell ref="A5:D5"/>
    <mergeCell ref="A8:D8"/>
    <mergeCell ref="A9:D9"/>
    <mergeCell ref="A10:D10"/>
    <mergeCell ref="A12:D12"/>
    <mergeCell ref="A13:D13"/>
    <mergeCell ref="A14:D14"/>
    <mergeCell ref="A20:C20"/>
    <mergeCell ref="A21:C21"/>
    <mergeCell ref="A23:D23"/>
    <mergeCell ref="A24:C24"/>
    <mergeCell ref="A25:C25"/>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6">
    <tabColor theme="5" tint="0.59999389629810485"/>
    <pageSetUpPr fitToPage="1"/>
  </sheetPr>
  <dimension ref="A1:T94"/>
  <sheetViews>
    <sheetView showZeros="0" workbookViewId="0">
      <selection activeCell="E75" sqref="E75"/>
    </sheetView>
  </sheetViews>
  <sheetFormatPr baseColWidth="10" defaultColWidth="10.7109375" defaultRowHeight="13"/>
  <cols>
    <col min="1" max="1" width="6" style="90" customWidth="1"/>
    <col min="2" max="2" width="3.42578125" style="90" customWidth="1"/>
    <col min="3" max="3" width="32" style="90" customWidth="1"/>
    <col min="4" max="4" width="12.140625" style="90" bestFit="1" customWidth="1"/>
    <col min="5" max="5" width="11.28515625" style="90" bestFit="1" customWidth="1"/>
    <col min="6" max="18" width="10.7109375" style="90"/>
    <col min="19" max="19" width="4.28515625" style="90" bestFit="1" customWidth="1"/>
    <col min="20" max="20" width="2.28515625" style="90" bestFit="1" customWidth="1"/>
    <col min="21" max="16384" width="10.7109375" style="90"/>
  </cols>
  <sheetData>
    <row r="1" spans="1:20">
      <c r="A1" s="90" t="s">
        <v>268</v>
      </c>
      <c r="C1" s="457" t="s">
        <v>269</v>
      </c>
      <c r="D1" s="90" t="s">
        <v>483</v>
      </c>
      <c r="Q1" s="335" t="s">
        <v>491</v>
      </c>
      <c r="R1" s="335"/>
    </row>
    <row r="2" spans="1:20">
      <c r="D2" s="411" t="s">
        <v>278</v>
      </c>
      <c r="E2" s="411" t="s">
        <v>292</v>
      </c>
      <c r="F2" s="411" t="s">
        <v>294</v>
      </c>
      <c r="G2" s="411" t="s">
        <v>296</v>
      </c>
      <c r="H2" s="411" t="s">
        <v>298</v>
      </c>
      <c r="I2" s="411" t="s">
        <v>300</v>
      </c>
      <c r="J2" s="411" t="s">
        <v>302</v>
      </c>
      <c r="K2" s="411" t="s">
        <v>304</v>
      </c>
      <c r="L2" s="411" t="s">
        <v>306</v>
      </c>
      <c r="M2" s="411" t="s">
        <v>308</v>
      </c>
      <c r="N2" s="411" t="s">
        <v>310</v>
      </c>
      <c r="O2" s="411" t="s">
        <v>312</v>
      </c>
      <c r="P2" s="411"/>
      <c r="Q2" s="335" t="s">
        <v>492</v>
      </c>
      <c r="R2" s="335"/>
    </row>
    <row r="3" spans="1:20" ht="25" customHeight="1">
      <c r="A3" s="336">
        <v>1</v>
      </c>
      <c r="B3" s="261"/>
      <c r="C3" s="261" t="s">
        <v>272</v>
      </c>
      <c r="D3" s="338" t="str">
        <f t="shared" ref="D3:O9" ca="1" si="0">INDIRECT($C$1&amp;"!"&amp;VLOOKUP(D$2,mdr,2,0)&amp;$A3)</f>
        <v xml:space="preserve">A </v>
      </c>
      <c r="E3" s="262" t="str">
        <f t="shared" ca="1" si="0"/>
        <v xml:space="preserve">A </v>
      </c>
      <c r="F3" s="262" t="str">
        <f t="shared" ca="1" si="0"/>
        <v xml:space="preserve">A </v>
      </c>
      <c r="G3" s="262" t="str">
        <f t="shared" ca="1" si="0"/>
        <v xml:space="preserve">A </v>
      </c>
      <c r="H3" s="262" t="str">
        <f t="shared" ca="1" si="0"/>
        <v xml:space="preserve">A </v>
      </c>
      <c r="I3" s="262" t="str">
        <f t="shared" ca="1" si="0"/>
        <v xml:space="preserve">A </v>
      </c>
      <c r="J3" s="262" t="str">
        <f t="shared" ca="1" si="0"/>
        <v xml:space="preserve">A </v>
      </c>
      <c r="K3" s="262" t="str">
        <f t="shared" ca="1" si="0"/>
        <v xml:space="preserve">A </v>
      </c>
      <c r="L3" s="262" t="str">
        <f t="shared" ca="1" si="0"/>
        <v xml:space="preserve">A </v>
      </c>
      <c r="M3" s="262" t="str">
        <f t="shared" ca="1" si="0"/>
        <v xml:space="preserve">A </v>
      </c>
      <c r="N3" s="262" t="str">
        <f t="shared" ca="1" si="0"/>
        <v xml:space="preserve">A </v>
      </c>
      <c r="O3" s="583" t="str">
        <f t="shared" ca="1" si="0"/>
        <v xml:space="preserve">A </v>
      </c>
      <c r="P3" s="584"/>
      <c r="Q3" s="664"/>
      <c r="R3" s="491"/>
    </row>
    <row r="4" spans="1:20" ht="14">
      <c r="A4" s="336">
        <v>2</v>
      </c>
      <c r="B4" s="263"/>
      <c r="C4" s="263" t="s">
        <v>273</v>
      </c>
      <c r="D4" s="412" t="str">
        <f t="shared" ca="1" si="0"/>
        <v>AUG 25</v>
      </c>
      <c r="E4" s="264" t="str">
        <f t="shared" ca="1" si="0"/>
        <v>SEP 25</v>
      </c>
      <c r="F4" s="264" t="str">
        <f t="shared" ca="1" si="0"/>
        <v>OKT 25</v>
      </c>
      <c r="G4" s="264" t="str">
        <f t="shared" ca="1" si="0"/>
        <v>NOV 25</v>
      </c>
      <c r="H4" s="264" t="str">
        <f t="shared" ca="1" si="0"/>
        <v>DEC 25</v>
      </c>
      <c r="I4" s="264" t="str">
        <f t="shared" ca="1" si="0"/>
        <v>JAN 26</v>
      </c>
      <c r="J4" s="264" t="str">
        <f t="shared" ca="1" si="0"/>
        <v>FEB 26</v>
      </c>
      <c r="K4" s="264" t="str">
        <f t="shared" ca="1" si="0"/>
        <v>MAR 26</v>
      </c>
      <c r="L4" s="264" t="str">
        <f t="shared" ca="1" si="0"/>
        <v>APR 26</v>
      </c>
      <c r="M4" s="264" t="str">
        <f t="shared" ca="1" si="0"/>
        <v>MAJ 26</v>
      </c>
      <c r="N4" s="264" t="str">
        <f t="shared" ca="1" si="0"/>
        <v>JUN 26</v>
      </c>
      <c r="O4" s="577" t="str">
        <f t="shared" ca="1" si="0"/>
        <v>JUL 26</v>
      </c>
      <c r="P4" s="585" t="s">
        <v>601</v>
      </c>
      <c r="Q4" s="665"/>
      <c r="R4" s="493"/>
      <c r="S4" s="413" t="s">
        <v>278</v>
      </c>
      <c r="T4" s="414" t="s">
        <v>297</v>
      </c>
    </row>
    <row r="5" spans="1:20" ht="14">
      <c r="A5" s="336">
        <v>11</v>
      </c>
      <c r="B5" s="265"/>
      <c r="C5" s="265" t="s">
        <v>274</v>
      </c>
      <c r="D5" s="339">
        <f t="shared" ca="1" si="0"/>
        <v>0</v>
      </c>
      <c r="E5" s="266">
        <f t="shared" ca="1" si="0"/>
        <v>0</v>
      </c>
      <c r="F5" s="266">
        <f t="shared" ca="1" si="0"/>
        <v>0</v>
      </c>
      <c r="G5" s="266">
        <f t="shared" ca="1" si="0"/>
        <v>0</v>
      </c>
      <c r="H5" s="266">
        <f t="shared" ca="1" si="0"/>
        <v>0</v>
      </c>
      <c r="I5" s="266">
        <f t="shared" ca="1" si="0"/>
        <v>0</v>
      </c>
      <c r="J5" s="266">
        <f t="shared" ca="1" si="0"/>
        <v>0</v>
      </c>
      <c r="K5" s="266">
        <f t="shared" ca="1" si="0"/>
        <v>0</v>
      </c>
      <c r="L5" s="266">
        <f t="shared" ca="1" si="0"/>
        <v>0</v>
      </c>
      <c r="M5" s="266">
        <f t="shared" ca="1" si="0"/>
        <v>0</v>
      </c>
      <c r="N5" s="266">
        <f t="shared" ca="1" si="0"/>
        <v>0</v>
      </c>
      <c r="O5" s="578">
        <f t="shared" ca="1" si="0"/>
        <v>0</v>
      </c>
      <c r="P5" s="586"/>
      <c r="Q5" s="664"/>
      <c r="R5" s="491"/>
      <c r="S5" s="415" t="s">
        <v>292</v>
      </c>
      <c r="T5" s="416" t="s">
        <v>299</v>
      </c>
    </row>
    <row r="6" spans="1:20" ht="14">
      <c r="A6" s="336">
        <v>3</v>
      </c>
      <c r="B6" s="263"/>
      <c r="C6" s="263" t="s">
        <v>275</v>
      </c>
      <c r="D6" s="340">
        <f t="shared" ca="1" si="0"/>
        <v>1</v>
      </c>
      <c r="E6" s="427">
        <f t="shared" ca="1" si="0"/>
        <v>1</v>
      </c>
      <c r="F6" s="427">
        <f t="shared" ca="1" si="0"/>
        <v>1</v>
      </c>
      <c r="G6" s="427">
        <f t="shared" ca="1" si="0"/>
        <v>1</v>
      </c>
      <c r="H6" s="427">
        <f t="shared" ca="1" si="0"/>
        <v>1</v>
      </c>
      <c r="I6" s="427">
        <f t="shared" ca="1" si="0"/>
        <v>1</v>
      </c>
      <c r="J6" s="427">
        <f t="shared" ca="1" si="0"/>
        <v>1</v>
      </c>
      <c r="K6" s="427">
        <f t="shared" ca="1" si="0"/>
        <v>1</v>
      </c>
      <c r="L6" s="427">
        <f t="shared" ca="1" si="0"/>
        <v>1</v>
      </c>
      <c r="M6" s="427">
        <f t="shared" ca="1" si="0"/>
        <v>1</v>
      </c>
      <c r="N6" s="427">
        <f t="shared" ca="1" si="0"/>
        <v>1</v>
      </c>
      <c r="O6" s="579">
        <f t="shared" ca="1" si="0"/>
        <v>1</v>
      </c>
      <c r="P6" s="587"/>
      <c r="Q6" s="665"/>
      <c r="R6" s="493"/>
      <c r="S6" s="415" t="s">
        <v>294</v>
      </c>
      <c r="T6" s="416" t="s">
        <v>301</v>
      </c>
    </row>
    <row r="7" spans="1:20" ht="14">
      <c r="A7" s="336">
        <v>7</v>
      </c>
      <c r="B7" s="265"/>
      <c r="C7" s="265" t="s">
        <v>416</v>
      </c>
      <c r="D7" s="417">
        <f t="shared" ca="1" si="0"/>
        <v>0</v>
      </c>
      <c r="E7" s="418">
        <f t="shared" ca="1" si="0"/>
        <v>0</v>
      </c>
      <c r="F7" s="418">
        <f t="shared" ca="1" si="0"/>
        <v>0</v>
      </c>
      <c r="G7" s="418">
        <f t="shared" ca="1" si="0"/>
        <v>0</v>
      </c>
      <c r="H7" s="418">
        <f t="shared" ca="1" si="0"/>
        <v>0</v>
      </c>
      <c r="I7" s="418">
        <f t="shared" ca="1" si="0"/>
        <v>0</v>
      </c>
      <c r="J7" s="418">
        <f t="shared" ca="1" si="0"/>
        <v>0</v>
      </c>
      <c r="K7" s="418">
        <f t="shared" ca="1" si="0"/>
        <v>0</v>
      </c>
      <c r="L7" s="418">
        <f t="shared" ca="1" si="0"/>
        <v>0</v>
      </c>
      <c r="M7" s="418">
        <f t="shared" ca="1" si="0"/>
        <v>0</v>
      </c>
      <c r="N7" s="418">
        <f t="shared" ca="1" si="0"/>
        <v>0</v>
      </c>
      <c r="O7" s="580">
        <f t="shared" ca="1" si="0"/>
        <v>0</v>
      </c>
      <c r="P7" s="588"/>
      <c r="Q7" s="664"/>
      <c r="R7" s="491"/>
      <c r="S7" s="415" t="s">
        <v>296</v>
      </c>
      <c r="T7" s="416" t="s">
        <v>303</v>
      </c>
    </row>
    <row r="8" spans="1:20" ht="14">
      <c r="A8" s="336">
        <v>12</v>
      </c>
      <c r="B8" s="263"/>
      <c r="C8" s="263" t="s">
        <v>417</v>
      </c>
      <c r="D8" s="428">
        <f t="shared" ca="1" si="0"/>
        <v>0</v>
      </c>
      <c r="E8" s="429">
        <f t="shared" ca="1" si="0"/>
        <v>0</v>
      </c>
      <c r="F8" s="429">
        <f t="shared" ca="1" si="0"/>
        <v>0</v>
      </c>
      <c r="G8" s="429">
        <f t="shared" ca="1" si="0"/>
        <v>0</v>
      </c>
      <c r="H8" s="429">
        <f t="shared" ca="1" si="0"/>
        <v>0</v>
      </c>
      <c r="I8" s="429">
        <f t="shared" ca="1" si="0"/>
        <v>0</v>
      </c>
      <c r="J8" s="429">
        <f t="shared" ca="1" si="0"/>
        <v>0</v>
      </c>
      <c r="K8" s="429">
        <f t="shared" ca="1" si="0"/>
        <v>0</v>
      </c>
      <c r="L8" s="429">
        <f t="shared" ca="1" si="0"/>
        <v>0</v>
      </c>
      <c r="M8" s="429">
        <f t="shared" ca="1" si="0"/>
        <v>0</v>
      </c>
      <c r="N8" s="429">
        <f t="shared" ca="1" si="0"/>
        <v>0</v>
      </c>
      <c r="O8" s="581">
        <f t="shared" ca="1" si="0"/>
        <v>0</v>
      </c>
      <c r="P8" s="589"/>
      <c r="Q8" s="665"/>
      <c r="R8" s="493"/>
      <c r="S8" s="415" t="s">
        <v>298</v>
      </c>
      <c r="T8" s="416" t="s">
        <v>305</v>
      </c>
    </row>
    <row r="9" spans="1:20" ht="14">
      <c r="A9" s="419">
        <v>4</v>
      </c>
      <c r="B9" s="265"/>
      <c r="C9" s="265" t="s">
        <v>276</v>
      </c>
      <c r="D9" s="417" t="str">
        <f t="shared" ca="1" si="0"/>
        <v>Læ1</v>
      </c>
      <c r="E9" s="418" t="str">
        <f t="shared" ca="1" si="0"/>
        <v>Læ1</v>
      </c>
      <c r="F9" s="418" t="str">
        <f t="shared" ca="1" si="0"/>
        <v>Læ1</v>
      </c>
      <c r="G9" s="418" t="str">
        <f t="shared" ca="1" si="0"/>
        <v>Læ1</v>
      </c>
      <c r="H9" s="418" t="str">
        <f t="shared" ca="1" si="0"/>
        <v>Læ1</v>
      </c>
      <c r="I9" s="418" t="str">
        <f t="shared" ca="1" si="0"/>
        <v>Læ1</v>
      </c>
      <c r="J9" s="418" t="str">
        <f t="shared" ca="1" si="0"/>
        <v>Læ1</v>
      </c>
      <c r="K9" s="418" t="str">
        <f t="shared" ca="1" si="0"/>
        <v>Læ1</v>
      </c>
      <c r="L9" s="418" t="str">
        <f t="shared" ca="1" si="0"/>
        <v>Læ1</v>
      </c>
      <c r="M9" s="418" t="str">
        <f t="shared" ca="1" si="0"/>
        <v>Læ1</v>
      </c>
      <c r="N9" s="418" t="str">
        <f t="shared" ca="1" si="0"/>
        <v>Læ1</v>
      </c>
      <c r="O9" s="580" t="str">
        <f t="shared" ca="1" si="0"/>
        <v>Læ1</v>
      </c>
      <c r="P9" s="588"/>
      <c r="Q9" s="664"/>
      <c r="R9" s="491"/>
      <c r="S9" s="415" t="s">
        <v>300</v>
      </c>
      <c r="T9" s="416" t="s">
        <v>307</v>
      </c>
    </row>
    <row r="10" spans="1:20" ht="14">
      <c r="B10" s="263"/>
      <c r="C10" s="263" t="s">
        <v>429</v>
      </c>
      <c r="D10" s="420" t="str">
        <f ca="1">IF(LEFT(INDIRECT($C$1&amp;"!G5"))="L","LP","Tj.m., trin "&amp;RIGHT(INDIRECT($C$1&amp;"!G5"),2))</f>
        <v>LP</v>
      </c>
      <c r="E10" s="421" t="str">
        <f ca="1">IF(LEFT(INDIRECT($C$1&amp;"!G5"))="L","LP","Tj.m., trin "&amp;RIGHT(INDIRECT($C$1&amp;"!h5"),2))</f>
        <v>LP</v>
      </c>
      <c r="F10" s="421" t="str">
        <f ca="1">IF(LEFT(INDIRECT($C$1&amp;"!G5"))="L","LP","Tj.m., trin "&amp;RIGHT(INDIRECT($C$1&amp;"!i5"),2))</f>
        <v>LP</v>
      </c>
      <c r="G10" s="421" t="str">
        <f ca="1">IF(LEFT(INDIRECT($C$1&amp;"!G5"))="L","LP","Tj.m., trin "&amp;RIGHT(INDIRECT($C$1&amp;"!j5"),2))</f>
        <v>LP</v>
      </c>
      <c r="H10" s="421" t="str">
        <f ca="1">IF(LEFT(INDIRECT($C$1&amp;"!G5"))="L","LP","Tj.m., trin "&amp;RIGHT(INDIRECT($C$1&amp;"!k5"),2))</f>
        <v>LP</v>
      </c>
      <c r="I10" s="421" t="str">
        <f ca="1">IF(LEFT(INDIRECT($C$1&amp;"!G5"))="L","LP","Tj.m., trin "&amp;RIGHT(INDIRECT($C$1&amp;"!l5"),2))</f>
        <v>LP</v>
      </c>
      <c r="J10" s="421" t="str">
        <f ca="1">IF(LEFT(INDIRECT($C$1&amp;"!G5"))="L","LP","Tj.m., trin "&amp;RIGHT(INDIRECT($C$1&amp;"!m5"),2))</f>
        <v>LP</v>
      </c>
      <c r="K10" s="421" t="str">
        <f ca="1">IF(LEFT(INDIRECT($C$1&amp;"!G5"))="L","LP","Tj.m., trin "&amp;RIGHT(INDIRECT($C$1&amp;"!n5"),2))</f>
        <v>LP</v>
      </c>
      <c r="L10" s="421" t="str">
        <f ca="1">IF(LEFT(INDIRECT($C$1&amp;"!G5"))="L","LP","Tj.m., trin "&amp;RIGHT(INDIRECT($C$1&amp;"!o5"),2))</f>
        <v>LP</v>
      </c>
      <c r="M10" s="421" t="str">
        <f ca="1">IF(LEFT(INDIRECT($C$1&amp;"!G5"))="L","LP","Tj.m., trin "&amp;RIGHT(INDIRECT($C$1&amp;"!p5"),2))</f>
        <v>LP</v>
      </c>
      <c r="N10" s="421" t="str">
        <f ca="1">IF(LEFT(INDIRECT($C$1&amp;"!G5"))="L","LP","Tj.m., trin "&amp;RIGHT(INDIRECT($C$1&amp;"!q5"),2))</f>
        <v>LP</v>
      </c>
      <c r="O10" s="582" t="str">
        <f ca="1">IF(LEFT(INDIRECT($C$1&amp;"!G5"))="L","LP","Tj.m., trin "&amp;RIGHT(INDIRECT($C$1&amp;"!r5"),2))</f>
        <v>LP</v>
      </c>
      <c r="P10" s="590"/>
      <c r="Q10" s="665"/>
      <c r="R10" s="493"/>
      <c r="S10" s="415" t="s">
        <v>302</v>
      </c>
      <c r="T10" s="416" t="s">
        <v>309</v>
      </c>
    </row>
    <row r="11" spans="1:20">
      <c r="A11" s="336">
        <v>53</v>
      </c>
      <c r="B11" s="608">
        <v>1</v>
      </c>
      <c r="C11" s="666" t="str">
        <f t="shared" ref="C11:C47" ca="1" si="1">IF(P11&lt;&gt;0,INDIRECT($C$1&amp;"!f"&amp;A11),"")</f>
        <v/>
      </c>
      <c r="D11" s="673">
        <f t="shared" ref="D11:O20" ca="1" si="2">INDIRECT($C$1&amp;"!"&amp;VLOOKUP(D$2,mdr,2,0)&amp;$A11)</f>
        <v>0</v>
      </c>
      <c r="E11" s="673">
        <f t="shared" ca="1" si="2"/>
        <v>0</v>
      </c>
      <c r="F11" s="673">
        <f t="shared" ca="1" si="2"/>
        <v>0</v>
      </c>
      <c r="G11" s="673">
        <f t="shared" ca="1" si="2"/>
        <v>0</v>
      </c>
      <c r="H11" s="673">
        <f t="shared" ca="1" si="2"/>
        <v>0</v>
      </c>
      <c r="I11" s="673">
        <f t="shared" ca="1" si="2"/>
        <v>0</v>
      </c>
      <c r="J11" s="673">
        <f t="shared" ca="1" si="2"/>
        <v>0</v>
      </c>
      <c r="K11" s="673">
        <f t="shared" ca="1" si="2"/>
        <v>0</v>
      </c>
      <c r="L11" s="673">
        <f t="shared" ca="1" si="2"/>
        <v>0</v>
      </c>
      <c r="M11" s="673">
        <f t="shared" ca="1" si="2"/>
        <v>0</v>
      </c>
      <c r="N11" s="673">
        <f t="shared" ca="1" si="2"/>
        <v>0</v>
      </c>
      <c r="O11" s="673">
        <f t="shared" ca="1" si="2"/>
        <v>0</v>
      </c>
      <c r="P11" s="699">
        <f t="shared" ref="P11:P43" ca="1" si="3">SUM(D11:O11)</f>
        <v>0</v>
      </c>
      <c r="Q11" s="664"/>
      <c r="R11" s="491"/>
      <c r="S11" s="415" t="s">
        <v>304</v>
      </c>
      <c r="T11" s="416" t="s">
        <v>311</v>
      </c>
    </row>
    <row r="12" spans="1:20">
      <c r="A12" s="336">
        <f>A11+1</f>
        <v>54</v>
      </c>
      <c r="B12" s="611">
        <f>B11+1</f>
        <v>2</v>
      </c>
      <c r="C12" s="667" t="str">
        <f t="shared" ca="1" si="1"/>
        <v/>
      </c>
      <c r="D12" s="674">
        <f t="shared" ca="1" si="2"/>
        <v>0</v>
      </c>
      <c r="E12" s="674">
        <f t="shared" ca="1" si="2"/>
        <v>0</v>
      </c>
      <c r="F12" s="674">
        <f t="shared" ca="1" si="2"/>
        <v>0</v>
      </c>
      <c r="G12" s="674">
        <f t="shared" ca="1" si="2"/>
        <v>0</v>
      </c>
      <c r="H12" s="674">
        <f t="shared" ca="1" si="2"/>
        <v>0</v>
      </c>
      <c r="I12" s="674">
        <f t="shared" ca="1" si="2"/>
        <v>0</v>
      </c>
      <c r="J12" s="674">
        <f t="shared" ca="1" si="2"/>
        <v>0</v>
      </c>
      <c r="K12" s="674">
        <f t="shared" ca="1" si="2"/>
        <v>0</v>
      </c>
      <c r="L12" s="674">
        <f t="shared" ca="1" si="2"/>
        <v>0</v>
      </c>
      <c r="M12" s="674">
        <f t="shared" ca="1" si="2"/>
        <v>0</v>
      </c>
      <c r="N12" s="674">
        <f t="shared" ca="1" si="2"/>
        <v>0</v>
      </c>
      <c r="O12" s="674">
        <f t="shared" ca="1" si="2"/>
        <v>0</v>
      </c>
      <c r="P12" s="700">
        <f t="shared" ca="1" si="3"/>
        <v>0</v>
      </c>
      <c r="Q12" s="665"/>
      <c r="R12" s="493"/>
      <c r="S12" s="415" t="s">
        <v>306</v>
      </c>
      <c r="T12" s="416" t="s">
        <v>313</v>
      </c>
    </row>
    <row r="13" spans="1:20">
      <c r="A13" s="336">
        <f t="shared" ref="A13:A72" si="4">A12+1</f>
        <v>55</v>
      </c>
      <c r="B13" s="615">
        <f t="shared" ref="B13:B27" si="5">B12+1</f>
        <v>3</v>
      </c>
      <c r="C13" s="668" t="str">
        <f t="shared" ca="1" si="1"/>
        <v/>
      </c>
      <c r="D13" s="675">
        <f t="shared" ca="1" si="2"/>
        <v>0</v>
      </c>
      <c r="E13" s="675">
        <f t="shared" ca="1" si="2"/>
        <v>0</v>
      </c>
      <c r="F13" s="675">
        <f t="shared" ca="1" si="2"/>
        <v>0</v>
      </c>
      <c r="G13" s="675">
        <f t="shared" ca="1" si="2"/>
        <v>0</v>
      </c>
      <c r="H13" s="675">
        <f t="shared" ca="1" si="2"/>
        <v>0</v>
      </c>
      <c r="I13" s="675">
        <f t="shared" ca="1" si="2"/>
        <v>0</v>
      </c>
      <c r="J13" s="675">
        <f t="shared" ca="1" si="2"/>
        <v>0</v>
      </c>
      <c r="K13" s="675">
        <f t="shared" ca="1" si="2"/>
        <v>0</v>
      </c>
      <c r="L13" s="675">
        <f t="shared" ca="1" si="2"/>
        <v>0</v>
      </c>
      <c r="M13" s="675">
        <f t="shared" ca="1" si="2"/>
        <v>0</v>
      </c>
      <c r="N13" s="675">
        <f t="shared" ca="1" si="2"/>
        <v>0</v>
      </c>
      <c r="O13" s="675">
        <f t="shared" ca="1" si="2"/>
        <v>0</v>
      </c>
      <c r="P13" s="701">
        <f t="shared" ca="1" si="3"/>
        <v>0</v>
      </c>
      <c r="Q13" s="664"/>
      <c r="R13" s="491"/>
      <c r="S13" s="415" t="s">
        <v>308</v>
      </c>
      <c r="T13" s="416" t="s">
        <v>405</v>
      </c>
    </row>
    <row r="14" spans="1:20">
      <c r="A14" s="336">
        <f t="shared" si="4"/>
        <v>56</v>
      </c>
      <c r="B14" s="611">
        <f t="shared" si="5"/>
        <v>4</v>
      </c>
      <c r="C14" s="667" t="str">
        <f t="shared" ca="1" si="1"/>
        <v/>
      </c>
      <c r="D14" s="674">
        <f t="shared" ca="1" si="2"/>
        <v>0</v>
      </c>
      <c r="E14" s="674">
        <f t="shared" ca="1" si="2"/>
        <v>0</v>
      </c>
      <c r="F14" s="674">
        <f t="shared" ca="1" si="2"/>
        <v>0</v>
      </c>
      <c r="G14" s="674">
        <f t="shared" ca="1" si="2"/>
        <v>0</v>
      </c>
      <c r="H14" s="674">
        <f t="shared" ca="1" si="2"/>
        <v>0</v>
      </c>
      <c r="I14" s="674">
        <f t="shared" ca="1" si="2"/>
        <v>0</v>
      </c>
      <c r="J14" s="674">
        <f t="shared" ca="1" si="2"/>
        <v>0</v>
      </c>
      <c r="K14" s="674">
        <f t="shared" ca="1" si="2"/>
        <v>0</v>
      </c>
      <c r="L14" s="674">
        <f t="shared" ca="1" si="2"/>
        <v>0</v>
      </c>
      <c r="M14" s="674">
        <f t="shared" ca="1" si="2"/>
        <v>0</v>
      </c>
      <c r="N14" s="674">
        <f t="shared" ca="1" si="2"/>
        <v>0</v>
      </c>
      <c r="O14" s="674">
        <f t="shared" ca="1" si="2"/>
        <v>0</v>
      </c>
      <c r="P14" s="700">
        <f t="shared" ca="1" si="3"/>
        <v>0</v>
      </c>
      <c r="Q14" s="665"/>
      <c r="R14" s="493"/>
      <c r="S14" s="415" t="s">
        <v>310</v>
      </c>
      <c r="T14" s="416" t="s">
        <v>406</v>
      </c>
    </row>
    <row r="15" spans="1:20">
      <c r="A15" s="336">
        <f t="shared" si="4"/>
        <v>57</v>
      </c>
      <c r="B15" s="615">
        <f t="shared" si="5"/>
        <v>5</v>
      </c>
      <c r="C15" s="668" t="str">
        <f t="shared" ca="1" si="1"/>
        <v/>
      </c>
      <c r="D15" s="675">
        <f t="shared" ca="1" si="2"/>
        <v>0</v>
      </c>
      <c r="E15" s="675">
        <f t="shared" ca="1" si="2"/>
        <v>0</v>
      </c>
      <c r="F15" s="675">
        <f t="shared" ca="1" si="2"/>
        <v>0</v>
      </c>
      <c r="G15" s="675">
        <f t="shared" ca="1" si="2"/>
        <v>0</v>
      </c>
      <c r="H15" s="675">
        <f t="shared" ca="1" si="2"/>
        <v>0</v>
      </c>
      <c r="I15" s="675">
        <f t="shared" ca="1" si="2"/>
        <v>0</v>
      </c>
      <c r="J15" s="675">
        <f t="shared" ca="1" si="2"/>
        <v>0</v>
      </c>
      <c r="K15" s="675">
        <f t="shared" ca="1" si="2"/>
        <v>0</v>
      </c>
      <c r="L15" s="675">
        <f t="shared" ca="1" si="2"/>
        <v>0</v>
      </c>
      <c r="M15" s="675">
        <f t="shared" ca="1" si="2"/>
        <v>0</v>
      </c>
      <c r="N15" s="675">
        <f t="shared" ca="1" si="2"/>
        <v>0</v>
      </c>
      <c r="O15" s="675">
        <f t="shared" ca="1" si="2"/>
        <v>0</v>
      </c>
      <c r="P15" s="701">
        <f t="shared" ca="1" si="3"/>
        <v>0</v>
      </c>
      <c r="Q15" s="664"/>
      <c r="R15" s="491"/>
      <c r="S15" s="422" t="s">
        <v>312</v>
      </c>
      <c r="T15" s="423" t="s">
        <v>407</v>
      </c>
    </row>
    <row r="16" spans="1:20">
      <c r="A16" s="336">
        <f t="shared" si="4"/>
        <v>58</v>
      </c>
      <c r="B16" s="611">
        <f t="shared" si="5"/>
        <v>6</v>
      </c>
      <c r="C16" s="667" t="str">
        <f t="shared" ca="1" si="1"/>
        <v/>
      </c>
      <c r="D16" s="674">
        <f t="shared" ca="1" si="2"/>
        <v>0</v>
      </c>
      <c r="E16" s="674">
        <f t="shared" ca="1" si="2"/>
        <v>0</v>
      </c>
      <c r="F16" s="674">
        <f t="shared" ca="1" si="2"/>
        <v>0</v>
      </c>
      <c r="G16" s="674">
        <f t="shared" ca="1" si="2"/>
        <v>0</v>
      </c>
      <c r="H16" s="674">
        <f t="shared" ca="1" si="2"/>
        <v>0</v>
      </c>
      <c r="I16" s="674">
        <f t="shared" ca="1" si="2"/>
        <v>0</v>
      </c>
      <c r="J16" s="674">
        <f t="shared" ca="1" si="2"/>
        <v>0</v>
      </c>
      <c r="K16" s="674">
        <f t="shared" ca="1" si="2"/>
        <v>0</v>
      </c>
      <c r="L16" s="674">
        <f t="shared" ca="1" si="2"/>
        <v>0</v>
      </c>
      <c r="M16" s="674">
        <f t="shared" ca="1" si="2"/>
        <v>0</v>
      </c>
      <c r="N16" s="674">
        <f t="shared" ca="1" si="2"/>
        <v>0</v>
      </c>
      <c r="O16" s="674">
        <f t="shared" ca="1" si="2"/>
        <v>0</v>
      </c>
      <c r="P16" s="700">
        <f t="shared" ca="1" si="3"/>
        <v>0</v>
      </c>
      <c r="Q16" s="665"/>
      <c r="R16" s="493"/>
    </row>
    <row r="17" spans="1:18">
      <c r="A17" s="336">
        <f t="shared" si="4"/>
        <v>59</v>
      </c>
      <c r="B17" s="615">
        <f t="shared" si="5"/>
        <v>7</v>
      </c>
      <c r="C17" s="668" t="str">
        <f t="shared" ca="1" si="1"/>
        <v/>
      </c>
      <c r="D17" s="675">
        <f t="shared" ca="1" si="2"/>
        <v>0</v>
      </c>
      <c r="E17" s="675">
        <f t="shared" ca="1" si="2"/>
        <v>0</v>
      </c>
      <c r="F17" s="675">
        <f t="shared" ca="1" si="2"/>
        <v>0</v>
      </c>
      <c r="G17" s="675">
        <f t="shared" ca="1" si="2"/>
        <v>0</v>
      </c>
      <c r="H17" s="675">
        <f t="shared" ca="1" si="2"/>
        <v>0</v>
      </c>
      <c r="I17" s="675">
        <f t="shared" ca="1" si="2"/>
        <v>0</v>
      </c>
      <c r="J17" s="675">
        <f t="shared" ca="1" si="2"/>
        <v>0</v>
      </c>
      <c r="K17" s="675">
        <f t="shared" ca="1" si="2"/>
        <v>0</v>
      </c>
      <c r="L17" s="675">
        <f t="shared" ca="1" si="2"/>
        <v>0</v>
      </c>
      <c r="M17" s="675">
        <f t="shared" ca="1" si="2"/>
        <v>0</v>
      </c>
      <c r="N17" s="675">
        <f t="shared" ca="1" si="2"/>
        <v>0</v>
      </c>
      <c r="O17" s="675">
        <f t="shared" ca="1" si="2"/>
        <v>0</v>
      </c>
      <c r="P17" s="701">
        <f t="shared" ca="1" si="3"/>
        <v>0</v>
      </c>
      <c r="Q17" s="664"/>
      <c r="R17" s="491"/>
    </row>
    <row r="18" spans="1:18">
      <c r="A18" s="336">
        <f t="shared" si="4"/>
        <v>60</v>
      </c>
      <c r="B18" s="611">
        <f t="shared" si="5"/>
        <v>8</v>
      </c>
      <c r="C18" s="667" t="str">
        <f t="shared" ca="1" si="1"/>
        <v/>
      </c>
      <c r="D18" s="674">
        <f t="shared" ca="1" si="2"/>
        <v>0</v>
      </c>
      <c r="E18" s="674">
        <f t="shared" ca="1" si="2"/>
        <v>0</v>
      </c>
      <c r="F18" s="674">
        <f t="shared" ca="1" si="2"/>
        <v>0</v>
      </c>
      <c r="G18" s="674">
        <f t="shared" ca="1" si="2"/>
        <v>0</v>
      </c>
      <c r="H18" s="674">
        <f t="shared" ca="1" si="2"/>
        <v>0</v>
      </c>
      <c r="I18" s="674">
        <f t="shared" ca="1" si="2"/>
        <v>0</v>
      </c>
      <c r="J18" s="674">
        <f t="shared" ca="1" si="2"/>
        <v>0</v>
      </c>
      <c r="K18" s="674">
        <f t="shared" ca="1" si="2"/>
        <v>0</v>
      </c>
      <c r="L18" s="674">
        <f t="shared" ca="1" si="2"/>
        <v>0</v>
      </c>
      <c r="M18" s="674">
        <f t="shared" ca="1" si="2"/>
        <v>0</v>
      </c>
      <c r="N18" s="674">
        <f t="shared" ca="1" si="2"/>
        <v>0</v>
      </c>
      <c r="O18" s="674">
        <f t="shared" ca="1" si="2"/>
        <v>0</v>
      </c>
      <c r="P18" s="700">
        <f t="shared" ca="1" si="3"/>
        <v>0</v>
      </c>
      <c r="Q18" s="665"/>
      <c r="R18" s="493"/>
    </row>
    <row r="19" spans="1:18">
      <c r="A19" s="336">
        <f t="shared" si="4"/>
        <v>61</v>
      </c>
      <c r="B19" s="615">
        <f t="shared" si="5"/>
        <v>9</v>
      </c>
      <c r="C19" s="668" t="str">
        <f t="shared" ca="1" si="1"/>
        <v/>
      </c>
      <c r="D19" s="675">
        <f t="shared" ca="1" si="2"/>
        <v>0</v>
      </c>
      <c r="E19" s="675">
        <f t="shared" ca="1" si="2"/>
        <v>0</v>
      </c>
      <c r="F19" s="675">
        <f t="shared" ca="1" si="2"/>
        <v>0</v>
      </c>
      <c r="G19" s="675">
        <f t="shared" ca="1" si="2"/>
        <v>0</v>
      </c>
      <c r="H19" s="675">
        <f t="shared" ca="1" si="2"/>
        <v>0</v>
      </c>
      <c r="I19" s="675">
        <f t="shared" ca="1" si="2"/>
        <v>0</v>
      </c>
      <c r="J19" s="675">
        <f t="shared" ca="1" si="2"/>
        <v>0</v>
      </c>
      <c r="K19" s="675">
        <f t="shared" ca="1" si="2"/>
        <v>0</v>
      </c>
      <c r="L19" s="675">
        <f t="shared" ca="1" si="2"/>
        <v>0</v>
      </c>
      <c r="M19" s="675">
        <f t="shared" ca="1" si="2"/>
        <v>0</v>
      </c>
      <c r="N19" s="675">
        <f t="shared" ca="1" si="2"/>
        <v>0</v>
      </c>
      <c r="O19" s="675">
        <f t="shared" ca="1" si="2"/>
        <v>0</v>
      </c>
      <c r="P19" s="701">
        <f t="shared" ca="1" si="3"/>
        <v>0</v>
      </c>
      <c r="Q19" s="664"/>
      <c r="R19" s="491"/>
    </row>
    <row r="20" spans="1:18">
      <c r="A20" s="336">
        <f t="shared" si="4"/>
        <v>62</v>
      </c>
      <c r="B20" s="611">
        <f t="shared" si="5"/>
        <v>10</v>
      </c>
      <c r="C20" s="667" t="str">
        <f t="shared" ca="1" si="1"/>
        <v/>
      </c>
      <c r="D20" s="674">
        <f t="shared" ca="1" si="2"/>
        <v>0</v>
      </c>
      <c r="E20" s="674">
        <f t="shared" ca="1" si="2"/>
        <v>0</v>
      </c>
      <c r="F20" s="674">
        <f t="shared" ca="1" si="2"/>
        <v>0</v>
      </c>
      <c r="G20" s="674">
        <f t="shared" ca="1" si="2"/>
        <v>0</v>
      </c>
      <c r="H20" s="674">
        <f t="shared" ca="1" si="2"/>
        <v>0</v>
      </c>
      <c r="I20" s="674">
        <f t="shared" ca="1" si="2"/>
        <v>0</v>
      </c>
      <c r="J20" s="674">
        <f t="shared" ca="1" si="2"/>
        <v>0</v>
      </c>
      <c r="K20" s="674">
        <f t="shared" ca="1" si="2"/>
        <v>0</v>
      </c>
      <c r="L20" s="674">
        <f t="shared" ca="1" si="2"/>
        <v>0</v>
      </c>
      <c r="M20" s="674">
        <f t="shared" ca="1" si="2"/>
        <v>0</v>
      </c>
      <c r="N20" s="674">
        <f t="shared" ca="1" si="2"/>
        <v>0</v>
      </c>
      <c r="O20" s="674">
        <f t="shared" ca="1" si="2"/>
        <v>0</v>
      </c>
      <c r="P20" s="700">
        <f t="shared" ca="1" si="3"/>
        <v>0</v>
      </c>
      <c r="Q20" s="665"/>
      <c r="R20" s="493"/>
    </row>
    <row r="21" spans="1:18">
      <c r="A21" s="336">
        <f t="shared" si="4"/>
        <v>63</v>
      </c>
      <c r="B21" s="615">
        <f t="shared" si="5"/>
        <v>11</v>
      </c>
      <c r="C21" s="668" t="str">
        <f t="shared" ca="1" si="1"/>
        <v/>
      </c>
      <c r="D21" s="675">
        <f t="shared" ref="D21:O31" ca="1" si="6">INDIRECT($C$1&amp;"!"&amp;VLOOKUP(D$2,mdr,2,0)&amp;$A21)</f>
        <v>0</v>
      </c>
      <c r="E21" s="675">
        <f t="shared" ca="1" si="6"/>
        <v>0</v>
      </c>
      <c r="F21" s="675">
        <f t="shared" ca="1" si="6"/>
        <v>0</v>
      </c>
      <c r="G21" s="675">
        <f t="shared" ca="1" si="6"/>
        <v>0</v>
      </c>
      <c r="H21" s="675">
        <f t="shared" ca="1" si="6"/>
        <v>0</v>
      </c>
      <c r="I21" s="675">
        <f t="shared" ca="1" si="6"/>
        <v>0</v>
      </c>
      <c r="J21" s="675">
        <f t="shared" ca="1" si="6"/>
        <v>0</v>
      </c>
      <c r="K21" s="675">
        <f t="shared" ca="1" si="6"/>
        <v>0</v>
      </c>
      <c r="L21" s="675">
        <f t="shared" ca="1" si="6"/>
        <v>0</v>
      </c>
      <c r="M21" s="675">
        <f t="shared" ca="1" si="6"/>
        <v>0</v>
      </c>
      <c r="N21" s="675">
        <f t="shared" ca="1" si="6"/>
        <v>0</v>
      </c>
      <c r="O21" s="675">
        <f t="shared" ca="1" si="6"/>
        <v>0</v>
      </c>
      <c r="P21" s="701">
        <f t="shared" ca="1" si="3"/>
        <v>0</v>
      </c>
      <c r="Q21" s="664"/>
      <c r="R21" s="491"/>
    </row>
    <row r="22" spans="1:18">
      <c r="A22" s="336">
        <f t="shared" si="4"/>
        <v>64</v>
      </c>
      <c r="B22" s="611">
        <f t="shared" si="5"/>
        <v>12</v>
      </c>
      <c r="C22" s="667" t="str">
        <f t="shared" ca="1" si="1"/>
        <v/>
      </c>
      <c r="D22" s="674">
        <f t="shared" ca="1" si="6"/>
        <v>0</v>
      </c>
      <c r="E22" s="674">
        <f t="shared" ca="1" si="6"/>
        <v>0</v>
      </c>
      <c r="F22" s="674">
        <f t="shared" ca="1" si="6"/>
        <v>0</v>
      </c>
      <c r="G22" s="674">
        <f t="shared" ca="1" si="6"/>
        <v>0</v>
      </c>
      <c r="H22" s="674">
        <f t="shared" ca="1" si="6"/>
        <v>0</v>
      </c>
      <c r="I22" s="674">
        <f t="shared" ca="1" si="6"/>
        <v>0</v>
      </c>
      <c r="J22" s="674">
        <f t="shared" ca="1" si="6"/>
        <v>0</v>
      </c>
      <c r="K22" s="674">
        <f t="shared" ca="1" si="6"/>
        <v>0</v>
      </c>
      <c r="L22" s="674">
        <f t="shared" ca="1" si="6"/>
        <v>0</v>
      </c>
      <c r="M22" s="674">
        <f t="shared" ca="1" si="6"/>
        <v>0</v>
      </c>
      <c r="N22" s="674">
        <f t="shared" ca="1" si="6"/>
        <v>0</v>
      </c>
      <c r="O22" s="674">
        <f t="shared" ca="1" si="6"/>
        <v>0</v>
      </c>
      <c r="P22" s="700">
        <f t="shared" ca="1" si="3"/>
        <v>0</v>
      </c>
      <c r="Q22" s="665"/>
      <c r="R22" s="493"/>
    </row>
    <row r="23" spans="1:18">
      <c r="A23" s="336">
        <f t="shared" si="4"/>
        <v>65</v>
      </c>
      <c r="B23" s="615">
        <f t="shared" si="5"/>
        <v>13</v>
      </c>
      <c r="C23" s="668" t="str">
        <f t="shared" ca="1" si="1"/>
        <v/>
      </c>
      <c r="D23" s="675">
        <f t="shared" ca="1" si="6"/>
        <v>0</v>
      </c>
      <c r="E23" s="675">
        <f t="shared" ca="1" si="6"/>
        <v>0</v>
      </c>
      <c r="F23" s="675">
        <f t="shared" ca="1" si="6"/>
        <v>0</v>
      </c>
      <c r="G23" s="675">
        <f t="shared" ca="1" si="6"/>
        <v>0</v>
      </c>
      <c r="H23" s="675">
        <f t="shared" ca="1" si="6"/>
        <v>0</v>
      </c>
      <c r="I23" s="675">
        <f t="shared" ca="1" si="6"/>
        <v>0</v>
      </c>
      <c r="J23" s="675">
        <f t="shared" ca="1" si="6"/>
        <v>0</v>
      </c>
      <c r="K23" s="675">
        <f t="shared" ca="1" si="6"/>
        <v>0</v>
      </c>
      <c r="L23" s="675">
        <f t="shared" ca="1" si="6"/>
        <v>0</v>
      </c>
      <c r="M23" s="675">
        <f t="shared" ca="1" si="6"/>
        <v>0</v>
      </c>
      <c r="N23" s="675">
        <f t="shared" ca="1" si="6"/>
        <v>0</v>
      </c>
      <c r="O23" s="675">
        <f t="shared" ca="1" si="6"/>
        <v>0</v>
      </c>
      <c r="P23" s="701">
        <f t="shared" ca="1" si="3"/>
        <v>0</v>
      </c>
      <c r="Q23" s="664"/>
      <c r="R23" s="491"/>
    </row>
    <row r="24" spans="1:18">
      <c r="A24" s="336">
        <f t="shared" si="4"/>
        <v>66</v>
      </c>
      <c r="B24" s="611">
        <f t="shared" si="5"/>
        <v>14</v>
      </c>
      <c r="C24" s="667" t="str">
        <f t="shared" ca="1" si="1"/>
        <v/>
      </c>
      <c r="D24" s="674">
        <f t="shared" ca="1" si="6"/>
        <v>0</v>
      </c>
      <c r="E24" s="674">
        <f t="shared" ca="1" si="6"/>
        <v>0</v>
      </c>
      <c r="F24" s="674">
        <f t="shared" ca="1" si="6"/>
        <v>0</v>
      </c>
      <c r="G24" s="674">
        <f t="shared" ca="1" si="6"/>
        <v>0</v>
      </c>
      <c r="H24" s="674">
        <f t="shared" ca="1" si="6"/>
        <v>0</v>
      </c>
      <c r="I24" s="674">
        <f t="shared" ca="1" si="6"/>
        <v>0</v>
      </c>
      <c r="J24" s="674">
        <f t="shared" ca="1" si="6"/>
        <v>0</v>
      </c>
      <c r="K24" s="674">
        <f t="shared" ca="1" si="6"/>
        <v>0</v>
      </c>
      <c r="L24" s="674">
        <f t="shared" ca="1" si="6"/>
        <v>0</v>
      </c>
      <c r="M24" s="674">
        <f t="shared" ca="1" si="6"/>
        <v>0</v>
      </c>
      <c r="N24" s="674">
        <f t="shared" ca="1" si="6"/>
        <v>0</v>
      </c>
      <c r="O24" s="674">
        <f t="shared" ca="1" si="6"/>
        <v>0</v>
      </c>
      <c r="P24" s="700">
        <f t="shared" ca="1" si="3"/>
        <v>0</v>
      </c>
      <c r="Q24" s="665"/>
      <c r="R24" s="493"/>
    </row>
    <row r="25" spans="1:18">
      <c r="A25" s="336">
        <f t="shared" si="4"/>
        <v>67</v>
      </c>
      <c r="B25" s="615">
        <f t="shared" si="5"/>
        <v>15</v>
      </c>
      <c r="C25" s="668" t="str">
        <f t="shared" ca="1" si="1"/>
        <v/>
      </c>
      <c r="D25" s="675">
        <f t="shared" ca="1" si="6"/>
        <v>0</v>
      </c>
      <c r="E25" s="675">
        <f t="shared" ca="1" si="6"/>
        <v>0</v>
      </c>
      <c r="F25" s="675">
        <f t="shared" ca="1" si="6"/>
        <v>0</v>
      </c>
      <c r="G25" s="675">
        <f t="shared" ca="1" si="6"/>
        <v>0</v>
      </c>
      <c r="H25" s="675">
        <f t="shared" ca="1" si="6"/>
        <v>0</v>
      </c>
      <c r="I25" s="675">
        <f t="shared" ca="1" si="6"/>
        <v>0</v>
      </c>
      <c r="J25" s="675">
        <f t="shared" ca="1" si="6"/>
        <v>0</v>
      </c>
      <c r="K25" s="675">
        <f t="shared" ca="1" si="6"/>
        <v>0</v>
      </c>
      <c r="L25" s="675">
        <f t="shared" ca="1" si="6"/>
        <v>0</v>
      </c>
      <c r="M25" s="675">
        <f t="shared" ca="1" si="6"/>
        <v>0</v>
      </c>
      <c r="N25" s="675">
        <f t="shared" ca="1" si="6"/>
        <v>0</v>
      </c>
      <c r="O25" s="675">
        <f t="shared" ca="1" si="6"/>
        <v>0</v>
      </c>
      <c r="P25" s="701">
        <f t="shared" ca="1" si="3"/>
        <v>0</v>
      </c>
      <c r="Q25" s="664"/>
      <c r="R25" s="491"/>
    </row>
    <row r="26" spans="1:18">
      <c r="A26" s="336">
        <f t="shared" si="4"/>
        <v>68</v>
      </c>
      <c r="B26" s="611">
        <f t="shared" si="5"/>
        <v>16</v>
      </c>
      <c r="C26" s="667" t="str">
        <f t="shared" ca="1" si="1"/>
        <v/>
      </c>
      <c r="D26" s="674">
        <f t="shared" ca="1" si="6"/>
        <v>0</v>
      </c>
      <c r="E26" s="674">
        <f t="shared" ca="1" si="6"/>
        <v>0</v>
      </c>
      <c r="F26" s="674">
        <f t="shared" ca="1" si="6"/>
        <v>0</v>
      </c>
      <c r="G26" s="674">
        <f t="shared" ca="1" si="6"/>
        <v>0</v>
      </c>
      <c r="H26" s="674">
        <f t="shared" ca="1" si="6"/>
        <v>0</v>
      </c>
      <c r="I26" s="674">
        <f t="shared" ca="1" si="6"/>
        <v>0</v>
      </c>
      <c r="J26" s="674">
        <f t="shared" ca="1" si="6"/>
        <v>0</v>
      </c>
      <c r="K26" s="674">
        <f t="shared" ca="1" si="6"/>
        <v>0</v>
      </c>
      <c r="L26" s="674">
        <f t="shared" ca="1" si="6"/>
        <v>0</v>
      </c>
      <c r="M26" s="674">
        <f t="shared" ca="1" si="6"/>
        <v>0</v>
      </c>
      <c r="N26" s="674">
        <f t="shared" ca="1" si="6"/>
        <v>0</v>
      </c>
      <c r="O26" s="674">
        <f t="shared" ca="1" si="6"/>
        <v>0</v>
      </c>
      <c r="P26" s="700">
        <f t="shared" ca="1" si="3"/>
        <v>0</v>
      </c>
      <c r="Q26" s="665"/>
      <c r="R26" s="493"/>
    </row>
    <row r="27" spans="1:18">
      <c r="A27" s="336">
        <f t="shared" si="4"/>
        <v>69</v>
      </c>
      <c r="B27" s="615">
        <f t="shared" si="5"/>
        <v>17</v>
      </c>
      <c r="C27" s="668" t="str">
        <f t="shared" ca="1" si="1"/>
        <v/>
      </c>
      <c r="D27" s="675">
        <f t="shared" ca="1" si="6"/>
        <v>0</v>
      </c>
      <c r="E27" s="675">
        <f t="shared" ca="1" si="6"/>
        <v>0</v>
      </c>
      <c r="F27" s="675">
        <f t="shared" ca="1" si="6"/>
        <v>0</v>
      </c>
      <c r="G27" s="675">
        <f t="shared" ca="1" si="6"/>
        <v>0</v>
      </c>
      <c r="H27" s="675">
        <f t="shared" ca="1" si="6"/>
        <v>0</v>
      </c>
      <c r="I27" s="675">
        <f t="shared" ca="1" si="6"/>
        <v>0</v>
      </c>
      <c r="J27" s="675">
        <f t="shared" ca="1" si="6"/>
        <v>0</v>
      </c>
      <c r="K27" s="675">
        <f t="shared" ca="1" si="6"/>
        <v>0</v>
      </c>
      <c r="L27" s="675">
        <f t="shared" ca="1" si="6"/>
        <v>0</v>
      </c>
      <c r="M27" s="675">
        <f t="shared" ca="1" si="6"/>
        <v>0</v>
      </c>
      <c r="N27" s="675">
        <f t="shared" ca="1" si="6"/>
        <v>0</v>
      </c>
      <c r="O27" s="675">
        <f t="shared" ca="1" si="6"/>
        <v>0</v>
      </c>
      <c r="P27" s="701">
        <f t="shared" ca="1" si="3"/>
        <v>0</v>
      </c>
      <c r="Q27" s="664"/>
      <c r="R27" s="491"/>
    </row>
    <row r="28" spans="1:18">
      <c r="A28" s="336">
        <f t="shared" si="4"/>
        <v>70</v>
      </c>
      <c r="B28" s="611">
        <f>B27+1</f>
        <v>18</v>
      </c>
      <c r="C28" s="667" t="str">
        <f t="shared" ca="1" si="1"/>
        <v/>
      </c>
      <c r="D28" s="674">
        <f t="shared" ca="1" si="6"/>
        <v>0</v>
      </c>
      <c r="E28" s="674">
        <f t="shared" ca="1" si="6"/>
        <v>0</v>
      </c>
      <c r="F28" s="674">
        <f t="shared" ca="1" si="6"/>
        <v>0</v>
      </c>
      <c r="G28" s="674">
        <f t="shared" ca="1" si="6"/>
        <v>0</v>
      </c>
      <c r="H28" s="674">
        <f t="shared" ca="1" si="6"/>
        <v>0</v>
      </c>
      <c r="I28" s="674">
        <f t="shared" ca="1" si="6"/>
        <v>0</v>
      </c>
      <c r="J28" s="674">
        <f t="shared" ca="1" si="6"/>
        <v>0</v>
      </c>
      <c r="K28" s="674">
        <f t="shared" ca="1" si="6"/>
        <v>0</v>
      </c>
      <c r="L28" s="674">
        <f t="shared" ca="1" si="6"/>
        <v>0</v>
      </c>
      <c r="M28" s="674">
        <f t="shared" ca="1" si="6"/>
        <v>0</v>
      </c>
      <c r="N28" s="674">
        <f t="shared" ca="1" si="6"/>
        <v>0</v>
      </c>
      <c r="O28" s="674">
        <f t="shared" ca="1" si="6"/>
        <v>0</v>
      </c>
      <c r="P28" s="700">
        <f t="shared" ca="1" si="3"/>
        <v>0</v>
      </c>
      <c r="Q28" s="665"/>
      <c r="R28" s="493"/>
    </row>
    <row r="29" spans="1:18">
      <c r="A29" s="336">
        <f t="shared" si="4"/>
        <v>71</v>
      </c>
      <c r="B29" s="615">
        <f>B28+1</f>
        <v>19</v>
      </c>
      <c r="C29" s="668" t="str">
        <f t="shared" ca="1" si="1"/>
        <v/>
      </c>
      <c r="D29" s="675">
        <f t="shared" ca="1" si="6"/>
        <v>0</v>
      </c>
      <c r="E29" s="675">
        <f t="shared" ca="1" si="6"/>
        <v>0</v>
      </c>
      <c r="F29" s="675">
        <f t="shared" ca="1" si="6"/>
        <v>0</v>
      </c>
      <c r="G29" s="675">
        <f t="shared" ca="1" si="6"/>
        <v>0</v>
      </c>
      <c r="H29" s="675">
        <f t="shared" ca="1" si="6"/>
        <v>0</v>
      </c>
      <c r="I29" s="675">
        <f t="shared" ca="1" si="6"/>
        <v>0</v>
      </c>
      <c r="J29" s="675">
        <f t="shared" ca="1" si="6"/>
        <v>0</v>
      </c>
      <c r="K29" s="675">
        <f t="shared" ca="1" si="6"/>
        <v>0</v>
      </c>
      <c r="L29" s="675">
        <f t="shared" ca="1" si="6"/>
        <v>0</v>
      </c>
      <c r="M29" s="675">
        <f t="shared" ca="1" si="6"/>
        <v>0</v>
      </c>
      <c r="N29" s="675">
        <f t="shared" ca="1" si="6"/>
        <v>0</v>
      </c>
      <c r="O29" s="675">
        <f t="shared" ca="1" si="6"/>
        <v>0</v>
      </c>
      <c r="P29" s="701">
        <f t="shared" ca="1" si="3"/>
        <v>0</v>
      </c>
      <c r="Q29" s="664"/>
      <c r="R29" s="491"/>
    </row>
    <row r="30" spans="1:18">
      <c r="A30" s="336">
        <f t="shared" si="4"/>
        <v>72</v>
      </c>
      <c r="B30" s="611">
        <f>B29+1</f>
        <v>20</v>
      </c>
      <c r="C30" s="667" t="str">
        <f t="shared" ca="1" si="1"/>
        <v/>
      </c>
      <c r="D30" s="674">
        <f t="shared" ca="1" si="6"/>
        <v>0</v>
      </c>
      <c r="E30" s="674">
        <f t="shared" ca="1" si="6"/>
        <v>0</v>
      </c>
      <c r="F30" s="674">
        <f t="shared" ca="1" si="6"/>
        <v>0</v>
      </c>
      <c r="G30" s="674">
        <f t="shared" ca="1" si="6"/>
        <v>0</v>
      </c>
      <c r="H30" s="674">
        <f t="shared" ca="1" si="6"/>
        <v>0</v>
      </c>
      <c r="I30" s="674">
        <f t="shared" ca="1" si="6"/>
        <v>0</v>
      </c>
      <c r="J30" s="674">
        <f t="shared" ca="1" si="6"/>
        <v>0</v>
      </c>
      <c r="K30" s="674">
        <f t="shared" ca="1" si="6"/>
        <v>0</v>
      </c>
      <c r="L30" s="674">
        <f t="shared" ca="1" si="6"/>
        <v>0</v>
      </c>
      <c r="M30" s="674">
        <f t="shared" ca="1" si="6"/>
        <v>0</v>
      </c>
      <c r="N30" s="674">
        <f t="shared" ca="1" si="6"/>
        <v>0</v>
      </c>
      <c r="O30" s="674">
        <f t="shared" ca="1" si="6"/>
        <v>0</v>
      </c>
      <c r="P30" s="700">
        <f t="shared" ca="1" si="3"/>
        <v>0</v>
      </c>
      <c r="Q30" s="665"/>
      <c r="R30" s="493"/>
    </row>
    <row r="31" spans="1:18">
      <c r="A31" s="336">
        <f t="shared" si="4"/>
        <v>73</v>
      </c>
      <c r="B31" s="615">
        <f>B30+1</f>
        <v>21</v>
      </c>
      <c r="C31" s="668" t="str">
        <f t="shared" ca="1" si="1"/>
        <v/>
      </c>
      <c r="D31" s="675">
        <f t="shared" ca="1" si="6"/>
        <v>0</v>
      </c>
      <c r="E31" s="675">
        <f t="shared" ca="1" si="6"/>
        <v>0</v>
      </c>
      <c r="F31" s="675">
        <f t="shared" ca="1" si="6"/>
        <v>0</v>
      </c>
      <c r="G31" s="675">
        <f t="shared" ca="1" si="6"/>
        <v>0</v>
      </c>
      <c r="H31" s="675">
        <f t="shared" ca="1" si="6"/>
        <v>0</v>
      </c>
      <c r="I31" s="675">
        <f t="shared" ca="1" si="6"/>
        <v>0</v>
      </c>
      <c r="J31" s="675">
        <f t="shared" ca="1" si="6"/>
        <v>0</v>
      </c>
      <c r="K31" s="675">
        <f t="shared" ca="1" si="6"/>
        <v>0</v>
      </c>
      <c r="L31" s="675">
        <f t="shared" ca="1" si="6"/>
        <v>0</v>
      </c>
      <c r="M31" s="675">
        <f t="shared" ca="1" si="6"/>
        <v>0</v>
      </c>
      <c r="N31" s="675">
        <f t="shared" ca="1" si="6"/>
        <v>0</v>
      </c>
      <c r="O31" s="675">
        <f t="shared" ca="1" si="6"/>
        <v>0</v>
      </c>
      <c r="P31" s="701">
        <f t="shared" ca="1" si="3"/>
        <v>0</v>
      </c>
      <c r="Q31" s="664"/>
      <c r="R31" s="491"/>
    </row>
    <row r="32" spans="1:18">
      <c r="A32" s="336">
        <f t="shared" si="4"/>
        <v>74</v>
      </c>
      <c r="B32" s="611">
        <f t="shared" ref="B32:B44" si="7">B31+1</f>
        <v>22</v>
      </c>
      <c r="C32" s="667" t="str">
        <f t="shared" ca="1" si="1"/>
        <v/>
      </c>
      <c r="D32" s="674">
        <f t="shared" ref="D32:O39" ca="1" si="8">INDIRECT($C$1&amp;"!"&amp;VLOOKUP(D$2,mdr,2,0)&amp;$A32)</f>
        <v>0</v>
      </c>
      <c r="E32" s="674">
        <f t="shared" ca="1" si="8"/>
        <v>0</v>
      </c>
      <c r="F32" s="674">
        <f t="shared" ca="1" si="8"/>
        <v>0</v>
      </c>
      <c r="G32" s="674">
        <f t="shared" ca="1" si="8"/>
        <v>0</v>
      </c>
      <c r="H32" s="674">
        <f t="shared" ca="1" si="8"/>
        <v>0</v>
      </c>
      <c r="I32" s="674">
        <f t="shared" ca="1" si="8"/>
        <v>0</v>
      </c>
      <c r="J32" s="674">
        <f t="shared" ca="1" si="8"/>
        <v>0</v>
      </c>
      <c r="K32" s="674">
        <f t="shared" ca="1" si="8"/>
        <v>0</v>
      </c>
      <c r="L32" s="674">
        <f t="shared" ca="1" si="8"/>
        <v>0</v>
      </c>
      <c r="M32" s="674">
        <f t="shared" ca="1" si="8"/>
        <v>0</v>
      </c>
      <c r="N32" s="674">
        <f t="shared" ca="1" si="8"/>
        <v>0</v>
      </c>
      <c r="O32" s="674">
        <f t="shared" ca="1" si="8"/>
        <v>0</v>
      </c>
      <c r="P32" s="700">
        <f t="shared" ca="1" si="3"/>
        <v>0</v>
      </c>
      <c r="Q32" s="665"/>
      <c r="R32" s="493"/>
    </row>
    <row r="33" spans="1:18">
      <c r="A33" s="336">
        <f t="shared" si="4"/>
        <v>75</v>
      </c>
      <c r="B33" s="615">
        <f t="shared" si="7"/>
        <v>23</v>
      </c>
      <c r="C33" s="668" t="str">
        <f t="shared" ca="1" si="1"/>
        <v/>
      </c>
      <c r="D33" s="675">
        <f t="shared" ca="1" si="8"/>
        <v>0</v>
      </c>
      <c r="E33" s="675">
        <f t="shared" ca="1" si="8"/>
        <v>0</v>
      </c>
      <c r="F33" s="675">
        <f t="shared" ca="1" si="8"/>
        <v>0</v>
      </c>
      <c r="G33" s="675">
        <f t="shared" ca="1" si="8"/>
        <v>0</v>
      </c>
      <c r="H33" s="675">
        <f t="shared" ca="1" si="8"/>
        <v>0</v>
      </c>
      <c r="I33" s="675">
        <f t="shared" ca="1" si="8"/>
        <v>0</v>
      </c>
      <c r="J33" s="675">
        <f t="shared" ca="1" si="8"/>
        <v>0</v>
      </c>
      <c r="K33" s="675">
        <f t="shared" ca="1" si="8"/>
        <v>0</v>
      </c>
      <c r="L33" s="675">
        <f t="shared" ca="1" si="8"/>
        <v>0</v>
      </c>
      <c r="M33" s="675">
        <f t="shared" ca="1" si="8"/>
        <v>0</v>
      </c>
      <c r="N33" s="675">
        <f t="shared" ca="1" si="8"/>
        <v>0</v>
      </c>
      <c r="O33" s="675">
        <f t="shared" ca="1" si="8"/>
        <v>0</v>
      </c>
      <c r="P33" s="701">
        <f t="shared" ca="1" si="3"/>
        <v>0</v>
      </c>
      <c r="Q33" s="664"/>
      <c r="R33" s="491"/>
    </row>
    <row r="34" spans="1:18">
      <c r="A34" s="336">
        <f t="shared" si="4"/>
        <v>76</v>
      </c>
      <c r="B34" s="611">
        <f t="shared" si="7"/>
        <v>24</v>
      </c>
      <c r="C34" s="667" t="str">
        <f t="shared" ca="1" si="1"/>
        <v/>
      </c>
      <c r="D34" s="674">
        <f t="shared" ca="1" si="8"/>
        <v>0</v>
      </c>
      <c r="E34" s="674">
        <f t="shared" ca="1" si="8"/>
        <v>0</v>
      </c>
      <c r="F34" s="674">
        <f t="shared" ca="1" si="8"/>
        <v>0</v>
      </c>
      <c r="G34" s="674">
        <f t="shared" ca="1" si="8"/>
        <v>0</v>
      </c>
      <c r="H34" s="674">
        <f t="shared" ca="1" si="8"/>
        <v>0</v>
      </c>
      <c r="I34" s="674">
        <f t="shared" ca="1" si="8"/>
        <v>0</v>
      </c>
      <c r="J34" s="674">
        <f t="shared" ca="1" si="8"/>
        <v>0</v>
      </c>
      <c r="K34" s="674">
        <f t="shared" ca="1" si="8"/>
        <v>0</v>
      </c>
      <c r="L34" s="674">
        <f t="shared" ca="1" si="8"/>
        <v>0</v>
      </c>
      <c r="M34" s="674">
        <f t="shared" ca="1" si="8"/>
        <v>0</v>
      </c>
      <c r="N34" s="674">
        <f t="shared" ca="1" si="8"/>
        <v>0</v>
      </c>
      <c r="O34" s="674">
        <f t="shared" ca="1" si="8"/>
        <v>0</v>
      </c>
      <c r="P34" s="700">
        <f t="shared" ca="1" si="3"/>
        <v>0</v>
      </c>
      <c r="Q34" s="665"/>
      <c r="R34" s="493"/>
    </row>
    <row r="35" spans="1:18">
      <c r="A35" s="336">
        <f t="shared" si="4"/>
        <v>77</v>
      </c>
      <c r="B35" s="615">
        <f t="shared" si="7"/>
        <v>25</v>
      </c>
      <c r="C35" s="668" t="str">
        <f t="shared" ca="1" si="1"/>
        <v/>
      </c>
      <c r="D35" s="675">
        <f t="shared" ca="1" si="8"/>
        <v>0</v>
      </c>
      <c r="E35" s="675">
        <f t="shared" ca="1" si="8"/>
        <v>0</v>
      </c>
      <c r="F35" s="675">
        <f t="shared" ca="1" si="8"/>
        <v>0</v>
      </c>
      <c r="G35" s="675">
        <f t="shared" ca="1" si="8"/>
        <v>0</v>
      </c>
      <c r="H35" s="675">
        <f t="shared" ca="1" si="8"/>
        <v>0</v>
      </c>
      <c r="I35" s="675">
        <f t="shared" ca="1" si="8"/>
        <v>0</v>
      </c>
      <c r="J35" s="675">
        <f t="shared" ca="1" si="8"/>
        <v>0</v>
      </c>
      <c r="K35" s="675">
        <f t="shared" ca="1" si="8"/>
        <v>0</v>
      </c>
      <c r="L35" s="675">
        <f t="shared" ca="1" si="8"/>
        <v>0</v>
      </c>
      <c r="M35" s="675">
        <f t="shared" ca="1" si="8"/>
        <v>0</v>
      </c>
      <c r="N35" s="675">
        <f t="shared" ca="1" si="8"/>
        <v>0</v>
      </c>
      <c r="O35" s="675">
        <f t="shared" ca="1" si="8"/>
        <v>0</v>
      </c>
      <c r="P35" s="701">
        <f t="shared" ca="1" si="3"/>
        <v>0</v>
      </c>
      <c r="Q35" s="664"/>
      <c r="R35" s="491"/>
    </row>
    <row r="36" spans="1:18">
      <c r="A36" s="336">
        <f t="shared" si="4"/>
        <v>78</v>
      </c>
      <c r="B36" s="611">
        <f t="shared" si="7"/>
        <v>26</v>
      </c>
      <c r="C36" s="667" t="str">
        <f t="shared" ca="1" si="1"/>
        <v/>
      </c>
      <c r="D36" s="674">
        <f t="shared" ca="1" si="8"/>
        <v>0</v>
      </c>
      <c r="E36" s="674">
        <f t="shared" ca="1" si="8"/>
        <v>0</v>
      </c>
      <c r="F36" s="674">
        <f t="shared" ca="1" si="8"/>
        <v>0</v>
      </c>
      <c r="G36" s="674">
        <f t="shared" ca="1" si="8"/>
        <v>0</v>
      </c>
      <c r="H36" s="674">
        <f t="shared" ca="1" si="8"/>
        <v>0</v>
      </c>
      <c r="I36" s="674">
        <f t="shared" ca="1" si="8"/>
        <v>0</v>
      </c>
      <c r="J36" s="674">
        <f t="shared" ca="1" si="8"/>
        <v>0</v>
      </c>
      <c r="K36" s="674">
        <f t="shared" ca="1" si="8"/>
        <v>0</v>
      </c>
      <c r="L36" s="674">
        <f t="shared" ca="1" si="8"/>
        <v>0</v>
      </c>
      <c r="M36" s="674">
        <f t="shared" ca="1" si="8"/>
        <v>0</v>
      </c>
      <c r="N36" s="674">
        <f t="shared" ca="1" si="8"/>
        <v>0</v>
      </c>
      <c r="O36" s="674">
        <f t="shared" ca="1" si="8"/>
        <v>0</v>
      </c>
      <c r="P36" s="700">
        <f t="shared" ca="1" si="3"/>
        <v>0</v>
      </c>
      <c r="Q36" s="665"/>
      <c r="R36" s="493"/>
    </row>
    <row r="37" spans="1:18">
      <c r="A37" s="336">
        <f t="shared" si="4"/>
        <v>79</v>
      </c>
      <c r="B37" s="615">
        <f t="shared" si="7"/>
        <v>27</v>
      </c>
      <c r="C37" s="668" t="str">
        <f t="shared" ca="1" si="1"/>
        <v/>
      </c>
      <c r="D37" s="675">
        <f t="shared" ca="1" si="8"/>
        <v>0</v>
      </c>
      <c r="E37" s="675">
        <f t="shared" ca="1" si="8"/>
        <v>0</v>
      </c>
      <c r="F37" s="675">
        <f t="shared" ca="1" si="8"/>
        <v>0</v>
      </c>
      <c r="G37" s="675">
        <f t="shared" ca="1" si="8"/>
        <v>0</v>
      </c>
      <c r="H37" s="675">
        <f t="shared" ca="1" si="8"/>
        <v>0</v>
      </c>
      <c r="I37" s="675">
        <f t="shared" ca="1" si="8"/>
        <v>0</v>
      </c>
      <c r="J37" s="675">
        <f t="shared" ca="1" si="8"/>
        <v>0</v>
      </c>
      <c r="K37" s="675">
        <f t="shared" ca="1" si="8"/>
        <v>0</v>
      </c>
      <c r="L37" s="675">
        <f t="shared" ca="1" si="8"/>
        <v>0</v>
      </c>
      <c r="M37" s="675">
        <f t="shared" ca="1" si="8"/>
        <v>0</v>
      </c>
      <c r="N37" s="675">
        <f t="shared" ca="1" si="8"/>
        <v>0</v>
      </c>
      <c r="O37" s="675">
        <f t="shared" ca="1" si="8"/>
        <v>0</v>
      </c>
      <c r="P37" s="701">
        <f t="shared" ca="1" si="3"/>
        <v>0</v>
      </c>
      <c r="Q37" s="664"/>
      <c r="R37" s="491"/>
    </row>
    <row r="38" spans="1:18">
      <c r="A38" s="336">
        <f t="shared" si="4"/>
        <v>80</v>
      </c>
      <c r="B38" s="611">
        <f t="shared" si="7"/>
        <v>28</v>
      </c>
      <c r="C38" s="667" t="str">
        <f t="shared" ca="1" si="1"/>
        <v/>
      </c>
      <c r="D38" s="674">
        <f t="shared" ca="1" si="8"/>
        <v>0</v>
      </c>
      <c r="E38" s="674">
        <f t="shared" ca="1" si="8"/>
        <v>0</v>
      </c>
      <c r="F38" s="674">
        <f t="shared" ca="1" si="8"/>
        <v>0</v>
      </c>
      <c r="G38" s="674">
        <f t="shared" ca="1" si="8"/>
        <v>0</v>
      </c>
      <c r="H38" s="674">
        <f t="shared" ca="1" si="8"/>
        <v>0</v>
      </c>
      <c r="I38" s="674">
        <f t="shared" ca="1" si="8"/>
        <v>0</v>
      </c>
      <c r="J38" s="674">
        <f t="shared" ca="1" si="8"/>
        <v>0</v>
      </c>
      <c r="K38" s="674">
        <f t="shared" ca="1" si="8"/>
        <v>0</v>
      </c>
      <c r="L38" s="674">
        <f t="shared" ca="1" si="8"/>
        <v>0</v>
      </c>
      <c r="M38" s="674">
        <f t="shared" ca="1" si="8"/>
        <v>0</v>
      </c>
      <c r="N38" s="674">
        <f t="shared" ca="1" si="8"/>
        <v>0</v>
      </c>
      <c r="O38" s="674">
        <f t="shared" ca="1" si="8"/>
        <v>0</v>
      </c>
      <c r="P38" s="700">
        <f t="shared" ca="1" si="3"/>
        <v>0</v>
      </c>
      <c r="Q38" s="665"/>
      <c r="R38" s="493"/>
    </row>
    <row r="39" spans="1:18">
      <c r="A39" s="336">
        <f t="shared" si="4"/>
        <v>81</v>
      </c>
      <c r="B39" s="615">
        <f t="shared" si="7"/>
        <v>29</v>
      </c>
      <c r="C39" s="668" t="str">
        <f t="shared" ca="1" si="1"/>
        <v/>
      </c>
      <c r="D39" s="772">
        <f t="shared" ca="1" si="8"/>
        <v>0</v>
      </c>
      <c r="E39" s="772">
        <f t="shared" ca="1" si="8"/>
        <v>0</v>
      </c>
      <c r="F39" s="772">
        <f t="shared" ca="1" si="8"/>
        <v>0</v>
      </c>
      <c r="G39" s="772">
        <f t="shared" ca="1" si="8"/>
        <v>0</v>
      </c>
      <c r="H39" s="772">
        <f t="shared" ca="1" si="8"/>
        <v>0</v>
      </c>
      <c r="I39" s="772">
        <f t="shared" ca="1" si="8"/>
        <v>0</v>
      </c>
      <c r="J39" s="772">
        <f t="shared" ca="1" si="8"/>
        <v>0</v>
      </c>
      <c r="K39" s="772">
        <f t="shared" ca="1" si="8"/>
        <v>0</v>
      </c>
      <c r="L39" s="772">
        <f t="shared" ca="1" si="8"/>
        <v>0</v>
      </c>
      <c r="M39" s="772">
        <f t="shared" ca="1" si="8"/>
        <v>0</v>
      </c>
      <c r="N39" s="772">
        <f t="shared" ca="1" si="8"/>
        <v>0</v>
      </c>
      <c r="O39" s="772">
        <f t="shared" ca="1" si="8"/>
        <v>0</v>
      </c>
      <c r="P39" s="701">
        <f t="shared" ca="1" si="3"/>
        <v>0</v>
      </c>
      <c r="Q39" s="664"/>
      <c r="R39" s="491"/>
    </row>
    <row r="40" spans="1:18">
      <c r="A40" s="336">
        <f t="shared" si="4"/>
        <v>82</v>
      </c>
      <c r="B40" s="611">
        <f t="shared" si="7"/>
        <v>30</v>
      </c>
      <c r="C40" s="667" t="str">
        <f t="shared" ca="1" si="1"/>
        <v/>
      </c>
      <c r="D40" s="674">
        <f t="shared" ref="D40:O41" ca="1" si="9">INDIRECT($C$1&amp;"!"&amp;VLOOKUP(D$2,mdr,2,0)&amp;$A40)</f>
        <v>0</v>
      </c>
      <c r="E40" s="674">
        <f t="shared" ca="1" si="9"/>
        <v>0</v>
      </c>
      <c r="F40" s="674">
        <f t="shared" ca="1" si="9"/>
        <v>0</v>
      </c>
      <c r="G40" s="674">
        <f t="shared" ca="1" si="9"/>
        <v>0</v>
      </c>
      <c r="H40" s="674">
        <f t="shared" ca="1" si="9"/>
        <v>0</v>
      </c>
      <c r="I40" s="674">
        <f t="shared" ca="1" si="9"/>
        <v>0</v>
      </c>
      <c r="J40" s="674">
        <f t="shared" ca="1" si="9"/>
        <v>0</v>
      </c>
      <c r="K40" s="674">
        <f t="shared" ca="1" si="9"/>
        <v>0</v>
      </c>
      <c r="L40" s="674">
        <f t="shared" ca="1" si="9"/>
        <v>0</v>
      </c>
      <c r="M40" s="674">
        <f t="shared" ca="1" si="9"/>
        <v>0</v>
      </c>
      <c r="N40" s="674">
        <f t="shared" ca="1" si="9"/>
        <v>0</v>
      </c>
      <c r="O40" s="674">
        <f t="shared" ca="1" si="9"/>
        <v>0</v>
      </c>
      <c r="P40" s="700">
        <f t="shared" ca="1" si="3"/>
        <v>0</v>
      </c>
      <c r="Q40" s="665"/>
      <c r="R40" s="493"/>
    </row>
    <row r="41" spans="1:18">
      <c r="A41" s="336">
        <f t="shared" si="4"/>
        <v>83</v>
      </c>
      <c r="B41" s="615">
        <f t="shared" si="7"/>
        <v>31</v>
      </c>
      <c r="C41" s="668" t="str">
        <f t="shared" ca="1" si="1"/>
        <v/>
      </c>
      <c r="D41" s="675">
        <f t="shared" ca="1" si="9"/>
        <v>0</v>
      </c>
      <c r="E41" s="675">
        <f t="shared" ca="1" si="9"/>
        <v>0</v>
      </c>
      <c r="F41" s="675">
        <f t="shared" ca="1" si="9"/>
        <v>0</v>
      </c>
      <c r="G41" s="675">
        <f t="shared" ca="1" si="9"/>
        <v>0</v>
      </c>
      <c r="H41" s="675">
        <f t="shared" ca="1" si="9"/>
        <v>0</v>
      </c>
      <c r="I41" s="675">
        <f t="shared" ca="1" si="9"/>
        <v>0</v>
      </c>
      <c r="J41" s="675">
        <f t="shared" ca="1" si="9"/>
        <v>0</v>
      </c>
      <c r="K41" s="675">
        <f t="shared" ca="1" si="9"/>
        <v>0</v>
      </c>
      <c r="L41" s="675">
        <f t="shared" ca="1" si="9"/>
        <v>0</v>
      </c>
      <c r="M41" s="675">
        <f t="shared" ca="1" si="9"/>
        <v>0</v>
      </c>
      <c r="N41" s="675">
        <f t="shared" ca="1" si="9"/>
        <v>0</v>
      </c>
      <c r="O41" s="675">
        <f t="shared" ca="1" si="9"/>
        <v>0</v>
      </c>
      <c r="P41" s="701">
        <f t="shared" ca="1" si="3"/>
        <v>0</v>
      </c>
      <c r="Q41" s="664"/>
      <c r="R41" s="491"/>
    </row>
    <row r="42" spans="1:18">
      <c r="A42" s="336">
        <f t="shared" si="4"/>
        <v>84</v>
      </c>
      <c r="B42" s="611">
        <f t="shared" si="7"/>
        <v>32</v>
      </c>
      <c r="C42" s="667" t="str">
        <f t="shared" ca="1" si="1"/>
        <v/>
      </c>
      <c r="D42" s="674">
        <f ca="1">IF(ISNUMBER(INDIRECT($C$1&amp;"!"&amp;VLOOKUP(D$2,mdr,2,0)&amp;$A42)),INDIRECT($C$1&amp;"!"&amp;VLOOKUP(D$2,mdr,2,0)&amp;$A42),"")</f>
        <v>0</v>
      </c>
      <c r="E42" s="674">
        <f t="shared" ref="E42:O42" ca="1" si="10">IF(ISNUMBER(INDIRECT($C$1&amp;"!"&amp;VLOOKUP(E$2,mdr,2,0)&amp;$A42)),INDIRECT($C$1&amp;"!"&amp;VLOOKUP(E$2,mdr,2,0)&amp;$A42),"")</f>
        <v>0</v>
      </c>
      <c r="F42" s="674">
        <f t="shared" ca="1" si="10"/>
        <v>0</v>
      </c>
      <c r="G42" s="674">
        <f t="shared" ca="1" si="10"/>
        <v>0</v>
      </c>
      <c r="H42" s="674">
        <f t="shared" ca="1" si="10"/>
        <v>0</v>
      </c>
      <c r="I42" s="674">
        <f t="shared" ca="1" si="10"/>
        <v>0</v>
      </c>
      <c r="J42" s="674">
        <f t="shared" ca="1" si="10"/>
        <v>0</v>
      </c>
      <c r="K42" s="674">
        <f t="shared" ca="1" si="10"/>
        <v>0</v>
      </c>
      <c r="L42" s="674">
        <f t="shared" ca="1" si="10"/>
        <v>0</v>
      </c>
      <c r="M42" s="674">
        <f t="shared" ca="1" si="10"/>
        <v>0</v>
      </c>
      <c r="N42" s="674">
        <f t="shared" ca="1" si="10"/>
        <v>0</v>
      </c>
      <c r="O42" s="674">
        <f t="shared" ca="1" si="10"/>
        <v>0</v>
      </c>
      <c r="P42" s="700">
        <f t="shared" ca="1" si="3"/>
        <v>0</v>
      </c>
      <c r="Q42" s="665"/>
      <c r="R42" s="493"/>
    </row>
    <row r="43" spans="1:18">
      <c r="A43" s="336">
        <f t="shared" si="4"/>
        <v>85</v>
      </c>
      <c r="B43" s="615">
        <f t="shared" si="7"/>
        <v>33</v>
      </c>
      <c r="C43" s="668" t="str">
        <f t="shared" ca="1" si="1"/>
        <v/>
      </c>
      <c r="D43" s="675">
        <f t="shared" ref="D43:O49" ca="1" si="11">INDIRECT($C$1&amp;"!"&amp;VLOOKUP(D$2,mdr,2,0)&amp;$A43)</f>
        <v>0</v>
      </c>
      <c r="E43" s="675">
        <f t="shared" ca="1" si="11"/>
        <v>0</v>
      </c>
      <c r="F43" s="675">
        <f t="shared" ca="1" si="11"/>
        <v>0</v>
      </c>
      <c r="G43" s="675">
        <f t="shared" ca="1" si="11"/>
        <v>0</v>
      </c>
      <c r="H43" s="675">
        <f t="shared" ca="1" si="11"/>
        <v>0</v>
      </c>
      <c r="I43" s="675">
        <f t="shared" ca="1" si="11"/>
        <v>0</v>
      </c>
      <c r="J43" s="675">
        <f t="shared" ca="1" si="11"/>
        <v>0</v>
      </c>
      <c r="K43" s="675">
        <f t="shared" ca="1" si="11"/>
        <v>0</v>
      </c>
      <c r="L43" s="675">
        <f t="shared" ca="1" si="11"/>
        <v>0</v>
      </c>
      <c r="M43" s="675">
        <f t="shared" ca="1" si="11"/>
        <v>0</v>
      </c>
      <c r="N43" s="675">
        <f t="shared" ca="1" si="11"/>
        <v>0</v>
      </c>
      <c r="O43" s="675">
        <f t="shared" ca="1" si="11"/>
        <v>0</v>
      </c>
      <c r="P43" s="701">
        <f t="shared" ca="1" si="3"/>
        <v>0</v>
      </c>
      <c r="Q43" s="664"/>
      <c r="R43" s="491"/>
    </row>
    <row r="44" spans="1:18">
      <c r="A44" s="336">
        <f t="shared" si="4"/>
        <v>86</v>
      </c>
      <c r="B44" s="611">
        <f t="shared" si="7"/>
        <v>34</v>
      </c>
      <c r="C44" s="667" t="str">
        <f t="shared" ca="1" si="1"/>
        <v/>
      </c>
      <c r="D44" s="674">
        <f t="shared" ca="1" si="11"/>
        <v>0</v>
      </c>
      <c r="E44" s="674">
        <f t="shared" ca="1" si="11"/>
        <v>0</v>
      </c>
      <c r="F44" s="674">
        <f t="shared" ca="1" si="11"/>
        <v>0</v>
      </c>
      <c r="G44" s="674">
        <f t="shared" ca="1" si="11"/>
        <v>0</v>
      </c>
      <c r="H44" s="674">
        <f t="shared" ca="1" si="11"/>
        <v>0</v>
      </c>
      <c r="I44" s="674">
        <f t="shared" ca="1" si="11"/>
        <v>0</v>
      </c>
      <c r="J44" s="674">
        <f t="shared" ca="1" si="11"/>
        <v>0</v>
      </c>
      <c r="K44" s="674">
        <f t="shared" ca="1" si="11"/>
        <v>0</v>
      </c>
      <c r="L44" s="674">
        <f t="shared" ca="1" si="11"/>
        <v>0</v>
      </c>
      <c r="M44" s="674">
        <f t="shared" ca="1" si="11"/>
        <v>0</v>
      </c>
      <c r="N44" s="674">
        <f t="shared" ca="1" si="11"/>
        <v>0</v>
      </c>
      <c r="O44" s="674">
        <f t="shared" ca="1" si="11"/>
        <v>0</v>
      </c>
      <c r="P44" s="700">
        <f t="shared" ref="P44:P70" ca="1" si="12">SUM(D44:O44)</f>
        <v>0</v>
      </c>
      <c r="Q44" s="665"/>
      <c r="R44" s="493"/>
    </row>
    <row r="45" spans="1:18">
      <c r="A45" s="336">
        <f t="shared" si="4"/>
        <v>87</v>
      </c>
      <c r="B45" s="615">
        <f t="shared" ref="B45:B89" si="13">B44+1</f>
        <v>35</v>
      </c>
      <c r="C45" s="668" t="str">
        <f t="shared" ca="1" si="1"/>
        <v/>
      </c>
      <c r="D45" s="675">
        <f t="shared" ca="1" si="11"/>
        <v>0</v>
      </c>
      <c r="E45" s="675">
        <f t="shared" ca="1" si="11"/>
        <v>0</v>
      </c>
      <c r="F45" s="675">
        <f t="shared" ca="1" si="11"/>
        <v>0</v>
      </c>
      <c r="G45" s="675">
        <f t="shared" ca="1" si="11"/>
        <v>0</v>
      </c>
      <c r="H45" s="675">
        <f t="shared" ca="1" si="11"/>
        <v>0</v>
      </c>
      <c r="I45" s="675">
        <f t="shared" ca="1" si="11"/>
        <v>0</v>
      </c>
      <c r="J45" s="675">
        <f t="shared" ca="1" si="11"/>
        <v>0</v>
      </c>
      <c r="K45" s="675">
        <f t="shared" ca="1" si="11"/>
        <v>0</v>
      </c>
      <c r="L45" s="675">
        <f t="shared" ca="1" si="11"/>
        <v>0</v>
      </c>
      <c r="M45" s="675">
        <f t="shared" ca="1" si="11"/>
        <v>0</v>
      </c>
      <c r="N45" s="675">
        <f t="shared" ca="1" si="11"/>
        <v>0</v>
      </c>
      <c r="O45" s="675">
        <f t="shared" ca="1" si="11"/>
        <v>0</v>
      </c>
      <c r="P45" s="701">
        <f t="shared" ca="1" si="12"/>
        <v>0</v>
      </c>
      <c r="Q45" s="664"/>
      <c r="R45" s="491"/>
    </row>
    <row r="46" spans="1:18">
      <c r="A46" s="336">
        <f t="shared" si="4"/>
        <v>88</v>
      </c>
      <c r="B46" s="1075">
        <f t="shared" si="13"/>
        <v>36</v>
      </c>
      <c r="C46" s="1110" t="str">
        <f t="shared" ca="1" si="1"/>
        <v/>
      </c>
      <c r="D46" s="1111">
        <f t="shared" ca="1" si="11"/>
        <v>0</v>
      </c>
      <c r="E46" s="1111">
        <f t="shared" ca="1" si="11"/>
        <v>0</v>
      </c>
      <c r="F46" s="1111">
        <f t="shared" ca="1" si="11"/>
        <v>0</v>
      </c>
      <c r="G46" s="1111">
        <f t="shared" ca="1" si="11"/>
        <v>0</v>
      </c>
      <c r="H46" s="1111">
        <f t="shared" ca="1" si="11"/>
        <v>0</v>
      </c>
      <c r="I46" s="1111">
        <f t="shared" ca="1" si="11"/>
        <v>0</v>
      </c>
      <c r="J46" s="1111">
        <f t="shared" ca="1" si="11"/>
        <v>0</v>
      </c>
      <c r="K46" s="1111">
        <f t="shared" ca="1" si="11"/>
        <v>0</v>
      </c>
      <c r="L46" s="1111">
        <f t="shared" ca="1" si="11"/>
        <v>0</v>
      </c>
      <c r="M46" s="1111">
        <f t="shared" ca="1" si="11"/>
        <v>0</v>
      </c>
      <c r="N46" s="1111">
        <f t="shared" ca="1" si="11"/>
        <v>0</v>
      </c>
      <c r="O46" s="1111">
        <f t="shared" ca="1" si="11"/>
        <v>0</v>
      </c>
      <c r="P46" s="1112">
        <f t="shared" ca="1" si="12"/>
        <v>0</v>
      </c>
      <c r="Q46" s="665"/>
      <c r="R46" s="493"/>
    </row>
    <row r="47" spans="1:18">
      <c r="A47" s="336">
        <f t="shared" si="4"/>
        <v>89</v>
      </c>
      <c r="B47" s="941">
        <f t="shared" si="13"/>
        <v>37</v>
      </c>
      <c r="C47" s="953" t="str">
        <f t="shared" ca="1" si="1"/>
        <v/>
      </c>
      <c r="D47" s="954">
        <f t="shared" ca="1" si="11"/>
        <v>0</v>
      </c>
      <c r="E47" s="954">
        <f t="shared" ca="1" si="11"/>
        <v>0</v>
      </c>
      <c r="F47" s="954">
        <f t="shared" ca="1" si="11"/>
        <v>0</v>
      </c>
      <c r="G47" s="954">
        <f t="shared" ca="1" si="11"/>
        <v>0</v>
      </c>
      <c r="H47" s="954">
        <f t="shared" ca="1" si="11"/>
        <v>0</v>
      </c>
      <c r="I47" s="954">
        <f t="shared" ca="1" si="11"/>
        <v>0</v>
      </c>
      <c r="J47" s="954">
        <f t="shared" ca="1" si="11"/>
        <v>0</v>
      </c>
      <c r="K47" s="954">
        <f t="shared" ca="1" si="11"/>
        <v>0</v>
      </c>
      <c r="L47" s="954">
        <f t="shared" ca="1" si="11"/>
        <v>0</v>
      </c>
      <c r="M47" s="954">
        <f t="shared" ca="1" si="11"/>
        <v>0</v>
      </c>
      <c r="N47" s="954">
        <f t="shared" ca="1" si="11"/>
        <v>0</v>
      </c>
      <c r="O47" s="954">
        <f t="shared" ca="1" si="11"/>
        <v>0</v>
      </c>
      <c r="P47" s="957">
        <f t="shared" ca="1" si="12"/>
        <v>0</v>
      </c>
      <c r="Q47" s="664"/>
      <c r="R47" s="491"/>
    </row>
    <row r="48" spans="1:18">
      <c r="A48" s="336">
        <f t="shared" si="4"/>
        <v>90</v>
      </c>
      <c r="B48" s="619">
        <f t="shared" si="13"/>
        <v>38</v>
      </c>
      <c r="C48" s="669" t="str">
        <f t="shared" ref="C48:C65" ca="1" si="14">IF(P48&lt;&gt;0,INDIRECT($C$1&amp;"!f"&amp;A48),"")</f>
        <v/>
      </c>
      <c r="D48" s="676">
        <f t="shared" ca="1" si="11"/>
        <v>0</v>
      </c>
      <c r="E48" s="676">
        <f t="shared" ca="1" si="11"/>
        <v>0</v>
      </c>
      <c r="F48" s="676">
        <f t="shared" ca="1" si="11"/>
        <v>0</v>
      </c>
      <c r="G48" s="676">
        <f t="shared" ca="1" si="11"/>
        <v>0</v>
      </c>
      <c r="H48" s="676">
        <f t="shared" ca="1" si="11"/>
        <v>0</v>
      </c>
      <c r="I48" s="676">
        <f t="shared" ca="1" si="11"/>
        <v>0</v>
      </c>
      <c r="J48" s="676">
        <f t="shared" ca="1" si="11"/>
        <v>0</v>
      </c>
      <c r="K48" s="676">
        <f t="shared" ca="1" si="11"/>
        <v>0</v>
      </c>
      <c r="L48" s="676">
        <f t="shared" ca="1" si="11"/>
        <v>0</v>
      </c>
      <c r="M48" s="676">
        <f t="shared" ca="1" si="11"/>
        <v>0</v>
      </c>
      <c r="N48" s="676">
        <f t="shared" ca="1" si="11"/>
        <v>0</v>
      </c>
      <c r="O48" s="676">
        <f t="shared" ca="1" si="11"/>
        <v>0</v>
      </c>
      <c r="P48" s="703">
        <f t="shared" ca="1" si="12"/>
        <v>0</v>
      </c>
      <c r="Q48" s="665"/>
      <c r="R48" s="493"/>
    </row>
    <row r="49" spans="1:18" s="870" customFormat="1" ht="14" thickBot="1">
      <c r="A49" s="336">
        <f t="shared" si="4"/>
        <v>91</v>
      </c>
      <c r="B49" s="623">
        <f t="shared" si="13"/>
        <v>39</v>
      </c>
      <c r="C49" s="670" t="str">
        <f t="shared" ca="1" si="14"/>
        <v/>
      </c>
      <c r="D49" s="677">
        <f t="shared" ca="1" si="11"/>
        <v>0</v>
      </c>
      <c r="E49" s="677">
        <f t="shared" ca="1" si="11"/>
        <v>0</v>
      </c>
      <c r="F49" s="677">
        <f t="shared" ca="1" si="11"/>
        <v>0</v>
      </c>
      <c r="G49" s="677">
        <f t="shared" ca="1" si="11"/>
        <v>0</v>
      </c>
      <c r="H49" s="677">
        <f t="shared" ca="1" si="11"/>
        <v>0</v>
      </c>
      <c r="I49" s="677">
        <f t="shared" ca="1" si="11"/>
        <v>0</v>
      </c>
      <c r="J49" s="677">
        <f t="shared" ca="1" si="11"/>
        <v>0</v>
      </c>
      <c r="K49" s="677">
        <f t="shared" ca="1" si="11"/>
        <v>0</v>
      </c>
      <c r="L49" s="677">
        <f t="shared" ca="1" si="11"/>
        <v>0</v>
      </c>
      <c r="M49" s="677">
        <f t="shared" ca="1" si="11"/>
        <v>0</v>
      </c>
      <c r="N49" s="677">
        <f t="shared" ca="1" si="11"/>
        <v>0</v>
      </c>
      <c r="O49" s="677">
        <f t="shared" ca="1" si="11"/>
        <v>0</v>
      </c>
      <c r="P49" s="702">
        <f t="shared" ca="1" si="12"/>
        <v>0</v>
      </c>
      <c r="Q49" s="872"/>
      <c r="R49" s="869"/>
    </row>
    <row r="50" spans="1:18">
      <c r="A50" s="336">
        <f t="shared" si="4"/>
        <v>92</v>
      </c>
      <c r="B50" s="619">
        <f t="shared" si="13"/>
        <v>40</v>
      </c>
      <c r="C50" s="669" t="str">
        <f t="shared" ca="1" si="14"/>
        <v/>
      </c>
      <c r="D50" s="676">
        <f t="shared" ref="D50:O59" ca="1" si="15">INDIRECT($C$1&amp;"!"&amp;VLOOKUP(D$2,mdr,2,0)&amp;$A50)</f>
        <v>0</v>
      </c>
      <c r="E50" s="676">
        <f t="shared" ca="1" si="15"/>
        <v>0</v>
      </c>
      <c r="F50" s="676">
        <f t="shared" ca="1" si="15"/>
        <v>0</v>
      </c>
      <c r="G50" s="676">
        <f t="shared" ca="1" si="15"/>
        <v>0</v>
      </c>
      <c r="H50" s="676">
        <f t="shared" ca="1" si="15"/>
        <v>0</v>
      </c>
      <c r="I50" s="676">
        <f t="shared" ca="1" si="15"/>
        <v>0</v>
      </c>
      <c r="J50" s="676">
        <f t="shared" ca="1" si="15"/>
        <v>0</v>
      </c>
      <c r="K50" s="676">
        <f t="shared" ca="1" si="15"/>
        <v>0</v>
      </c>
      <c r="L50" s="676">
        <f t="shared" ca="1" si="15"/>
        <v>0</v>
      </c>
      <c r="M50" s="676">
        <f t="shared" ca="1" si="15"/>
        <v>0</v>
      </c>
      <c r="N50" s="676">
        <f t="shared" ca="1" si="15"/>
        <v>0</v>
      </c>
      <c r="O50" s="676">
        <f t="shared" ca="1" si="15"/>
        <v>0</v>
      </c>
      <c r="P50" s="703">
        <f t="shared" ca="1" si="12"/>
        <v>0</v>
      </c>
      <c r="Q50" s="871"/>
      <c r="R50" s="867"/>
    </row>
    <row r="51" spans="1:18">
      <c r="A51" s="336">
        <f t="shared" si="4"/>
        <v>93</v>
      </c>
      <c r="B51" s="623">
        <f t="shared" si="13"/>
        <v>41</v>
      </c>
      <c r="C51" s="670" t="str">
        <f t="shared" ca="1" si="14"/>
        <v/>
      </c>
      <c r="D51" s="677">
        <f t="shared" ca="1" si="15"/>
        <v>0</v>
      </c>
      <c r="E51" s="677">
        <f t="shared" ca="1" si="15"/>
        <v>0</v>
      </c>
      <c r="F51" s="677">
        <f t="shared" ca="1" si="15"/>
        <v>0</v>
      </c>
      <c r="G51" s="677">
        <f t="shared" ca="1" si="15"/>
        <v>0</v>
      </c>
      <c r="H51" s="677">
        <f t="shared" ca="1" si="15"/>
        <v>0</v>
      </c>
      <c r="I51" s="677">
        <f t="shared" ca="1" si="15"/>
        <v>0</v>
      </c>
      <c r="J51" s="677">
        <f t="shared" ca="1" si="15"/>
        <v>0</v>
      </c>
      <c r="K51" s="677">
        <f t="shared" ca="1" si="15"/>
        <v>0</v>
      </c>
      <c r="L51" s="677">
        <f t="shared" ca="1" si="15"/>
        <v>0</v>
      </c>
      <c r="M51" s="677">
        <f t="shared" ca="1" si="15"/>
        <v>0</v>
      </c>
      <c r="N51" s="677">
        <f t="shared" ca="1" si="15"/>
        <v>0</v>
      </c>
      <c r="O51" s="677">
        <f t="shared" ca="1" si="15"/>
        <v>0</v>
      </c>
      <c r="P51" s="702">
        <f t="shared" ca="1" si="12"/>
        <v>0</v>
      </c>
      <c r="Q51" s="664"/>
      <c r="R51" s="491"/>
    </row>
    <row r="52" spans="1:18">
      <c r="A52" s="336">
        <f t="shared" si="4"/>
        <v>94</v>
      </c>
      <c r="B52" s="619">
        <f t="shared" si="13"/>
        <v>42</v>
      </c>
      <c r="C52" s="669" t="str">
        <f t="shared" ca="1" si="14"/>
        <v/>
      </c>
      <c r="D52" s="676">
        <f t="shared" ca="1" si="15"/>
        <v>0</v>
      </c>
      <c r="E52" s="676">
        <f t="shared" ca="1" si="15"/>
        <v>0</v>
      </c>
      <c r="F52" s="676">
        <f t="shared" ca="1" si="15"/>
        <v>0</v>
      </c>
      <c r="G52" s="676">
        <f t="shared" ca="1" si="15"/>
        <v>0</v>
      </c>
      <c r="H52" s="676">
        <f t="shared" ca="1" si="15"/>
        <v>0</v>
      </c>
      <c r="I52" s="676">
        <f t="shared" ca="1" si="15"/>
        <v>0</v>
      </c>
      <c r="J52" s="676">
        <f t="shared" ca="1" si="15"/>
        <v>0</v>
      </c>
      <c r="K52" s="676">
        <f t="shared" ca="1" si="15"/>
        <v>0</v>
      </c>
      <c r="L52" s="676">
        <f t="shared" ca="1" si="15"/>
        <v>0</v>
      </c>
      <c r="M52" s="676">
        <f t="shared" ca="1" si="15"/>
        <v>0</v>
      </c>
      <c r="N52" s="676">
        <f t="shared" ca="1" si="15"/>
        <v>0</v>
      </c>
      <c r="O52" s="676">
        <f t="shared" ca="1" si="15"/>
        <v>0</v>
      </c>
      <c r="P52" s="703">
        <f t="shared" ca="1" si="12"/>
        <v>0</v>
      </c>
      <c r="Q52" s="665"/>
      <c r="R52" s="493"/>
    </row>
    <row r="53" spans="1:18">
      <c r="A53" s="336">
        <f t="shared" si="4"/>
        <v>95</v>
      </c>
      <c r="B53" s="623">
        <f t="shared" si="13"/>
        <v>43</v>
      </c>
      <c r="C53" s="670" t="str">
        <f t="shared" ca="1" si="14"/>
        <v/>
      </c>
      <c r="D53" s="677">
        <f t="shared" ca="1" si="15"/>
        <v>0</v>
      </c>
      <c r="E53" s="677">
        <f t="shared" ca="1" si="15"/>
        <v>0</v>
      </c>
      <c r="F53" s="677">
        <f t="shared" ca="1" si="15"/>
        <v>0</v>
      </c>
      <c r="G53" s="677">
        <f t="shared" ca="1" si="15"/>
        <v>0</v>
      </c>
      <c r="H53" s="677">
        <f t="shared" ca="1" si="15"/>
        <v>0</v>
      </c>
      <c r="I53" s="677">
        <f t="shared" ca="1" si="15"/>
        <v>0</v>
      </c>
      <c r="J53" s="677">
        <f t="shared" ca="1" si="15"/>
        <v>0</v>
      </c>
      <c r="K53" s="677">
        <f t="shared" ca="1" si="15"/>
        <v>0</v>
      </c>
      <c r="L53" s="677">
        <f t="shared" ca="1" si="15"/>
        <v>0</v>
      </c>
      <c r="M53" s="677">
        <f t="shared" ca="1" si="15"/>
        <v>0</v>
      </c>
      <c r="N53" s="677">
        <f t="shared" ca="1" si="15"/>
        <v>0</v>
      </c>
      <c r="O53" s="677">
        <f t="shared" ca="1" si="15"/>
        <v>0</v>
      </c>
      <c r="P53" s="702">
        <f t="shared" ca="1" si="12"/>
        <v>0</v>
      </c>
      <c r="Q53" s="664"/>
      <c r="R53" s="491"/>
    </row>
    <row r="54" spans="1:18">
      <c r="A54" s="336">
        <f t="shared" si="4"/>
        <v>96</v>
      </c>
      <c r="B54" s="619">
        <f t="shared" si="13"/>
        <v>44</v>
      </c>
      <c r="C54" s="669" t="str">
        <f t="shared" ca="1" si="14"/>
        <v/>
      </c>
      <c r="D54" s="676">
        <f t="shared" ca="1" si="15"/>
        <v>0</v>
      </c>
      <c r="E54" s="676">
        <f t="shared" ca="1" si="15"/>
        <v>0</v>
      </c>
      <c r="F54" s="676">
        <f t="shared" ca="1" si="15"/>
        <v>0</v>
      </c>
      <c r="G54" s="676">
        <f t="shared" ca="1" si="15"/>
        <v>0</v>
      </c>
      <c r="H54" s="676">
        <f t="shared" ca="1" si="15"/>
        <v>0</v>
      </c>
      <c r="I54" s="676">
        <f t="shared" ca="1" si="15"/>
        <v>0</v>
      </c>
      <c r="J54" s="676">
        <f t="shared" ca="1" si="15"/>
        <v>0</v>
      </c>
      <c r="K54" s="676">
        <f t="shared" ca="1" si="15"/>
        <v>0</v>
      </c>
      <c r="L54" s="676">
        <f t="shared" ca="1" si="15"/>
        <v>0</v>
      </c>
      <c r="M54" s="676">
        <f t="shared" ca="1" si="15"/>
        <v>0</v>
      </c>
      <c r="N54" s="676">
        <f t="shared" ca="1" si="15"/>
        <v>0</v>
      </c>
      <c r="O54" s="676">
        <f t="shared" ca="1" si="15"/>
        <v>0</v>
      </c>
      <c r="P54" s="703">
        <f t="shared" ca="1" si="12"/>
        <v>0</v>
      </c>
      <c r="Q54" s="665"/>
      <c r="R54" s="493"/>
    </row>
    <row r="55" spans="1:18">
      <c r="A55" s="336">
        <f t="shared" si="4"/>
        <v>97</v>
      </c>
      <c r="B55" s="623">
        <f t="shared" si="13"/>
        <v>45</v>
      </c>
      <c r="C55" s="670" t="str">
        <f t="shared" ca="1" si="14"/>
        <v/>
      </c>
      <c r="D55" s="677">
        <f t="shared" ca="1" si="15"/>
        <v>0</v>
      </c>
      <c r="E55" s="677">
        <f t="shared" ca="1" si="15"/>
        <v>0</v>
      </c>
      <c r="F55" s="677">
        <f t="shared" ca="1" si="15"/>
        <v>0</v>
      </c>
      <c r="G55" s="677">
        <f t="shared" ca="1" si="15"/>
        <v>0</v>
      </c>
      <c r="H55" s="677">
        <f t="shared" ca="1" si="15"/>
        <v>0</v>
      </c>
      <c r="I55" s="677">
        <f t="shared" ca="1" si="15"/>
        <v>0</v>
      </c>
      <c r="J55" s="677">
        <f t="shared" ca="1" si="15"/>
        <v>0</v>
      </c>
      <c r="K55" s="677">
        <f t="shared" ca="1" si="15"/>
        <v>0</v>
      </c>
      <c r="L55" s="677">
        <f t="shared" ca="1" si="15"/>
        <v>0</v>
      </c>
      <c r="M55" s="677">
        <f t="shared" ca="1" si="15"/>
        <v>0</v>
      </c>
      <c r="N55" s="677">
        <f t="shared" ca="1" si="15"/>
        <v>0</v>
      </c>
      <c r="O55" s="677">
        <f t="shared" ca="1" si="15"/>
        <v>0</v>
      </c>
      <c r="P55" s="702">
        <f t="shared" ca="1" si="12"/>
        <v>0</v>
      </c>
      <c r="Q55" s="664"/>
      <c r="R55" s="491"/>
    </row>
    <row r="56" spans="1:18">
      <c r="A56" s="336">
        <f t="shared" si="4"/>
        <v>98</v>
      </c>
      <c r="B56" s="619">
        <f t="shared" si="13"/>
        <v>46</v>
      </c>
      <c r="C56" s="669" t="str">
        <f t="shared" ca="1" si="14"/>
        <v/>
      </c>
      <c r="D56" s="676">
        <f t="shared" ca="1" si="15"/>
        <v>0</v>
      </c>
      <c r="E56" s="676">
        <f t="shared" ca="1" si="15"/>
        <v>0</v>
      </c>
      <c r="F56" s="676">
        <f t="shared" ca="1" si="15"/>
        <v>0</v>
      </c>
      <c r="G56" s="676">
        <f t="shared" ca="1" si="15"/>
        <v>0</v>
      </c>
      <c r="H56" s="676">
        <f t="shared" ca="1" si="15"/>
        <v>0</v>
      </c>
      <c r="I56" s="676">
        <f t="shared" ca="1" si="15"/>
        <v>0</v>
      </c>
      <c r="J56" s="676">
        <f t="shared" ca="1" si="15"/>
        <v>0</v>
      </c>
      <c r="K56" s="676">
        <f t="shared" ca="1" si="15"/>
        <v>0</v>
      </c>
      <c r="L56" s="676">
        <f t="shared" ca="1" si="15"/>
        <v>0</v>
      </c>
      <c r="M56" s="676">
        <f t="shared" ca="1" si="15"/>
        <v>0</v>
      </c>
      <c r="N56" s="676">
        <f t="shared" ca="1" si="15"/>
        <v>0</v>
      </c>
      <c r="O56" s="676">
        <f t="shared" ca="1" si="15"/>
        <v>0</v>
      </c>
      <c r="P56" s="703">
        <f t="shared" ca="1" si="12"/>
        <v>0</v>
      </c>
      <c r="Q56" s="665"/>
      <c r="R56" s="493"/>
    </row>
    <row r="57" spans="1:18">
      <c r="A57" s="336">
        <f t="shared" si="4"/>
        <v>99</v>
      </c>
      <c r="B57" s="623">
        <f t="shared" si="13"/>
        <v>47</v>
      </c>
      <c r="C57" s="670" t="str">
        <f t="shared" ca="1" si="14"/>
        <v/>
      </c>
      <c r="D57" s="677">
        <f t="shared" ca="1" si="15"/>
        <v>0</v>
      </c>
      <c r="E57" s="677">
        <f t="shared" ca="1" si="15"/>
        <v>0</v>
      </c>
      <c r="F57" s="677">
        <f t="shared" ca="1" si="15"/>
        <v>0</v>
      </c>
      <c r="G57" s="677">
        <f t="shared" ca="1" si="15"/>
        <v>0</v>
      </c>
      <c r="H57" s="677">
        <f t="shared" ca="1" si="15"/>
        <v>0</v>
      </c>
      <c r="I57" s="677">
        <f t="shared" ca="1" si="15"/>
        <v>0</v>
      </c>
      <c r="J57" s="677">
        <f t="shared" ca="1" si="15"/>
        <v>0</v>
      </c>
      <c r="K57" s="677">
        <f t="shared" ca="1" si="15"/>
        <v>0</v>
      </c>
      <c r="L57" s="677">
        <f t="shared" ca="1" si="15"/>
        <v>0</v>
      </c>
      <c r="M57" s="677">
        <f t="shared" ca="1" si="15"/>
        <v>0</v>
      </c>
      <c r="N57" s="677">
        <f t="shared" ca="1" si="15"/>
        <v>0</v>
      </c>
      <c r="O57" s="677">
        <f t="shared" ca="1" si="15"/>
        <v>0</v>
      </c>
      <c r="P57" s="702">
        <f t="shared" ca="1" si="12"/>
        <v>0</v>
      </c>
      <c r="Q57" s="664"/>
      <c r="R57" s="491"/>
    </row>
    <row r="58" spans="1:18">
      <c r="A58" s="336">
        <f t="shared" si="4"/>
        <v>100</v>
      </c>
      <c r="B58" s="619">
        <f t="shared" si="13"/>
        <v>48</v>
      </c>
      <c r="C58" s="669" t="str">
        <f t="shared" ca="1" si="14"/>
        <v/>
      </c>
      <c r="D58" s="676">
        <f t="shared" ca="1" si="15"/>
        <v>0</v>
      </c>
      <c r="E58" s="676">
        <f t="shared" ca="1" si="15"/>
        <v>0</v>
      </c>
      <c r="F58" s="676">
        <f t="shared" ca="1" si="15"/>
        <v>0</v>
      </c>
      <c r="G58" s="676">
        <f t="shared" ca="1" si="15"/>
        <v>0</v>
      </c>
      <c r="H58" s="676">
        <f t="shared" ca="1" si="15"/>
        <v>0</v>
      </c>
      <c r="I58" s="676">
        <f t="shared" ca="1" si="15"/>
        <v>0</v>
      </c>
      <c r="J58" s="676">
        <f t="shared" ca="1" si="15"/>
        <v>0</v>
      </c>
      <c r="K58" s="676">
        <f t="shared" ca="1" si="15"/>
        <v>0</v>
      </c>
      <c r="L58" s="676">
        <f t="shared" ca="1" si="15"/>
        <v>0</v>
      </c>
      <c r="M58" s="676">
        <f t="shared" ca="1" si="15"/>
        <v>0</v>
      </c>
      <c r="N58" s="676">
        <f t="shared" ca="1" si="15"/>
        <v>0</v>
      </c>
      <c r="O58" s="676">
        <f t="shared" ca="1" si="15"/>
        <v>0</v>
      </c>
      <c r="P58" s="703">
        <f t="shared" ca="1" si="12"/>
        <v>0</v>
      </c>
      <c r="Q58" s="665"/>
      <c r="R58" s="493"/>
    </row>
    <row r="59" spans="1:18">
      <c r="A59" s="336">
        <f t="shared" si="4"/>
        <v>101</v>
      </c>
      <c r="B59" s="623">
        <f t="shared" si="13"/>
        <v>49</v>
      </c>
      <c r="C59" s="670" t="str">
        <f t="shared" ca="1" si="14"/>
        <v/>
      </c>
      <c r="D59" s="677">
        <f t="shared" ca="1" si="15"/>
        <v>0</v>
      </c>
      <c r="E59" s="677">
        <f t="shared" ca="1" si="15"/>
        <v>0</v>
      </c>
      <c r="F59" s="677">
        <f t="shared" ca="1" si="15"/>
        <v>0</v>
      </c>
      <c r="G59" s="677">
        <f t="shared" ca="1" si="15"/>
        <v>0</v>
      </c>
      <c r="H59" s="677">
        <f t="shared" ca="1" si="15"/>
        <v>0</v>
      </c>
      <c r="I59" s="677">
        <f t="shared" ca="1" si="15"/>
        <v>0</v>
      </c>
      <c r="J59" s="677">
        <f t="shared" ca="1" si="15"/>
        <v>0</v>
      </c>
      <c r="K59" s="677">
        <f t="shared" ca="1" si="15"/>
        <v>0</v>
      </c>
      <c r="L59" s="677">
        <f t="shared" ca="1" si="15"/>
        <v>0</v>
      </c>
      <c r="M59" s="677">
        <f t="shared" ca="1" si="15"/>
        <v>0</v>
      </c>
      <c r="N59" s="677">
        <f t="shared" ca="1" si="15"/>
        <v>0</v>
      </c>
      <c r="O59" s="677">
        <f t="shared" ca="1" si="15"/>
        <v>0</v>
      </c>
      <c r="P59" s="702">
        <f t="shared" ca="1" si="12"/>
        <v>0</v>
      </c>
      <c r="Q59" s="664"/>
      <c r="R59" s="491"/>
    </row>
    <row r="60" spans="1:18">
      <c r="A60" s="336">
        <f t="shared" si="4"/>
        <v>102</v>
      </c>
      <c r="B60" s="619">
        <f t="shared" si="13"/>
        <v>50</v>
      </c>
      <c r="C60" s="669" t="str">
        <f t="shared" ca="1" si="14"/>
        <v/>
      </c>
      <c r="D60" s="676">
        <f t="shared" ref="D60:O69" ca="1" si="16">INDIRECT($C$1&amp;"!"&amp;VLOOKUP(D$2,mdr,2,0)&amp;$A60)</f>
        <v>0</v>
      </c>
      <c r="E60" s="676">
        <f t="shared" ca="1" si="16"/>
        <v>0</v>
      </c>
      <c r="F60" s="676">
        <f t="shared" ca="1" si="16"/>
        <v>0</v>
      </c>
      <c r="G60" s="676">
        <f t="shared" ca="1" si="16"/>
        <v>0</v>
      </c>
      <c r="H60" s="676">
        <f t="shared" ca="1" si="16"/>
        <v>0</v>
      </c>
      <c r="I60" s="676">
        <f t="shared" ca="1" si="16"/>
        <v>0</v>
      </c>
      <c r="J60" s="676">
        <f t="shared" ca="1" si="16"/>
        <v>0</v>
      </c>
      <c r="K60" s="676">
        <f t="shared" ca="1" si="16"/>
        <v>0</v>
      </c>
      <c r="L60" s="676">
        <f t="shared" ca="1" si="16"/>
        <v>0</v>
      </c>
      <c r="M60" s="676">
        <f t="shared" ca="1" si="16"/>
        <v>0</v>
      </c>
      <c r="N60" s="676">
        <f t="shared" ca="1" si="16"/>
        <v>0</v>
      </c>
      <c r="O60" s="676">
        <f t="shared" ca="1" si="16"/>
        <v>0</v>
      </c>
      <c r="P60" s="703">
        <f t="shared" ca="1" si="12"/>
        <v>0</v>
      </c>
      <c r="Q60" s="665"/>
      <c r="R60" s="493"/>
    </row>
    <row r="61" spans="1:18">
      <c r="A61" s="336">
        <f t="shared" si="4"/>
        <v>103</v>
      </c>
      <c r="B61" s="623">
        <f t="shared" si="13"/>
        <v>51</v>
      </c>
      <c r="C61" s="670" t="str">
        <f t="shared" ca="1" si="14"/>
        <v/>
      </c>
      <c r="D61" s="677">
        <f t="shared" ca="1" si="16"/>
        <v>0</v>
      </c>
      <c r="E61" s="677">
        <f t="shared" ca="1" si="16"/>
        <v>0</v>
      </c>
      <c r="F61" s="677">
        <f t="shared" ca="1" si="16"/>
        <v>0</v>
      </c>
      <c r="G61" s="677">
        <f t="shared" ca="1" si="16"/>
        <v>0</v>
      </c>
      <c r="H61" s="677">
        <f t="shared" ca="1" si="16"/>
        <v>0</v>
      </c>
      <c r="I61" s="677">
        <f t="shared" ca="1" si="16"/>
        <v>0</v>
      </c>
      <c r="J61" s="677">
        <f t="shared" ca="1" si="16"/>
        <v>0</v>
      </c>
      <c r="K61" s="677">
        <f t="shared" ca="1" si="16"/>
        <v>0</v>
      </c>
      <c r="L61" s="677">
        <f t="shared" ca="1" si="16"/>
        <v>0</v>
      </c>
      <c r="M61" s="677">
        <f t="shared" ca="1" si="16"/>
        <v>0</v>
      </c>
      <c r="N61" s="677">
        <f t="shared" ca="1" si="16"/>
        <v>0</v>
      </c>
      <c r="O61" s="677">
        <f t="shared" ca="1" si="16"/>
        <v>0</v>
      </c>
      <c r="P61" s="702">
        <f t="shared" ca="1" si="12"/>
        <v>0</v>
      </c>
      <c r="Q61" s="664"/>
      <c r="R61" s="491"/>
    </row>
    <row r="62" spans="1:18">
      <c r="A62" s="336">
        <f t="shared" si="4"/>
        <v>104</v>
      </c>
      <c r="B62" s="619">
        <f t="shared" si="13"/>
        <v>52</v>
      </c>
      <c r="C62" s="669" t="str">
        <f t="shared" ca="1" si="14"/>
        <v/>
      </c>
      <c r="D62" s="676">
        <f t="shared" ca="1" si="16"/>
        <v>0</v>
      </c>
      <c r="E62" s="676">
        <f t="shared" ca="1" si="16"/>
        <v>0</v>
      </c>
      <c r="F62" s="676">
        <f t="shared" ca="1" si="16"/>
        <v>0</v>
      </c>
      <c r="G62" s="676">
        <f t="shared" ca="1" si="16"/>
        <v>0</v>
      </c>
      <c r="H62" s="676">
        <f t="shared" ca="1" si="16"/>
        <v>0</v>
      </c>
      <c r="I62" s="676">
        <f t="shared" ca="1" si="16"/>
        <v>0</v>
      </c>
      <c r="J62" s="676">
        <f t="shared" ca="1" si="16"/>
        <v>0</v>
      </c>
      <c r="K62" s="676">
        <f t="shared" ca="1" si="16"/>
        <v>0</v>
      </c>
      <c r="L62" s="676">
        <f t="shared" ca="1" si="16"/>
        <v>0</v>
      </c>
      <c r="M62" s="676">
        <f t="shared" ca="1" si="16"/>
        <v>0</v>
      </c>
      <c r="N62" s="676">
        <f t="shared" ca="1" si="16"/>
        <v>0</v>
      </c>
      <c r="O62" s="676">
        <f t="shared" ca="1" si="16"/>
        <v>0</v>
      </c>
      <c r="P62" s="703">
        <f t="shared" ca="1" si="12"/>
        <v>0</v>
      </c>
      <c r="Q62" s="665"/>
      <c r="R62" s="493"/>
    </row>
    <row r="63" spans="1:18">
      <c r="A63" s="336">
        <f t="shared" si="4"/>
        <v>105</v>
      </c>
      <c r="B63" s="623">
        <f t="shared" si="13"/>
        <v>53</v>
      </c>
      <c r="C63" s="670" t="str">
        <f t="shared" ca="1" si="14"/>
        <v/>
      </c>
      <c r="D63" s="677">
        <f t="shared" ca="1" si="16"/>
        <v>0</v>
      </c>
      <c r="E63" s="677">
        <f t="shared" ca="1" si="16"/>
        <v>0</v>
      </c>
      <c r="F63" s="677">
        <f t="shared" ca="1" si="16"/>
        <v>0</v>
      </c>
      <c r="G63" s="677">
        <f t="shared" ca="1" si="16"/>
        <v>0</v>
      </c>
      <c r="H63" s="677">
        <f t="shared" ca="1" si="16"/>
        <v>0</v>
      </c>
      <c r="I63" s="677">
        <f t="shared" ca="1" si="16"/>
        <v>0</v>
      </c>
      <c r="J63" s="677">
        <f t="shared" ca="1" si="16"/>
        <v>0</v>
      </c>
      <c r="K63" s="677">
        <f t="shared" ca="1" si="16"/>
        <v>0</v>
      </c>
      <c r="L63" s="677">
        <f t="shared" ca="1" si="16"/>
        <v>0</v>
      </c>
      <c r="M63" s="677">
        <f t="shared" ca="1" si="16"/>
        <v>0</v>
      </c>
      <c r="N63" s="677">
        <f t="shared" ca="1" si="16"/>
        <v>0</v>
      </c>
      <c r="O63" s="677">
        <f t="shared" ca="1" si="16"/>
        <v>0</v>
      </c>
      <c r="P63" s="702">
        <f t="shared" ca="1" si="12"/>
        <v>0</v>
      </c>
      <c r="Q63" s="664"/>
      <c r="R63" s="491"/>
    </row>
    <row r="64" spans="1:18">
      <c r="A64" s="336">
        <f t="shared" si="4"/>
        <v>106</v>
      </c>
      <c r="B64" s="773">
        <f t="shared" si="13"/>
        <v>54</v>
      </c>
      <c r="C64" s="774" t="str">
        <f t="shared" ca="1" si="14"/>
        <v/>
      </c>
      <c r="D64" s="775">
        <f t="shared" ca="1" si="16"/>
        <v>0</v>
      </c>
      <c r="E64" s="775">
        <f t="shared" ca="1" si="16"/>
        <v>0</v>
      </c>
      <c r="F64" s="775">
        <f t="shared" ca="1" si="16"/>
        <v>0</v>
      </c>
      <c r="G64" s="775">
        <f t="shared" ca="1" si="16"/>
        <v>0</v>
      </c>
      <c r="H64" s="775">
        <f t="shared" ca="1" si="16"/>
        <v>0</v>
      </c>
      <c r="I64" s="775">
        <f t="shared" ca="1" si="16"/>
        <v>0</v>
      </c>
      <c r="J64" s="775">
        <f t="shared" ca="1" si="16"/>
        <v>0</v>
      </c>
      <c r="K64" s="775">
        <f t="shared" ca="1" si="16"/>
        <v>0</v>
      </c>
      <c r="L64" s="775">
        <f t="shared" ca="1" si="16"/>
        <v>0</v>
      </c>
      <c r="M64" s="775">
        <f t="shared" ca="1" si="16"/>
        <v>0</v>
      </c>
      <c r="N64" s="775">
        <f t="shared" ca="1" si="16"/>
        <v>0</v>
      </c>
      <c r="O64" s="775">
        <f t="shared" ca="1" si="16"/>
        <v>0</v>
      </c>
      <c r="P64" s="703">
        <f t="shared" ca="1" si="12"/>
        <v>0</v>
      </c>
      <c r="Q64" s="665"/>
      <c r="R64" s="493"/>
    </row>
    <row r="65" spans="1:18" ht="27" customHeight="1">
      <c r="A65" s="336">
        <f t="shared" si="4"/>
        <v>107</v>
      </c>
      <c r="B65" s="623">
        <f t="shared" si="13"/>
        <v>55</v>
      </c>
      <c r="C65" s="969" t="str">
        <f t="shared" ca="1" si="14"/>
        <v/>
      </c>
      <c r="D65" s="677">
        <f t="shared" ca="1" si="16"/>
        <v>0</v>
      </c>
      <c r="E65" s="677">
        <f t="shared" ca="1" si="16"/>
        <v>0</v>
      </c>
      <c r="F65" s="677">
        <f t="shared" ca="1" si="16"/>
        <v>0</v>
      </c>
      <c r="G65" s="677">
        <f t="shared" ca="1" si="16"/>
        <v>0</v>
      </c>
      <c r="H65" s="677">
        <f t="shared" ca="1" si="16"/>
        <v>0</v>
      </c>
      <c r="I65" s="677">
        <f t="shared" ca="1" si="16"/>
        <v>0</v>
      </c>
      <c r="J65" s="677">
        <f t="shared" ca="1" si="16"/>
        <v>0</v>
      </c>
      <c r="K65" s="677">
        <f t="shared" ca="1" si="16"/>
        <v>0</v>
      </c>
      <c r="L65" s="677">
        <f t="shared" ca="1" si="16"/>
        <v>0</v>
      </c>
      <c r="M65" s="677">
        <f t="shared" ca="1" si="16"/>
        <v>0</v>
      </c>
      <c r="N65" s="677">
        <f t="shared" ca="1" si="16"/>
        <v>0</v>
      </c>
      <c r="O65" s="677">
        <f t="shared" ca="1" si="16"/>
        <v>0</v>
      </c>
      <c r="P65" s="702">
        <f t="shared" ca="1" si="12"/>
        <v>0</v>
      </c>
      <c r="Q65" s="664"/>
      <c r="R65" s="491"/>
    </row>
    <row r="66" spans="1:18">
      <c r="A66" s="336">
        <f t="shared" si="4"/>
        <v>108</v>
      </c>
      <c r="B66" s="1117">
        <f t="shared" si="13"/>
        <v>56</v>
      </c>
      <c r="C66" s="1118" t="str">
        <f t="shared" ref="C66:C72" ca="1" si="17">IF(SUM(D66:O66)&lt;&gt;0,INDIRECT($C$1&amp;"!f"&amp;A66),"")</f>
        <v/>
      </c>
      <c r="D66" s="1119">
        <f t="shared" ca="1" si="16"/>
        <v>0</v>
      </c>
      <c r="E66" s="1119">
        <f t="shared" ca="1" si="16"/>
        <v>0</v>
      </c>
      <c r="F66" s="1119">
        <f t="shared" ca="1" si="16"/>
        <v>0</v>
      </c>
      <c r="G66" s="1119">
        <f t="shared" ca="1" si="16"/>
        <v>0</v>
      </c>
      <c r="H66" s="1119">
        <f t="shared" ca="1" si="16"/>
        <v>0</v>
      </c>
      <c r="I66" s="1119">
        <f t="shared" ca="1" si="16"/>
        <v>0</v>
      </c>
      <c r="J66" s="1119">
        <f t="shared" ca="1" si="16"/>
        <v>0</v>
      </c>
      <c r="K66" s="1119">
        <f t="shared" ca="1" si="16"/>
        <v>0</v>
      </c>
      <c r="L66" s="1119">
        <f t="shared" ca="1" si="16"/>
        <v>0</v>
      </c>
      <c r="M66" s="1119">
        <f t="shared" ca="1" si="16"/>
        <v>0</v>
      </c>
      <c r="N66" s="1119">
        <f t="shared" ca="1" si="16"/>
        <v>0</v>
      </c>
      <c r="O66" s="1119">
        <f t="shared" ca="1" si="16"/>
        <v>0</v>
      </c>
      <c r="P66" s="1120">
        <f t="shared" ca="1" si="12"/>
        <v>0</v>
      </c>
      <c r="Q66" s="665"/>
      <c r="R66" s="493"/>
    </row>
    <row r="67" spans="1:18">
      <c r="A67" s="336">
        <f t="shared" si="4"/>
        <v>109</v>
      </c>
      <c r="B67" s="623">
        <f t="shared" si="13"/>
        <v>57</v>
      </c>
      <c r="C67" s="670" t="str">
        <f t="shared" ca="1" si="17"/>
        <v/>
      </c>
      <c r="D67" s="677">
        <f t="shared" ca="1" si="16"/>
        <v>0</v>
      </c>
      <c r="E67" s="677">
        <f t="shared" ca="1" si="16"/>
        <v>0</v>
      </c>
      <c r="F67" s="677">
        <f t="shared" ca="1" si="16"/>
        <v>0</v>
      </c>
      <c r="G67" s="677">
        <f t="shared" ca="1" si="16"/>
        <v>0</v>
      </c>
      <c r="H67" s="677">
        <f t="shared" ca="1" si="16"/>
        <v>0</v>
      </c>
      <c r="I67" s="677">
        <f t="shared" ca="1" si="16"/>
        <v>0</v>
      </c>
      <c r="J67" s="677">
        <f t="shared" ca="1" si="16"/>
        <v>0</v>
      </c>
      <c r="K67" s="677">
        <f t="shared" ca="1" si="16"/>
        <v>0</v>
      </c>
      <c r="L67" s="677">
        <f t="shared" ca="1" si="16"/>
        <v>0</v>
      </c>
      <c r="M67" s="677">
        <f t="shared" ca="1" si="16"/>
        <v>0</v>
      </c>
      <c r="N67" s="677">
        <f t="shared" ca="1" si="16"/>
        <v>0</v>
      </c>
      <c r="O67" s="677">
        <f t="shared" ca="1" si="16"/>
        <v>0</v>
      </c>
      <c r="P67" s="702">
        <f t="shared" ca="1" si="12"/>
        <v>0</v>
      </c>
      <c r="Q67" s="664"/>
      <c r="R67" s="491"/>
    </row>
    <row r="68" spans="1:18">
      <c r="A68" s="336">
        <f t="shared" si="4"/>
        <v>110</v>
      </c>
      <c r="B68" s="1113">
        <f t="shared" si="13"/>
        <v>58</v>
      </c>
      <c r="C68" s="1114" t="str">
        <f t="shared" ca="1" si="17"/>
        <v/>
      </c>
      <c r="D68" s="1115">
        <f t="shared" ca="1" si="16"/>
        <v>0</v>
      </c>
      <c r="E68" s="1115">
        <f t="shared" ca="1" si="16"/>
        <v>0</v>
      </c>
      <c r="F68" s="1115">
        <f t="shared" ca="1" si="16"/>
        <v>0</v>
      </c>
      <c r="G68" s="1115">
        <f t="shared" ca="1" si="16"/>
        <v>0</v>
      </c>
      <c r="H68" s="1115">
        <f t="shared" ca="1" si="16"/>
        <v>0</v>
      </c>
      <c r="I68" s="1115">
        <f t="shared" ca="1" si="16"/>
        <v>0</v>
      </c>
      <c r="J68" s="1115">
        <f t="shared" ca="1" si="16"/>
        <v>0</v>
      </c>
      <c r="K68" s="1115">
        <f t="shared" ca="1" si="16"/>
        <v>0</v>
      </c>
      <c r="L68" s="1115">
        <f t="shared" ca="1" si="16"/>
        <v>0</v>
      </c>
      <c r="M68" s="1115">
        <f t="shared" ca="1" si="16"/>
        <v>0</v>
      </c>
      <c r="N68" s="1115">
        <f t="shared" ca="1" si="16"/>
        <v>0</v>
      </c>
      <c r="O68" s="1115">
        <f t="shared" ca="1" si="16"/>
        <v>0</v>
      </c>
      <c r="P68" s="1116">
        <f t="shared" ca="1" si="12"/>
        <v>0</v>
      </c>
      <c r="Q68" s="665"/>
      <c r="R68" s="493"/>
    </row>
    <row r="69" spans="1:18">
      <c r="A69" s="336">
        <f t="shared" si="4"/>
        <v>111</v>
      </c>
      <c r="B69" s="631">
        <f t="shared" si="13"/>
        <v>59</v>
      </c>
      <c r="C69" s="663" t="str">
        <f t="shared" ca="1" si="17"/>
        <v/>
      </c>
      <c r="D69" s="671">
        <f t="shared" ca="1" si="16"/>
        <v>0</v>
      </c>
      <c r="E69" s="671">
        <f t="shared" ca="1" si="16"/>
        <v>0</v>
      </c>
      <c r="F69" s="671">
        <f t="shared" ca="1" si="16"/>
        <v>0</v>
      </c>
      <c r="G69" s="671">
        <f t="shared" ca="1" si="16"/>
        <v>0</v>
      </c>
      <c r="H69" s="671">
        <f t="shared" ca="1" si="16"/>
        <v>0</v>
      </c>
      <c r="I69" s="671">
        <f t="shared" ca="1" si="16"/>
        <v>0</v>
      </c>
      <c r="J69" s="671">
        <f t="shared" ca="1" si="16"/>
        <v>0</v>
      </c>
      <c r="K69" s="671">
        <f t="shared" ca="1" si="16"/>
        <v>0</v>
      </c>
      <c r="L69" s="671">
        <f t="shared" ca="1" si="16"/>
        <v>0</v>
      </c>
      <c r="M69" s="671">
        <f t="shared" ca="1" si="16"/>
        <v>0</v>
      </c>
      <c r="N69" s="671">
        <f t="shared" ca="1" si="16"/>
        <v>0</v>
      </c>
      <c r="O69" s="671">
        <f t="shared" ca="1" si="16"/>
        <v>0</v>
      </c>
      <c r="P69" s="705">
        <f t="shared" ca="1" si="12"/>
        <v>0</v>
      </c>
      <c r="Q69" s="664"/>
      <c r="R69" s="491"/>
    </row>
    <row r="70" spans="1:18">
      <c r="A70" s="336">
        <f t="shared" si="4"/>
        <v>112</v>
      </c>
      <c r="B70" s="627">
        <f t="shared" si="13"/>
        <v>60</v>
      </c>
      <c r="C70" s="662" t="str">
        <f t="shared" ca="1" si="17"/>
        <v/>
      </c>
      <c r="D70" s="672">
        <f t="shared" ref="D70:O85" ca="1" si="18">INDIRECT($C$1&amp;"!"&amp;VLOOKUP(D$2,mdr,2,0)&amp;$A70)</f>
        <v>0</v>
      </c>
      <c r="E70" s="672">
        <f t="shared" ca="1" si="18"/>
        <v>0</v>
      </c>
      <c r="F70" s="672">
        <f t="shared" ca="1" si="18"/>
        <v>0</v>
      </c>
      <c r="G70" s="672">
        <f t="shared" ca="1" si="18"/>
        <v>0</v>
      </c>
      <c r="H70" s="672">
        <f t="shared" ca="1" si="18"/>
        <v>0</v>
      </c>
      <c r="I70" s="672">
        <f t="shared" ca="1" si="18"/>
        <v>0</v>
      </c>
      <c r="J70" s="672">
        <f t="shared" ca="1" si="18"/>
        <v>0</v>
      </c>
      <c r="K70" s="672">
        <f t="shared" ca="1" si="18"/>
        <v>0</v>
      </c>
      <c r="L70" s="672">
        <f t="shared" ca="1" si="18"/>
        <v>0</v>
      </c>
      <c r="M70" s="672">
        <f t="shared" ca="1" si="18"/>
        <v>0</v>
      </c>
      <c r="N70" s="672">
        <f t="shared" ca="1" si="18"/>
        <v>0</v>
      </c>
      <c r="O70" s="672">
        <f t="shared" ca="1" si="18"/>
        <v>0</v>
      </c>
      <c r="P70" s="704">
        <f t="shared" ca="1" si="12"/>
        <v>0</v>
      </c>
      <c r="Q70" s="665"/>
      <c r="R70" s="493"/>
    </row>
    <row r="71" spans="1:18">
      <c r="A71" s="336">
        <f t="shared" si="4"/>
        <v>113</v>
      </c>
      <c r="B71" s="631">
        <f t="shared" si="13"/>
        <v>61</v>
      </c>
      <c r="C71" s="663" t="str">
        <f t="shared" ca="1" si="17"/>
        <v/>
      </c>
      <c r="D71" s="958">
        <f t="shared" ca="1" si="18"/>
        <v>0</v>
      </c>
      <c r="E71" s="958">
        <f t="shared" ca="1" si="18"/>
        <v>0</v>
      </c>
      <c r="F71" s="958">
        <f t="shared" ca="1" si="18"/>
        <v>0</v>
      </c>
      <c r="G71" s="958">
        <f t="shared" ca="1" si="18"/>
        <v>0</v>
      </c>
      <c r="H71" s="958">
        <f t="shared" ca="1" si="18"/>
        <v>0</v>
      </c>
      <c r="I71" s="958">
        <f t="shared" ca="1" si="18"/>
        <v>0</v>
      </c>
      <c r="J71" s="958">
        <f t="shared" ca="1" si="18"/>
        <v>0</v>
      </c>
      <c r="K71" s="958">
        <f t="shared" ca="1" si="18"/>
        <v>0</v>
      </c>
      <c r="L71" s="958">
        <f t="shared" ca="1" si="18"/>
        <v>0</v>
      </c>
      <c r="M71" s="958">
        <f t="shared" ca="1" si="18"/>
        <v>0</v>
      </c>
      <c r="N71" s="958">
        <f t="shared" ca="1" si="18"/>
        <v>0</v>
      </c>
      <c r="O71" s="958">
        <f t="shared" ca="1" si="18"/>
        <v>0</v>
      </c>
      <c r="P71" s="959"/>
      <c r="Q71" s="664"/>
      <c r="R71" s="491"/>
    </row>
    <row r="72" spans="1:18">
      <c r="A72" s="336">
        <f t="shared" si="4"/>
        <v>114</v>
      </c>
      <c r="B72" s="627">
        <f t="shared" si="13"/>
        <v>62</v>
      </c>
      <c r="C72" s="662" t="str">
        <f t="shared" ca="1" si="17"/>
        <v/>
      </c>
      <c r="D72" s="1126">
        <f t="shared" ca="1" si="18"/>
        <v>0</v>
      </c>
      <c r="E72" s="1126">
        <f t="shared" ca="1" si="18"/>
        <v>0</v>
      </c>
      <c r="F72" s="1126">
        <f t="shared" ca="1" si="18"/>
        <v>0</v>
      </c>
      <c r="G72" s="1126">
        <f t="shared" ca="1" si="18"/>
        <v>0</v>
      </c>
      <c r="H72" s="1126">
        <f t="shared" ca="1" si="18"/>
        <v>0</v>
      </c>
      <c r="I72" s="1126">
        <f t="shared" ca="1" si="18"/>
        <v>0</v>
      </c>
      <c r="J72" s="1126">
        <f t="shared" ca="1" si="18"/>
        <v>0</v>
      </c>
      <c r="K72" s="1126">
        <f t="shared" ca="1" si="18"/>
        <v>0</v>
      </c>
      <c r="L72" s="1126">
        <f t="shared" ca="1" si="18"/>
        <v>0</v>
      </c>
      <c r="M72" s="1126">
        <f t="shared" ca="1" si="18"/>
        <v>0</v>
      </c>
      <c r="N72" s="1126">
        <f t="shared" ca="1" si="18"/>
        <v>0</v>
      </c>
      <c r="O72" s="1126">
        <f t="shared" ca="1" si="18"/>
        <v>0</v>
      </c>
      <c r="P72" s="1127"/>
      <c r="Q72" s="665"/>
      <c r="R72" s="493"/>
    </row>
    <row r="73" spans="1:18">
      <c r="A73" s="336">
        <v>29</v>
      </c>
      <c r="B73" s="631">
        <f t="shared" si="13"/>
        <v>63</v>
      </c>
      <c r="C73" s="663" t="str">
        <f t="shared" ref="C73:C89" ca="1" si="19">IF(P73&lt;&gt;0,INDIRECT($C$1&amp;"!f"&amp;A73),"")</f>
        <v/>
      </c>
      <c r="D73" s="964">
        <f t="shared" ca="1" si="18"/>
        <v>0</v>
      </c>
      <c r="E73" s="964">
        <f t="shared" ca="1" si="18"/>
        <v>0</v>
      </c>
      <c r="F73" s="964">
        <f t="shared" ca="1" si="18"/>
        <v>0</v>
      </c>
      <c r="G73" s="964">
        <f t="shared" ca="1" si="18"/>
        <v>0</v>
      </c>
      <c r="H73" s="964">
        <f t="shared" ca="1" si="18"/>
        <v>0</v>
      </c>
      <c r="I73" s="964">
        <f t="shared" ca="1" si="18"/>
        <v>0</v>
      </c>
      <c r="J73" s="964">
        <f t="shared" ca="1" si="18"/>
        <v>0</v>
      </c>
      <c r="K73" s="964">
        <f t="shared" ca="1" si="18"/>
        <v>0</v>
      </c>
      <c r="L73" s="964">
        <f t="shared" ca="1" si="18"/>
        <v>0</v>
      </c>
      <c r="M73" s="964">
        <f t="shared" ca="1" si="18"/>
        <v>0</v>
      </c>
      <c r="N73" s="964">
        <f t="shared" ca="1" si="18"/>
        <v>0</v>
      </c>
      <c r="O73" s="964">
        <f t="shared" ca="1" si="18"/>
        <v>0</v>
      </c>
      <c r="P73" s="705"/>
      <c r="Q73" s="664"/>
      <c r="R73" s="491"/>
    </row>
    <row r="74" spans="1:18">
      <c r="A74" s="424">
        <v>30</v>
      </c>
      <c r="B74" s="627">
        <f t="shared" si="13"/>
        <v>64</v>
      </c>
      <c r="C74" s="662" t="str">
        <f t="shared" ca="1" si="19"/>
        <v/>
      </c>
      <c r="D74" s="1125">
        <f t="shared" ca="1" si="18"/>
        <v>0</v>
      </c>
      <c r="E74" s="1125">
        <f t="shared" ca="1" si="18"/>
        <v>0</v>
      </c>
      <c r="F74" s="1125">
        <f t="shared" ca="1" si="18"/>
        <v>0</v>
      </c>
      <c r="G74" s="1125">
        <f t="shared" ca="1" si="18"/>
        <v>0</v>
      </c>
      <c r="H74" s="1125">
        <f t="shared" ca="1" si="18"/>
        <v>0</v>
      </c>
      <c r="I74" s="1125">
        <f t="shared" ca="1" si="18"/>
        <v>0</v>
      </c>
      <c r="J74" s="1125">
        <f t="shared" ca="1" si="18"/>
        <v>0</v>
      </c>
      <c r="K74" s="1125">
        <f t="shared" ca="1" si="18"/>
        <v>0</v>
      </c>
      <c r="L74" s="1125">
        <f t="shared" ca="1" si="18"/>
        <v>0</v>
      </c>
      <c r="M74" s="1125">
        <f t="shared" ca="1" si="18"/>
        <v>0</v>
      </c>
      <c r="N74" s="1125">
        <f t="shared" ca="1" si="18"/>
        <v>0</v>
      </c>
      <c r="O74" s="1125">
        <f t="shared" ca="1" si="18"/>
        <v>0</v>
      </c>
      <c r="P74" s="704">
        <f t="shared" ref="P74:P88" ca="1" si="20">SUM(D74:O74)</f>
        <v>0</v>
      </c>
      <c r="Q74" s="665"/>
      <c r="R74" s="493"/>
    </row>
    <row r="75" spans="1:18">
      <c r="A75" s="424">
        <f>A72+1</f>
        <v>115</v>
      </c>
      <c r="B75" s="631">
        <f t="shared" si="13"/>
        <v>65</v>
      </c>
      <c r="C75" s="663" t="str">
        <f t="shared" ca="1" si="19"/>
        <v/>
      </c>
      <c r="D75" s="671">
        <f t="shared" ca="1" si="18"/>
        <v>0</v>
      </c>
      <c r="E75" s="671">
        <f t="shared" ca="1" si="18"/>
        <v>0</v>
      </c>
      <c r="F75" s="671">
        <f t="shared" ca="1" si="18"/>
        <v>0</v>
      </c>
      <c r="G75" s="671">
        <f t="shared" ca="1" si="18"/>
        <v>0</v>
      </c>
      <c r="H75" s="671">
        <f t="shared" ca="1" si="18"/>
        <v>0</v>
      </c>
      <c r="I75" s="671">
        <f t="shared" ca="1" si="18"/>
        <v>0</v>
      </c>
      <c r="J75" s="671">
        <f t="shared" ca="1" si="18"/>
        <v>0</v>
      </c>
      <c r="K75" s="671">
        <f t="shared" ca="1" si="18"/>
        <v>0</v>
      </c>
      <c r="L75" s="671">
        <f t="shared" ca="1" si="18"/>
        <v>0</v>
      </c>
      <c r="M75" s="671">
        <f t="shared" ca="1" si="18"/>
        <v>0</v>
      </c>
      <c r="N75" s="671">
        <f t="shared" ca="1" si="18"/>
        <v>0</v>
      </c>
      <c r="O75" s="671">
        <f t="shared" ca="1" si="18"/>
        <v>0</v>
      </c>
      <c r="P75" s="705">
        <f t="shared" ca="1" si="20"/>
        <v>0</v>
      </c>
      <c r="Q75" s="664"/>
      <c r="R75" s="491"/>
    </row>
    <row r="76" spans="1:18">
      <c r="A76" s="424">
        <f t="shared" ref="A76:A85" si="21">A75+1</f>
        <v>116</v>
      </c>
      <c r="B76" s="627">
        <f t="shared" si="13"/>
        <v>66</v>
      </c>
      <c r="C76" s="662" t="str">
        <f t="shared" ca="1" si="19"/>
        <v/>
      </c>
      <c r="D76" s="672">
        <f t="shared" ca="1" si="18"/>
        <v>0</v>
      </c>
      <c r="E76" s="672">
        <f t="shared" ca="1" si="18"/>
        <v>0</v>
      </c>
      <c r="F76" s="672">
        <f t="shared" ca="1" si="18"/>
        <v>0</v>
      </c>
      <c r="G76" s="672">
        <f t="shared" ca="1" si="18"/>
        <v>0</v>
      </c>
      <c r="H76" s="672">
        <f t="shared" ca="1" si="18"/>
        <v>0</v>
      </c>
      <c r="I76" s="672">
        <f t="shared" ref="I76:O76" ca="1" si="22">INDIRECT($C$1&amp;"!"&amp;VLOOKUP(I$2,mdr,2,0)&amp;$A76+1)</f>
        <v>0</v>
      </c>
      <c r="J76" s="672">
        <f t="shared" ca="1" si="22"/>
        <v>0</v>
      </c>
      <c r="K76" s="672">
        <f t="shared" ca="1" si="22"/>
        <v>0</v>
      </c>
      <c r="L76" s="672">
        <f t="shared" ca="1" si="22"/>
        <v>0</v>
      </c>
      <c r="M76" s="672">
        <f t="shared" ca="1" si="22"/>
        <v>0</v>
      </c>
      <c r="N76" s="672">
        <f t="shared" ca="1" si="22"/>
        <v>0</v>
      </c>
      <c r="O76" s="672">
        <f t="shared" ca="1" si="22"/>
        <v>0</v>
      </c>
      <c r="P76" s="704">
        <f t="shared" ca="1" si="20"/>
        <v>0</v>
      </c>
      <c r="Q76" s="665"/>
      <c r="R76" s="493"/>
    </row>
    <row r="77" spans="1:18">
      <c r="A77" s="424">
        <f t="shared" si="21"/>
        <v>117</v>
      </c>
      <c r="B77" s="631">
        <f t="shared" si="13"/>
        <v>67</v>
      </c>
      <c r="C77" s="663" t="str">
        <f t="shared" ca="1" si="19"/>
        <v/>
      </c>
      <c r="D77" s="671">
        <f t="shared" ca="1" si="18"/>
        <v>0</v>
      </c>
      <c r="E77" s="671">
        <f t="shared" ca="1" si="18"/>
        <v>0</v>
      </c>
      <c r="F77" s="671">
        <f t="shared" ca="1" si="18"/>
        <v>0</v>
      </c>
      <c r="G77" s="671">
        <f t="shared" ca="1" si="18"/>
        <v>0</v>
      </c>
      <c r="H77" s="671">
        <f t="shared" ca="1" si="18"/>
        <v>0</v>
      </c>
      <c r="I77" s="671">
        <f t="shared" ca="1" si="18"/>
        <v>0</v>
      </c>
      <c r="J77" s="671">
        <f t="shared" ca="1" si="18"/>
        <v>0</v>
      </c>
      <c r="K77" s="671">
        <f t="shared" ca="1" si="18"/>
        <v>0</v>
      </c>
      <c r="L77" s="671">
        <f t="shared" ca="1" si="18"/>
        <v>0</v>
      </c>
      <c r="M77" s="671">
        <f t="shared" ca="1" si="18"/>
        <v>0</v>
      </c>
      <c r="N77" s="671">
        <f t="shared" ca="1" si="18"/>
        <v>0</v>
      </c>
      <c r="O77" s="671">
        <f t="shared" ca="1" si="18"/>
        <v>0</v>
      </c>
      <c r="P77" s="705">
        <f t="shared" ca="1" si="20"/>
        <v>0</v>
      </c>
      <c r="Q77" s="664"/>
      <c r="R77" s="491"/>
    </row>
    <row r="78" spans="1:18">
      <c r="A78" s="424">
        <f t="shared" si="21"/>
        <v>118</v>
      </c>
      <c r="B78" s="627">
        <f t="shared" si="13"/>
        <v>68</v>
      </c>
      <c r="C78" s="662" t="str">
        <f t="shared" ca="1" si="19"/>
        <v/>
      </c>
      <c r="D78" s="672">
        <f t="shared" ca="1" si="18"/>
        <v>0</v>
      </c>
      <c r="E78" s="672">
        <f t="shared" ca="1" si="18"/>
        <v>0</v>
      </c>
      <c r="F78" s="672">
        <f t="shared" ca="1" si="18"/>
        <v>0</v>
      </c>
      <c r="G78" s="672">
        <f t="shared" ca="1" si="18"/>
        <v>0</v>
      </c>
      <c r="H78" s="672">
        <f t="shared" ca="1" si="18"/>
        <v>0</v>
      </c>
      <c r="I78" s="672">
        <f t="shared" ca="1" si="18"/>
        <v>0</v>
      </c>
      <c r="J78" s="672">
        <f t="shared" ca="1" si="18"/>
        <v>0</v>
      </c>
      <c r="K78" s="672">
        <f t="shared" ca="1" si="18"/>
        <v>0</v>
      </c>
      <c r="L78" s="672">
        <f t="shared" ca="1" si="18"/>
        <v>0</v>
      </c>
      <c r="M78" s="672">
        <f t="shared" ca="1" si="18"/>
        <v>0</v>
      </c>
      <c r="N78" s="672">
        <f t="shared" ca="1" si="18"/>
        <v>0</v>
      </c>
      <c r="O78" s="672">
        <f t="shared" ca="1" si="18"/>
        <v>0</v>
      </c>
      <c r="P78" s="704">
        <f t="shared" ca="1" si="20"/>
        <v>0</v>
      </c>
      <c r="Q78" s="665"/>
      <c r="R78" s="493"/>
    </row>
    <row r="79" spans="1:18">
      <c r="A79" s="424">
        <f t="shared" si="21"/>
        <v>119</v>
      </c>
      <c r="B79" s="631">
        <f t="shared" si="13"/>
        <v>69</v>
      </c>
      <c r="C79" s="663" t="str">
        <f t="shared" ca="1" si="19"/>
        <v/>
      </c>
      <c r="D79" s="671">
        <f t="shared" ca="1" si="18"/>
        <v>0</v>
      </c>
      <c r="E79" s="671">
        <f t="shared" ca="1" si="18"/>
        <v>0</v>
      </c>
      <c r="F79" s="671">
        <f t="shared" ca="1" si="18"/>
        <v>0</v>
      </c>
      <c r="G79" s="671">
        <f t="shared" ca="1" si="18"/>
        <v>0</v>
      </c>
      <c r="H79" s="671">
        <f t="shared" ca="1" si="18"/>
        <v>0</v>
      </c>
      <c r="I79" s="671">
        <f t="shared" ca="1" si="18"/>
        <v>0</v>
      </c>
      <c r="J79" s="671">
        <f t="shared" ca="1" si="18"/>
        <v>0</v>
      </c>
      <c r="K79" s="671">
        <f t="shared" ca="1" si="18"/>
        <v>0</v>
      </c>
      <c r="L79" s="671">
        <f t="shared" ca="1" si="18"/>
        <v>0</v>
      </c>
      <c r="M79" s="671">
        <f t="shared" ca="1" si="18"/>
        <v>0</v>
      </c>
      <c r="N79" s="671">
        <f t="shared" ca="1" si="18"/>
        <v>0</v>
      </c>
      <c r="O79" s="671">
        <f t="shared" ca="1" si="18"/>
        <v>0</v>
      </c>
      <c r="P79" s="705">
        <f t="shared" ca="1" si="20"/>
        <v>0</v>
      </c>
      <c r="Q79" s="664"/>
      <c r="R79" s="491"/>
    </row>
    <row r="80" spans="1:18">
      <c r="A80" s="424">
        <f t="shared" si="21"/>
        <v>120</v>
      </c>
      <c r="B80" s="627">
        <f t="shared" si="13"/>
        <v>70</v>
      </c>
      <c r="C80" s="662" t="str">
        <f t="shared" ca="1" si="19"/>
        <v/>
      </c>
      <c r="D80" s="672">
        <f t="shared" ca="1" si="18"/>
        <v>0</v>
      </c>
      <c r="E80" s="672">
        <f t="shared" ca="1" si="18"/>
        <v>0</v>
      </c>
      <c r="F80" s="672">
        <f t="shared" ca="1" si="18"/>
        <v>0</v>
      </c>
      <c r="G80" s="672">
        <f t="shared" ca="1" si="18"/>
        <v>0</v>
      </c>
      <c r="H80" s="672">
        <f t="shared" ca="1" si="18"/>
        <v>0</v>
      </c>
      <c r="I80" s="672">
        <f t="shared" ca="1" si="18"/>
        <v>0</v>
      </c>
      <c r="J80" s="672">
        <f t="shared" ca="1" si="18"/>
        <v>0</v>
      </c>
      <c r="K80" s="672">
        <f t="shared" ca="1" si="18"/>
        <v>0</v>
      </c>
      <c r="L80" s="672">
        <f t="shared" ca="1" si="18"/>
        <v>0</v>
      </c>
      <c r="M80" s="672">
        <f t="shared" ca="1" si="18"/>
        <v>0</v>
      </c>
      <c r="N80" s="672">
        <f t="shared" ca="1" si="18"/>
        <v>0</v>
      </c>
      <c r="O80" s="672">
        <f t="shared" ca="1" si="18"/>
        <v>0</v>
      </c>
      <c r="P80" s="704">
        <f t="shared" ca="1" si="20"/>
        <v>0</v>
      </c>
      <c r="Q80" s="665"/>
      <c r="R80" s="493"/>
    </row>
    <row r="81" spans="1:18">
      <c r="A81" s="424">
        <f t="shared" si="21"/>
        <v>121</v>
      </c>
      <c r="B81" s="631">
        <f t="shared" si="13"/>
        <v>71</v>
      </c>
      <c r="C81" s="663" t="str">
        <f t="shared" ca="1" si="19"/>
        <v/>
      </c>
      <c r="D81" s="671">
        <f t="shared" ca="1" si="18"/>
        <v>0</v>
      </c>
      <c r="E81" s="671">
        <f t="shared" ca="1" si="18"/>
        <v>0</v>
      </c>
      <c r="F81" s="671">
        <f t="shared" ca="1" si="18"/>
        <v>0</v>
      </c>
      <c r="G81" s="671">
        <f t="shared" ca="1" si="18"/>
        <v>0</v>
      </c>
      <c r="H81" s="671">
        <f t="shared" ca="1" si="18"/>
        <v>0</v>
      </c>
      <c r="I81" s="671">
        <f t="shared" ca="1" si="18"/>
        <v>0</v>
      </c>
      <c r="J81" s="671">
        <f t="shared" ca="1" si="18"/>
        <v>0</v>
      </c>
      <c r="K81" s="671">
        <f t="shared" ca="1" si="18"/>
        <v>0</v>
      </c>
      <c r="L81" s="671">
        <f t="shared" ca="1" si="18"/>
        <v>0</v>
      </c>
      <c r="M81" s="671">
        <f t="shared" ca="1" si="18"/>
        <v>0</v>
      </c>
      <c r="N81" s="671">
        <f t="shared" ca="1" si="18"/>
        <v>0</v>
      </c>
      <c r="O81" s="671">
        <f t="shared" ca="1" si="18"/>
        <v>0</v>
      </c>
      <c r="P81" s="705">
        <f t="shared" ca="1" si="20"/>
        <v>0</v>
      </c>
      <c r="Q81" s="664"/>
      <c r="R81" s="491"/>
    </row>
    <row r="82" spans="1:18">
      <c r="A82" s="424">
        <f t="shared" si="21"/>
        <v>122</v>
      </c>
      <c r="B82" s="627">
        <f t="shared" si="13"/>
        <v>72</v>
      </c>
      <c r="C82" s="662" t="str">
        <f t="shared" ca="1" si="19"/>
        <v/>
      </c>
      <c r="D82" s="672">
        <f t="shared" ca="1" si="18"/>
        <v>0</v>
      </c>
      <c r="E82" s="672">
        <f t="shared" ca="1" si="18"/>
        <v>0</v>
      </c>
      <c r="F82" s="672">
        <f t="shared" ca="1" si="18"/>
        <v>0</v>
      </c>
      <c r="G82" s="672">
        <f t="shared" ca="1" si="18"/>
        <v>0</v>
      </c>
      <c r="H82" s="672">
        <f t="shared" ca="1" si="18"/>
        <v>0</v>
      </c>
      <c r="I82" s="672">
        <f t="shared" ca="1" si="18"/>
        <v>0</v>
      </c>
      <c r="J82" s="672">
        <f t="shared" ca="1" si="18"/>
        <v>0</v>
      </c>
      <c r="K82" s="672">
        <f t="shared" ca="1" si="18"/>
        <v>0</v>
      </c>
      <c r="L82" s="672">
        <f t="shared" ca="1" si="18"/>
        <v>0</v>
      </c>
      <c r="M82" s="672">
        <f t="shared" ca="1" si="18"/>
        <v>0</v>
      </c>
      <c r="N82" s="672">
        <f t="shared" ca="1" si="18"/>
        <v>0</v>
      </c>
      <c r="O82" s="672">
        <f t="shared" ca="1" si="18"/>
        <v>0</v>
      </c>
      <c r="P82" s="704">
        <f t="shared" ca="1" si="20"/>
        <v>0</v>
      </c>
      <c r="Q82" s="665"/>
      <c r="R82" s="493"/>
    </row>
    <row r="83" spans="1:18">
      <c r="A83" s="424">
        <f t="shared" si="21"/>
        <v>123</v>
      </c>
      <c r="B83" s="631">
        <f t="shared" si="13"/>
        <v>73</v>
      </c>
      <c r="C83" s="663" t="str">
        <f t="shared" ca="1" si="19"/>
        <v/>
      </c>
      <c r="D83" s="671">
        <f t="shared" ca="1" si="18"/>
        <v>0</v>
      </c>
      <c r="E83" s="671">
        <f t="shared" ca="1" si="18"/>
        <v>0</v>
      </c>
      <c r="F83" s="671">
        <f t="shared" ca="1" si="18"/>
        <v>0</v>
      </c>
      <c r="G83" s="671">
        <f t="shared" ca="1" si="18"/>
        <v>0</v>
      </c>
      <c r="H83" s="671">
        <f t="shared" ca="1" si="18"/>
        <v>0</v>
      </c>
      <c r="I83" s="671">
        <f t="shared" ca="1" si="18"/>
        <v>0</v>
      </c>
      <c r="J83" s="671">
        <f t="shared" ca="1" si="18"/>
        <v>0</v>
      </c>
      <c r="K83" s="671">
        <f t="shared" ca="1" si="18"/>
        <v>0</v>
      </c>
      <c r="L83" s="671">
        <f t="shared" ca="1" si="18"/>
        <v>0</v>
      </c>
      <c r="M83" s="671">
        <f t="shared" ca="1" si="18"/>
        <v>0</v>
      </c>
      <c r="N83" s="671">
        <f t="shared" ca="1" si="18"/>
        <v>0</v>
      </c>
      <c r="O83" s="671">
        <f t="shared" ca="1" si="18"/>
        <v>0</v>
      </c>
      <c r="P83" s="705">
        <f t="shared" ca="1" si="20"/>
        <v>0</v>
      </c>
      <c r="Q83" s="664"/>
      <c r="R83" s="491"/>
    </row>
    <row r="84" spans="1:18">
      <c r="A84" s="424">
        <f t="shared" si="21"/>
        <v>124</v>
      </c>
      <c r="B84" s="627">
        <f t="shared" si="13"/>
        <v>74</v>
      </c>
      <c r="C84" s="662" t="str">
        <f t="shared" ca="1" si="19"/>
        <v/>
      </c>
      <c r="D84" s="672">
        <f ca="1">INDIRECT($C$1&amp;"!"&amp;VLOOKUP(D$2,mdr,2,0)&amp;$A84)</f>
        <v>0</v>
      </c>
      <c r="E84" s="672">
        <f t="shared" ca="1" si="18"/>
        <v>0</v>
      </c>
      <c r="F84" s="672">
        <f t="shared" ca="1" si="18"/>
        <v>0</v>
      </c>
      <c r="G84" s="672">
        <f t="shared" ca="1" si="18"/>
        <v>0</v>
      </c>
      <c r="H84" s="672">
        <f t="shared" ca="1" si="18"/>
        <v>0</v>
      </c>
      <c r="I84" s="672">
        <f t="shared" ca="1" si="18"/>
        <v>0</v>
      </c>
      <c r="J84" s="672">
        <f t="shared" ca="1" si="18"/>
        <v>0</v>
      </c>
      <c r="K84" s="672">
        <f t="shared" ca="1" si="18"/>
        <v>0</v>
      </c>
      <c r="L84" s="672">
        <f t="shared" ca="1" si="18"/>
        <v>0</v>
      </c>
      <c r="M84" s="672">
        <f t="shared" ca="1" si="18"/>
        <v>0</v>
      </c>
      <c r="N84" s="672">
        <f t="shared" ca="1" si="18"/>
        <v>0</v>
      </c>
      <c r="O84" s="672">
        <f t="shared" ca="1" si="18"/>
        <v>0</v>
      </c>
      <c r="P84" s="704">
        <f t="shared" ca="1" si="20"/>
        <v>0</v>
      </c>
      <c r="Q84" s="665"/>
      <c r="R84" s="493"/>
    </row>
    <row r="85" spans="1:18">
      <c r="A85" s="424">
        <f t="shared" si="21"/>
        <v>125</v>
      </c>
      <c r="B85" s="826">
        <f t="shared" si="13"/>
        <v>75</v>
      </c>
      <c r="C85" s="827" t="str">
        <f t="shared" ca="1" si="19"/>
        <v/>
      </c>
      <c r="D85" s="828">
        <f ca="1">INDIRECT($C$1&amp;"!"&amp;VLOOKUP(D$2,mdr,2,0)&amp;$A85)</f>
        <v>0</v>
      </c>
      <c r="E85" s="828">
        <f t="shared" ca="1" si="18"/>
        <v>0</v>
      </c>
      <c r="F85" s="828">
        <f t="shared" ca="1" si="18"/>
        <v>0</v>
      </c>
      <c r="G85" s="828">
        <f t="shared" ca="1" si="18"/>
        <v>0</v>
      </c>
      <c r="H85" s="828">
        <f t="shared" ca="1" si="18"/>
        <v>0</v>
      </c>
      <c r="I85" s="828">
        <f t="shared" ca="1" si="18"/>
        <v>0</v>
      </c>
      <c r="J85" s="828">
        <f t="shared" ca="1" si="18"/>
        <v>0</v>
      </c>
      <c r="K85" s="828">
        <f t="shared" ca="1" si="18"/>
        <v>0</v>
      </c>
      <c r="L85" s="828">
        <f t="shared" ca="1" si="18"/>
        <v>0</v>
      </c>
      <c r="M85" s="828">
        <f t="shared" ca="1" si="18"/>
        <v>0</v>
      </c>
      <c r="N85" s="828">
        <f t="shared" ca="1" si="18"/>
        <v>0</v>
      </c>
      <c r="O85" s="828">
        <f t="shared" ca="1" si="18"/>
        <v>0</v>
      </c>
      <c r="P85" s="829">
        <f t="shared" ca="1" si="20"/>
        <v>0</v>
      </c>
      <c r="Q85" s="665"/>
      <c r="R85" s="493"/>
    </row>
    <row r="86" spans="1:18">
      <c r="A86" s="424">
        <v>51</v>
      </c>
      <c r="B86" s="1121"/>
      <c r="C86" s="1122"/>
      <c r="D86" s="1123"/>
      <c r="E86" s="1123"/>
      <c r="F86" s="1123"/>
      <c r="G86" s="1123"/>
      <c r="H86" s="1123"/>
      <c r="I86" s="1123"/>
      <c r="J86" s="1123"/>
      <c r="K86" s="1123"/>
      <c r="L86" s="1123"/>
      <c r="M86" s="1123"/>
      <c r="N86" s="1123"/>
      <c r="O86" s="1123"/>
      <c r="P86" s="1124"/>
      <c r="Q86" s="665"/>
      <c r="R86" s="493"/>
    </row>
    <row r="87" spans="1:18">
      <c r="A87" s="424">
        <v>49</v>
      </c>
      <c r="B87" s="826"/>
      <c r="C87" s="827"/>
      <c r="D87" s="828"/>
      <c r="E87" s="828"/>
      <c r="F87" s="828"/>
      <c r="G87" s="828"/>
      <c r="H87" s="828"/>
      <c r="I87" s="828"/>
      <c r="J87" s="828"/>
      <c r="K87" s="828"/>
      <c r="L87" s="828"/>
      <c r="M87" s="828"/>
      <c r="N87" s="828"/>
      <c r="O87" s="828"/>
      <c r="P87" s="829"/>
      <c r="Q87" s="665"/>
      <c r="R87" s="493"/>
    </row>
    <row r="88" spans="1:18">
      <c r="A88" s="424">
        <v>50</v>
      </c>
      <c r="B88" s="880">
        <f>B85+1</f>
        <v>76</v>
      </c>
      <c r="C88" s="881" t="str">
        <f t="shared" ca="1" si="19"/>
        <v/>
      </c>
      <c r="D88" s="879">
        <f ca="1">INDIRECT($C$1&amp;"!"&amp;VLOOKUP(D$2,mdr,2,0)&amp;$A88)</f>
        <v>0</v>
      </c>
      <c r="E88" s="879">
        <f t="shared" ref="E88:O89" ca="1" si="23">INDIRECT($C$1&amp;"!"&amp;VLOOKUP(E$2,mdr,2,0)&amp;$A88)</f>
        <v>0</v>
      </c>
      <c r="F88" s="879">
        <f t="shared" ca="1" si="23"/>
        <v>0</v>
      </c>
      <c r="G88" s="879">
        <f t="shared" ca="1" si="23"/>
        <v>0</v>
      </c>
      <c r="H88" s="879">
        <f t="shared" ca="1" si="23"/>
        <v>0</v>
      </c>
      <c r="I88" s="879">
        <f t="shared" ca="1" si="23"/>
        <v>0</v>
      </c>
      <c r="J88" s="879">
        <f t="shared" ca="1" si="23"/>
        <v>0</v>
      </c>
      <c r="K88" s="879">
        <f t="shared" ca="1" si="23"/>
        <v>0</v>
      </c>
      <c r="L88" s="879">
        <f t="shared" ca="1" si="23"/>
        <v>0</v>
      </c>
      <c r="M88" s="879">
        <f t="shared" ca="1" si="23"/>
        <v>0</v>
      </c>
      <c r="N88" s="879">
        <f t="shared" ca="1" si="23"/>
        <v>0</v>
      </c>
      <c r="O88" s="879">
        <f t="shared" ca="1" si="23"/>
        <v>0</v>
      </c>
      <c r="P88" s="882">
        <f t="shared" ca="1" si="20"/>
        <v>0</v>
      </c>
      <c r="Q88" s="665"/>
      <c r="R88" s="493"/>
    </row>
    <row r="89" spans="1:18" ht="14" thickBot="1">
      <c r="A89" s="424">
        <v>126</v>
      </c>
      <c r="B89" s="960">
        <f t="shared" si="13"/>
        <v>77</v>
      </c>
      <c r="C89" s="961" t="str">
        <f t="shared" ca="1" si="19"/>
        <v/>
      </c>
      <c r="D89" s="962">
        <f ca="1">INDIRECT($C$1&amp;"!"&amp;VLOOKUP(D$2,mdr,2,0)&amp;$A89)</f>
        <v>0</v>
      </c>
      <c r="E89" s="962">
        <f t="shared" ca="1" si="23"/>
        <v>0</v>
      </c>
      <c r="F89" s="962">
        <f t="shared" ca="1" si="23"/>
        <v>0</v>
      </c>
      <c r="G89" s="962">
        <f t="shared" ca="1" si="23"/>
        <v>0</v>
      </c>
      <c r="H89" s="962">
        <f t="shared" ca="1" si="23"/>
        <v>0</v>
      </c>
      <c r="I89" s="962">
        <f t="shared" ca="1" si="23"/>
        <v>0</v>
      </c>
      <c r="J89" s="962">
        <f t="shared" ca="1" si="23"/>
        <v>0</v>
      </c>
      <c r="K89" s="962">
        <f t="shared" ca="1" si="23"/>
        <v>0</v>
      </c>
      <c r="L89" s="962">
        <f t="shared" ca="1" si="23"/>
        <v>0</v>
      </c>
      <c r="M89" s="962">
        <f t="shared" ca="1" si="23"/>
        <v>0</v>
      </c>
      <c r="N89" s="962">
        <f t="shared" ca="1" si="23"/>
        <v>0</v>
      </c>
      <c r="O89" s="962">
        <f t="shared" ca="1" si="23"/>
        <v>0</v>
      </c>
      <c r="P89" s="963">
        <f ca="1">SUM(D89:O89)</f>
        <v>0</v>
      </c>
      <c r="Q89" s="665"/>
      <c r="R89" s="493"/>
    </row>
    <row r="90" spans="1:18" ht="14" thickTop="1">
      <c r="B90" s="425" t="str">
        <f ca="1">IF(LEN(CONCATENATE($C$37,$C$38,$C$39))&gt;0,"*)","")</f>
        <v/>
      </c>
      <c r="C90" s="426" t="str">
        <f ca="1">IF(LEN(CONCATENATE($C$36,$C$37,$C$38))&gt;0,"Taksten beregnes som 1/1924 af alle faste månedsløndele (v. 100% BG) x 12 (bortset fra Gruppelivstillæg)","")</f>
        <v/>
      </c>
      <c r="Q90" s="664"/>
      <c r="R90" s="491"/>
    </row>
    <row r="91" spans="1:18">
      <c r="A91" s="433"/>
      <c r="B91" s="559" t="str">
        <f ca="1">IF(LEN(CONCATENATE(C61,C62))&gt;0,"**)","")</f>
        <v/>
      </c>
      <c r="C91" s="1177" t="str">
        <f ca="1">IF(LEN(CONCATENATE(C61,C62))&gt;0,"(Der indbetales18% af summen af de 'pensionsgivende løndele', der overstiger skalatrin 33 (bhkl.ledere) eller 42 (lærere) - også selv om der ikke er aftalt supplerende pension.)","")</f>
        <v/>
      </c>
      <c r="D91" s="1177"/>
      <c r="E91" s="1178"/>
      <c r="Q91" s="665"/>
      <c r="R91" s="493"/>
    </row>
    <row r="92" spans="1:18">
      <c r="A92" s="490"/>
      <c r="B92" s="490"/>
      <c r="C92" s="490"/>
      <c r="D92" s="494"/>
      <c r="E92" s="494"/>
      <c r="F92" s="490"/>
      <c r="G92" s="490"/>
      <c r="H92" s="490"/>
      <c r="I92" s="490"/>
      <c r="J92" s="494"/>
      <c r="K92" s="494"/>
      <c r="L92" s="490"/>
      <c r="M92" s="490"/>
      <c r="N92" s="490"/>
      <c r="O92" s="490"/>
      <c r="P92" s="490"/>
      <c r="Q92" s="664"/>
      <c r="R92" s="491"/>
    </row>
    <row r="93" spans="1:18">
      <c r="A93" s="492"/>
      <c r="B93" s="492"/>
      <c r="C93" s="492"/>
      <c r="D93" s="495"/>
      <c r="E93" s="495"/>
      <c r="F93" s="492"/>
      <c r="G93" s="492"/>
      <c r="H93" s="492"/>
      <c r="I93" s="492"/>
      <c r="J93" s="495"/>
      <c r="K93" s="495"/>
      <c r="L93" s="492"/>
      <c r="M93" s="492"/>
      <c r="N93" s="492"/>
      <c r="O93" s="492"/>
      <c r="P93" s="492"/>
      <c r="Q93" s="665"/>
      <c r="R93" s="493"/>
    </row>
    <row r="94" spans="1:18">
      <c r="A94" s="490"/>
      <c r="B94" s="490"/>
      <c r="C94" s="490"/>
      <c r="D94" s="494"/>
      <c r="E94" s="494"/>
      <c r="F94" s="490"/>
      <c r="G94" s="490"/>
      <c r="H94" s="490"/>
      <c r="I94" s="490"/>
      <c r="J94" s="494"/>
      <c r="K94" s="494"/>
      <c r="L94" s="490"/>
      <c r="M94" s="490"/>
      <c r="N94" s="490"/>
      <c r="O94" s="490"/>
      <c r="P94" s="490"/>
      <c r="Q94" s="664"/>
      <c r="R94" s="491"/>
    </row>
  </sheetData>
  <sheetProtection sheet="1" formatCells="0" formatColumns="0" formatRows="0"/>
  <mergeCells count="1">
    <mergeCell ref="C91:E91"/>
  </mergeCells>
  <phoneticPr fontId="12" type="noConversion"/>
  <printOptions horizontalCentered="1" verticalCentered="1"/>
  <pageMargins left="0.36000000000000004" right="0.36000000000000004" top="0.41000000000000009" bottom="0.41000000000000009"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3">
              <controlPr defaultSize="0" print="0" autoFill="0" autoPict="0">
                <anchor moveWithCells="1" sizeWithCells="1">
                  <from>
                    <xdr:col>15</xdr:col>
                    <xdr:colOff>12700</xdr:colOff>
                    <xdr:row>0</xdr:row>
                    <xdr:rowOff>63500</xdr:rowOff>
                  </from>
                  <to>
                    <xdr:col>15</xdr:col>
                    <xdr:colOff>927100</xdr:colOff>
                    <xdr:row>2</xdr:row>
                    <xdr:rowOff>254000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5" tint="0.59999389629810485"/>
    <pageSetUpPr fitToPage="1"/>
  </sheetPr>
  <dimension ref="A1:T92"/>
  <sheetViews>
    <sheetView showZeros="0" workbookViewId="0">
      <selection activeCell="F20" sqref="F20"/>
    </sheetView>
  </sheetViews>
  <sheetFormatPr baseColWidth="10" defaultColWidth="10.7109375" defaultRowHeight="14"/>
  <cols>
    <col min="1" max="1" width="6" style="90" customWidth="1"/>
    <col min="2" max="2" width="3.42578125" style="90" customWidth="1"/>
    <col min="3" max="3" width="32" style="90" customWidth="1"/>
    <col min="4" max="4" width="12" style="90" bestFit="1" customWidth="1"/>
    <col min="5" max="5" width="11.28515625" style="90" bestFit="1" customWidth="1"/>
    <col min="6" max="12" width="10.7109375" style="90"/>
    <col min="13" max="13" width="11.28515625" style="90" bestFit="1" customWidth="1"/>
    <col min="14" max="15" width="10.7109375" style="90"/>
    <col min="16" max="16" width="12.140625" style="518" customWidth="1"/>
    <col min="17" max="17" width="10.7109375" style="90"/>
    <col min="18" max="18" width="11.28515625" style="90" bestFit="1" customWidth="1"/>
    <col min="19" max="19" width="4.28515625" style="90" bestFit="1" customWidth="1"/>
    <col min="20" max="20" width="2.28515625" style="90" bestFit="1" customWidth="1"/>
    <col min="21" max="16384" width="10.7109375" style="90"/>
  </cols>
  <sheetData>
    <row r="1" spans="1:20" ht="15">
      <c r="A1" s="90" t="s">
        <v>268</v>
      </c>
      <c r="C1" s="503" t="s">
        <v>269</v>
      </c>
      <c r="D1" s="90" t="s">
        <v>483</v>
      </c>
      <c r="P1" s="541" t="s">
        <v>520</v>
      </c>
      <c r="Q1" s="335" t="s">
        <v>491</v>
      </c>
      <c r="R1" s="335"/>
    </row>
    <row r="2" spans="1:20" ht="15">
      <c r="D2" s="522" t="s">
        <v>278</v>
      </c>
      <c r="E2" s="522" t="s">
        <v>292</v>
      </c>
      <c r="F2" s="522" t="s">
        <v>294</v>
      </c>
      <c r="G2" s="522" t="s">
        <v>296</v>
      </c>
      <c r="H2" s="522" t="s">
        <v>298</v>
      </c>
      <c r="I2" s="522" t="s">
        <v>300</v>
      </c>
      <c r="J2" s="522" t="s">
        <v>302</v>
      </c>
      <c r="K2" s="522" t="s">
        <v>304</v>
      </c>
      <c r="L2" s="522" t="s">
        <v>306</v>
      </c>
      <c r="M2" s="522" t="s">
        <v>308</v>
      </c>
      <c r="N2" s="522" t="s">
        <v>310</v>
      </c>
      <c r="O2" s="522" t="s">
        <v>312</v>
      </c>
      <c r="P2" s="542" t="s">
        <v>521</v>
      </c>
      <c r="Q2" s="335" t="s">
        <v>492</v>
      </c>
      <c r="R2" s="335"/>
    </row>
    <row r="3" spans="1:20" s="336" customFormat="1">
      <c r="C3" s="335" t="s">
        <v>499</v>
      </c>
      <c r="D3" s="503">
        <v>31</v>
      </c>
      <c r="E3" s="503">
        <v>30</v>
      </c>
      <c r="F3" s="503">
        <v>31</v>
      </c>
      <c r="G3" s="503">
        <v>30</v>
      </c>
      <c r="H3" s="503"/>
      <c r="I3" s="503"/>
      <c r="J3" s="503"/>
      <c r="K3" s="503"/>
      <c r="L3" s="503"/>
      <c r="M3" s="503"/>
      <c r="N3" s="503"/>
      <c r="O3" s="503"/>
      <c r="P3" s="540">
        <f>SUM(D3:O3)</f>
        <v>122</v>
      </c>
      <c r="Q3" s="492"/>
      <c r="R3" s="493"/>
    </row>
    <row r="4" spans="1:20" s="336" customFormat="1">
      <c r="C4" s="335" t="s">
        <v>500</v>
      </c>
      <c r="D4" s="336">
        <v>31</v>
      </c>
      <c r="E4" s="336">
        <v>30</v>
      </c>
      <c r="F4" s="336">
        <v>31</v>
      </c>
      <c r="G4" s="336">
        <v>30</v>
      </c>
      <c r="H4" s="336">
        <v>31</v>
      </c>
      <c r="I4" s="336">
        <v>31</v>
      </c>
      <c r="J4" s="336">
        <v>29</v>
      </c>
      <c r="K4" s="336">
        <v>31</v>
      </c>
      <c r="L4" s="336">
        <v>30</v>
      </c>
      <c r="M4" s="336">
        <v>31</v>
      </c>
      <c r="N4" s="336">
        <v>30</v>
      </c>
      <c r="O4" s="336">
        <v>31</v>
      </c>
      <c r="P4" s="519"/>
      <c r="Q4" s="490"/>
      <c r="R4" s="491"/>
    </row>
    <row r="5" spans="1:20" s="336" customFormat="1" ht="15" thickBot="1">
      <c r="C5" s="335" t="s">
        <v>512</v>
      </c>
      <c r="D5" s="558"/>
      <c r="E5" s="558"/>
      <c r="F5" s="558">
        <v>0.8</v>
      </c>
      <c r="G5" s="558"/>
      <c r="H5" s="558"/>
      <c r="I5" s="558"/>
      <c r="J5" s="558"/>
      <c r="K5" s="558"/>
      <c r="L5" s="558"/>
      <c r="M5" s="558"/>
      <c r="N5" s="558"/>
      <c r="O5" s="558"/>
      <c r="P5" s="519"/>
      <c r="Q5" s="492"/>
      <c r="R5" s="493"/>
    </row>
    <row r="6" spans="1:20" ht="25" customHeight="1">
      <c r="A6" s="336">
        <v>1</v>
      </c>
      <c r="B6" s="531"/>
      <c r="C6" s="532" t="s">
        <v>272</v>
      </c>
      <c r="D6" s="533" t="str">
        <f t="shared" ref="D6:O12" ca="1" si="0">INDIRECT($C$1&amp;"!"&amp;VLOOKUP(D$2,mdr,2,0)&amp;$A6)</f>
        <v xml:space="preserve">A </v>
      </c>
      <c r="E6" s="534" t="str">
        <f t="shared" ca="1" si="0"/>
        <v xml:space="preserve">A </v>
      </c>
      <c r="F6" s="534" t="str">
        <f t="shared" ca="1" si="0"/>
        <v xml:space="preserve">A </v>
      </c>
      <c r="G6" s="534" t="str">
        <f t="shared" ca="1" si="0"/>
        <v xml:space="preserve">A </v>
      </c>
      <c r="H6" s="534" t="str">
        <f t="shared" ca="1" si="0"/>
        <v xml:space="preserve">A </v>
      </c>
      <c r="I6" s="534" t="str">
        <f t="shared" ca="1" si="0"/>
        <v xml:space="preserve">A </v>
      </c>
      <c r="J6" s="534" t="str">
        <f t="shared" ca="1" si="0"/>
        <v xml:space="preserve">A </v>
      </c>
      <c r="K6" s="534" t="str">
        <f t="shared" ca="1" si="0"/>
        <v xml:space="preserve">A </v>
      </c>
      <c r="L6" s="534" t="str">
        <f t="shared" ca="1" si="0"/>
        <v xml:space="preserve">A </v>
      </c>
      <c r="M6" s="534" t="str">
        <f t="shared" ca="1" si="0"/>
        <v xml:space="preserve">A </v>
      </c>
      <c r="N6" s="534" t="str">
        <f t="shared" ca="1" si="0"/>
        <v xml:space="preserve">A </v>
      </c>
      <c r="O6" s="535" t="str">
        <f t="shared" ca="1" si="0"/>
        <v xml:space="preserve">A </v>
      </c>
      <c r="Q6" s="490"/>
      <c r="R6" s="491"/>
      <c r="S6" s="516"/>
      <c r="T6" s="516"/>
    </row>
    <row r="7" spans="1:20">
      <c r="A7" s="336">
        <v>2</v>
      </c>
      <c r="B7" s="504"/>
      <c r="C7" s="263" t="s">
        <v>273</v>
      </c>
      <c r="D7" s="412" t="str">
        <f t="shared" ca="1" si="0"/>
        <v>AUG 25</v>
      </c>
      <c r="E7" s="264" t="str">
        <f t="shared" ca="1" si="0"/>
        <v>SEP 25</v>
      </c>
      <c r="F7" s="264" t="str">
        <f t="shared" ca="1" si="0"/>
        <v>OKT 25</v>
      </c>
      <c r="G7" s="264" t="str">
        <f t="shared" ca="1" si="0"/>
        <v>NOV 25</v>
      </c>
      <c r="H7" s="264" t="str">
        <f t="shared" ca="1" si="0"/>
        <v>DEC 25</v>
      </c>
      <c r="I7" s="264" t="str">
        <f t="shared" ca="1" si="0"/>
        <v>JAN 26</v>
      </c>
      <c r="J7" s="264" t="str">
        <f t="shared" ca="1" si="0"/>
        <v>FEB 26</v>
      </c>
      <c r="K7" s="264" t="str">
        <f t="shared" ca="1" si="0"/>
        <v>MAR 26</v>
      </c>
      <c r="L7" s="264" t="str">
        <f t="shared" ca="1" si="0"/>
        <v>APR 26</v>
      </c>
      <c r="M7" s="264" t="str">
        <f t="shared" ca="1" si="0"/>
        <v>MAJ 26</v>
      </c>
      <c r="N7" s="264" t="str">
        <f t="shared" ca="1" si="0"/>
        <v>JUN 26</v>
      </c>
      <c r="O7" s="505" t="str">
        <f t="shared" ca="1" si="0"/>
        <v>JUL 26</v>
      </c>
      <c r="Q7" s="492"/>
      <c r="R7" s="493"/>
    </row>
    <row r="8" spans="1:20" ht="15">
      <c r="A8" s="336">
        <v>8</v>
      </c>
      <c r="B8" s="506"/>
      <c r="C8" s="265" t="s">
        <v>518</v>
      </c>
      <c r="D8" s="339" t="str">
        <f t="shared" ca="1" si="0"/>
        <v>Nej</v>
      </c>
      <c r="E8" s="266" t="str">
        <f t="shared" ca="1" si="0"/>
        <v>Nej</v>
      </c>
      <c r="F8" s="266" t="str">
        <f t="shared" ca="1" si="0"/>
        <v>Nej</v>
      </c>
      <c r="G8" s="266" t="str">
        <f t="shared" ca="1" si="0"/>
        <v>Nej</v>
      </c>
      <c r="H8" s="266" t="str">
        <f t="shared" ca="1" si="0"/>
        <v>Nej</v>
      </c>
      <c r="I8" s="266" t="str">
        <f t="shared" ca="1" si="0"/>
        <v>Nej</v>
      </c>
      <c r="J8" s="266" t="str">
        <f t="shared" ca="1" si="0"/>
        <v>Nej</v>
      </c>
      <c r="K8" s="266" t="str">
        <f t="shared" ca="1" si="0"/>
        <v>Nej</v>
      </c>
      <c r="L8" s="266" t="str">
        <f t="shared" ca="1" si="0"/>
        <v>Nej</v>
      </c>
      <c r="M8" s="266" t="str">
        <f t="shared" ca="1" si="0"/>
        <v>Nej</v>
      </c>
      <c r="N8" s="266" t="str">
        <f t="shared" ca="1" si="0"/>
        <v>Nej</v>
      </c>
      <c r="O8" s="507" t="str">
        <f t="shared" ca="1" si="0"/>
        <v>Nej</v>
      </c>
      <c r="P8" s="527" t="s">
        <v>513</v>
      </c>
      <c r="Q8" s="490"/>
      <c r="R8" s="491"/>
    </row>
    <row r="9" spans="1:20">
      <c r="A9" s="336">
        <v>3</v>
      </c>
      <c r="B9" s="504"/>
      <c r="C9" s="263" t="s">
        <v>275</v>
      </c>
      <c r="D9" s="340">
        <f t="shared" ca="1" si="0"/>
        <v>1</v>
      </c>
      <c r="E9" s="427">
        <f t="shared" ca="1" si="0"/>
        <v>1</v>
      </c>
      <c r="F9" s="427">
        <f t="shared" ca="1" si="0"/>
        <v>1</v>
      </c>
      <c r="G9" s="427">
        <f t="shared" ca="1" si="0"/>
        <v>1</v>
      </c>
      <c r="H9" s="427">
        <f t="shared" ca="1" si="0"/>
        <v>1</v>
      </c>
      <c r="I9" s="427">
        <f t="shared" ca="1" si="0"/>
        <v>1</v>
      </c>
      <c r="J9" s="427">
        <f t="shared" ca="1" si="0"/>
        <v>1</v>
      </c>
      <c r="K9" s="427">
        <f t="shared" ca="1" si="0"/>
        <v>1</v>
      </c>
      <c r="L9" s="427">
        <f t="shared" ca="1" si="0"/>
        <v>1</v>
      </c>
      <c r="M9" s="427">
        <f t="shared" ca="1" si="0"/>
        <v>1</v>
      </c>
      <c r="N9" s="427">
        <f t="shared" ca="1" si="0"/>
        <v>1</v>
      </c>
      <c r="O9" s="508">
        <f t="shared" ca="1" si="0"/>
        <v>1</v>
      </c>
      <c r="P9" s="528" t="s">
        <v>514</v>
      </c>
      <c r="Q9" s="492"/>
      <c r="R9" s="493"/>
      <c r="S9" s="413" t="s">
        <v>278</v>
      </c>
      <c r="T9" s="414" t="s">
        <v>297</v>
      </c>
    </row>
    <row r="10" spans="1:20" ht="13" customHeight="1">
      <c r="A10" s="336">
        <v>7</v>
      </c>
      <c r="B10" s="506"/>
      <c r="C10" s="265" t="s">
        <v>416</v>
      </c>
      <c r="D10" s="417">
        <f t="shared" ca="1" si="0"/>
        <v>0</v>
      </c>
      <c r="E10" s="418">
        <f t="shared" ca="1" si="0"/>
        <v>0</v>
      </c>
      <c r="F10" s="418">
        <f t="shared" ca="1" si="0"/>
        <v>0</v>
      </c>
      <c r="G10" s="418">
        <f t="shared" ca="1" si="0"/>
        <v>0</v>
      </c>
      <c r="H10" s="418">
        <f t="shared" ca="1" si="0"/>
        <v>0</v>
      </c>
      <c r="I10" s="418">
        <f t="shared" ca="1" si="0"/>
        <v>0</v>
      </c>
      <c r="J10" s="418">
        <f t="shared" ca="1" si="0"/>
        <v>0</v>
      </c>
      <c r="K10" s="418">
        <f t="shared" ca="1" si="0"/>
        <v>0</v>
      </c>
      <c r="L10" s="418">
        <f t="shared" ca="1" si="0"/>
        <v>0</v>
      </c>
      <c r="M10" s="418">
        <f t="shared" ca="1" si="0"/>
        <v>0</v>
      </c>
      <c r="N10" s="418">
        <f t="shared" ca="1" si="0"/>
        <v>0</v>
      </c>
      <c r="O10" s="509">
        <f t="shared" ca="1" si="0"/>
        <v>0</v>
      </c>
      <c r="P10" s="526" t="s">
        <v>515</v>
      </c>
      <c r="Q10" s="490"/>
      <c r="R10" s="491"/>
      <c r="S10" s="415" t="s">
        <v>292</v>
      </c>
      <c r="T10" s="416" t="s">
        <v>299</v>
      </c>
    </row>
    <row r="11" spans="1:20" ht="15">
      <c r="A11" s="336">
        <v>9</v>
      </c>
      <c r="B11" s="504"/>
      <c r="C11" s="263" t="s">
        <v>417</v>
      </c>
      <c r="D11" s="428" t="str">
        <f t="shared" ca="1" si="0"/>
        <v>Nej</v>
      </c>
      <c r="E11" s="429" t="str">
        <f t="shared" ca="1" si="0"/>
        <v>Nej</v>
      </c>
      <c r="F11" s="429" t="str">
        <f t="shared" ca="1" si="0"/>
        <v>Nej</v>
      </c>
      <c r="G11" s="429" t="str">
        <f t="shared" ca="1" si="0"/>
        <v>Nej</v>
      </c>
      <c r="H11" s="429" t="str">
        <f t="shared" ca="1" si="0"/>
        <v>Nej</v>
      </c>
      <c r="I11" s="429" t="str">
        <f t="shared" ca="1" si="0"/>
        <v>Nej</v>
      </c>
      <c r="J11" s="429" t="str">
        <f t="shared" ca="1" si="0"/>
        <v>Nej</v>
      </c>
      <c r="K11" s="429" t="str">
        <f t="shared" ca="1" si="0"/>
        <v>Nej</v>
      </c>
      <c r="L11" s="429" t="str">
        <f t="shared" ca="1" si="0"/>
        <v>Nej</v>
      </c>
      <c r="M11" s="429" t="str">
        <f t="shared" ca="1" si="0"/>
        <v>Nej</v>
      </c>
      <c r="N11" s="429" t="str">
        <f t="shared" ca="1" si="0"/>
        <v>Nej</v>
      </c>
      <c r="O11" s="510" t="str">
        <f t="shared" ca="1" si="0"/>
        <v>Nej</v>
      </c>
      <c r="P11" s="525">
        <f ca="1">LEFT(INDIRECT($C$1&amp;"!a1"),4)+1</f>
        <v>2025</v>
      </c>
      <c r="Q11" s="492"/>
      <c r="R11" s="493"/>
      <c r="S11" s="415" t="s">
        <v>294</v>
      </c>
      <c r="T11" s="416" t="s">
        <v>301</v>
      </c>
    </row>
    <row r="12" spans="1:20">
      <c r="A12" s="419">
        <v>4</v>
      </c>
      <c r="B12" s="506"/>
      <c r="C12" s="265" t="s">
        <v>276</v>
      </c>
      <c r="D12" s="417" t="str">
        <f t="shared" ca="1" si="0"/>
        <v>Læ1</v>
      </c>
      <c r="E12" s="418" t="str">
        <f t="shared" ca="1" si="0"/>
        <v>Læ1</v>
      </c>
      <c r="F12" s="418" t="str">
        <f t="shared" ca="1" si="0"/>
        <v>Læ1</v>
      </c>
      <c r="G12" s="418" t="str">
        <f t="shared" ca="1" si="0"/>
        <v>Læ1</v>
      </c>
      <c r="H12" s="418" t="str">
        <f t="shared" ca="1" si="0"/>
        <v>Læ1</v>
      </c>
      <c r="I12" s="418" t="str">
        <f t="shared" ca="1" si="0"/>
        <v>Læ1</v>
      </c>
      <c r="J12" s="418" t="str">
        <f t="shared" ca="1" si="0"/>
        <v>Læ1</v>
      </c>
      <c r="K12" s="418" t="str">
        <f t="shared" ca="1" si="0"/>
        <v>Læ1</v>
      </c>
      <c r="L12" s="418" t="str">
        <f t="shared" ca="1" si="0"/>
        <v>Læ1</v>
      </c>
      <c r="M12" s="418" t="str">
        <f t="shared" ca="1" si="0"/>
        <v>Læ1</v>
      </c>
      <c r="N12" s="418" t="str">
        <f t="shared" ca="1" si="0"/>
        <v>Læ1</v>
      </c>
      <c r="O12" s="509" t="str">
        <f t="shared" ca="1" si="0"/>
        <v>Læ1</v>
      </c>
      <c r="P12" s="521" t="e">
        <f ca="1">INDIRECT($C$1&amp;"!"&amp;"A"&amp;103)+SUM(D16:H33)+SUM(D40:H44)</f>
        <v>#VALUE!</v>
      </c>
      <c r="Q12" s="490"/>
      <c r="R12" s="491"/>
      <c r="S12" s="415" t="s">
        <v>296</v>
      </c>
      <c r="T12" s="416" t="s">
        <v>303</v>
      </c>
    </row>
    <row r="13" spans="1:20">
      <c r="B13" s="504"/>
      <c r="C13" s="263" t="s">
        <v>429</v>
      </c>
      <c r="D13" s="420" t="str">
        <f ca="1">IF(LEFT(INDIRECT($C$1&amp;"!G5"))="L","LP","Tj.m., trin "&amp;RIGHT(INDIRECT($C$1&amp;"!G5"),2))</f>
        <v>LP</v>
      </c>
      <c r="E13" s="421" t="str">
        <f ca="1">IF(LEFT(INDIRECT($C$1&amp;"!G5"))="L","LP","Tj.m., trin "&amp;RIGHT(INDIRECT($C$1&amp;"!h5"),2))</f>
        <v>LP</v>
      </c>
      <c r="F13" s="421" t="str">
        <f ca="1">IF(LEFT(INDIRECT($C$1&amp;"!G5"))="L","LP","Tj.m., trin "&amp;RIGHT(INDIRECT($C$1&amp;"!i5"),2))</f>
        <v>LP</v>
      </c>
      <c r="G13" s="421" t="str">
        <f ca="1">IF(LEFT(INDIRECT($C$1&amp;"!G5"))="L","LP","Tj.m., trin "&amp;RIGHT(INDIRECT($C$1&amp;"!j5"),2))</f>
        <v>LP</v>
      </c>
      <c r="H13" s="421" t="str">
        <f ca="1">IF(LEFT(INDIRECT($C$1&amp;"!G5"))="L","LP","Tj.m., trin "&amp;RIGHT(INDIRECT($C$1&amp;"!k5"),2))</f>
        <v>LP</v>
      </c>
      <c r="I13" s="421" t="str">
        <f ca="1">IF(LEFT(INDIRECT($C$1&amp;"!G5"))="L","LP","Tj.m., trin "&amp;RIGHT(INDIRECT($C$1&amp;"!l5"),2))</f>
        <v>LP</v>
      </c>
      <c r="J13" s="421" t="str">
        <f ca="1">IF(LEFT(INDIRECT($C$1&amp;"!G5"))="L","LP","Tj.m., trin "&amp;RIGHT(INDIRECT($C$1&amp;"!m5"),2))</f>
        <v>LP</v>
      </c>
      <c r="K13" s="421" t="str">
        <f ca="1">IF(LEFT(INDIRECT($C$1&amp;"!G5"))="L","LP","Tj.m., trin "&amp;RIGHT(INDIRECT($C$1&amp;"!n5"),2))</f>
        <v>LP</v>
      </c>
      <c r="L13" s="421" t="str">
        <f ca="1">IF(LEFT(INDIRECT($C$1&amp;"!G5"))="L","LP","Tj.m., trin "&amp;RIGHT(INDIRECT($C$1&amp;"!o5"),2))</f>
        <v>LP</v>
      </c>
      <c r="M13" s="421" t="str">
        <f ca="1">IF(LEFT(INDIRECT($C$1&amp;"!G5"))="L","LP","Tj.m., trin "&amp;RIGHT(INDIRECT($C$1&amp;"!p5"),2))</f>
        <v>LP</v>
      </c>
      <c r="N13" s="421" t="str">
        <f ca="1">IF(LEFT(INDIRECT($C$1&amp;"!G5"))="L","LP","Tj.m., trin "&amp;RIGHT(INDIRECT($C$1&amp;"!q5"),2))</f>
        <v>LP</v>
      </c>
      <c r="O13" s="511" t="str">
        <f ca="1">IF(LEFT(INDIRECT($C$1&amp;"!G5"))="L","LP","Tj.m., trin "&amp;RIGHT(INDIRECT($C$1&amp;"!r5"),2))</f>
        <v>LP</v>
      </c>
      <c r="P13" s="517"/>
      <c r="Q13" s="492"/>
      <c r="R13" s="493"/>
      <c r="S13" s="415" t="s">
        <v>298</v>
      </c>
      <c r="T13" s="416" t="s">
        <v>305</v>
      </c>
    </row>
    <row r="14" spans="1:20" ht="13" customHeight="1">
      <c r="A14" s="336"/>
      <c r="B14" s="506"/>
      <c r="C14" s="265" t="s">
        <v>501</v>
      </c>
      <c r="D14" s="536">
        <f t="shared" ref="D14:O14" si="1">D3/D4</f>
        <v>1</v>
      </c>
      <c r="E14" s="537">
        <f t="shared" si="1"/>
        <v>1</v>
      </c>
      <c r="F14" s="537">
        <f t="shared" si="1"/>
        <v>1</v>
      </c>
      <c r="G14" s="537">
        <f t="shared" si="1"/>
        <v>1</v>
      </c>
      <c r="H14" s="537">
        <f t="shared" si="1"/>
        <v>0</v>
      </c>
      <c r="I14" s="537">
        <f t="shared" si="1"/>
        <v>0</v>
      </c>
      <c r="J14" s="537">
        <f t="shared" si="1"/>
        <v>0</v>
      </c>
      <c r="K14" s="537">
        <f t="shared" si="1"/>
        <v>0</v>
      </c>
      <c r="L14" s="537">
        <f t="shared" si="1"/>
        <v>0</v>
      </c>
      <c r="M14" s="537">
        <f t="shared" si="1"/>
        <v>0</v>
      </c>
      <c r="N14" s="537">
        <f t="shared" si="1"/>
        <v>0</v>
      </c>
      <c r="O14" s="538">
        <f t="shared" si="1"/>
        <v>0</v>
      </c>
      <c r="P14" s="527" t="s">
        <v>513</v>
      </c>
      <c r="Q14" s="490"/>
      <c r="R14" s="491"/>
      <c r="S14" s="415" t="s">
        <v>300</v>
      </c>
      <c r="T14" s="416" t="s">
        <v>307</v>
      </c>
    </row>
    <row r="15" spans="1:20" ht="13" customHeight="1">
      <c r="A15" s="336"/>
      <c r="B15" s="504"/>
      <c r="C15" s="263" t="s">
        <v>519</v>
      </c>
      <c r="D15" s="539" t="str">
        <f ca="1">IF(AND(D8&gt;D5,D5&gt;0),D5,"")</f>
        <v/>
      </c>
      <c r="E15" s="539" t="str">
        <f ca="1">IF(AND(E8&gt;E5,E5&gt;0),E5,"")</f>
        <v/>
      </c>
      <c r="F15" s="539">
        <v>0.8</v>
      </c>
      <c r="G15" s="539" t="str">
        <f t="shared" ref="G15:O15" ca="1" si="2">IF(AND(G8&gt;G5,G5&gt;0),G5,"")</f>
        <v/>
      </c>
      <c r="H15" s="539" t="str">
        <f t="shared" ca="1" si="2"/>
        <v/>
      </c>
      <c r="I15" s="539" t="str">
        <f t="shared" ca="1" si="2"/>
        <v/>
      </c>
      <c r="J15" s="539" t="str">
        <f t="shared" ca="1" si="2"/>
        <v/>
      </c>
      <c r="K15" s="539" t="str">
        <f t="shared" ca="1" si="2"/>
        <v/>
      </c>
      <c r="L15" s="539" t="str">
        <f t="shared" ca="1" si="2"/>
        <v/>
      </c>
      <c r="M15" s="539" t="str">
        <f t="shared" ca="1" si="2"/>
        <v/>
      </c>
      <c r="N15" s="539" t="str">
        <f t="shared" ca="1" si="2"/>
        <v/>
      </c>
      <c r="O15" s="539" t="str">
        <f t="shared" ca="1" si="2"/>
        <v/>
      </c>
      <c r="P15" s="528" t="s">
        <v>514</v>
      </c>
      <c r="Q15" s="492"/>
      <c r="R15" s="493"/>
      <c r="S15" s="415" t="s">
        <v>302</v>
      </c>
      <c r="T15" s="416" t="s">
        <v>309</v>
      </c>
    </row>
    <row r="16" spans="1:20">
      <c r="A16" s="336">
        <v>48</v>
      </c>
      <c r="B16" s="638">
        <v>1</v>
      </c>
      <c r="C16" s="476" t="e">
        <f ca="1">IF(SUM(D16:O16)&lt;&gt;0,INDIRECT($C$1&amp;"!f"&amp;A16),"")</f>
        <v>#VALUE!</v>
      </c>
      <c r="D16" s="476" t="e">
        <f t="shared" ref="D16:O19" ca="1" si="3">INDIRECT($C$1&amp;"!"&amp;VLOOKUP(D$2,mdr,2,0)&amp;$A16)*(1-D$3/D$4)+IF(D$15&gt;0,INDIRECT($C$1&amp;"!"&amp;VLOOKUP(D$2,mdr,2,0)&amp;$A16)*D$3/D$4*D$5/D$8,0)</f>
        <v>#VALUE!</v>
      </c>
      <c r="E16" s="476" t="e">
        <f t="shared" ca="1" si="3"/>
        <v>#VALUE!</v>
      </c>
      <c r="F16" s="476" t="e">
        <f t="shared" ca="1" si="3"/>
        <v>#VALUE!</v>
      </c>
      <c r="G16" s="476" t="e">
        <f t="shared" ca="1" si="3"/>
        <v>#VALUE!</v>
      </c>
      <c r="H16" s="476" t="e">
        <f t="shared" ca="1" si="3"/>
        <v>#VALUE!</v>
      </c>
      <c r="I16" s="476" t="e">
        <f t="shared" ca="1" si="3"/>
        <v>#VALUE!</v>
      </c>
      <c r="J16" s="476" t="e">
        <f t="shared" ca="1" si="3"/>
        <v>#VALUE!</v>
      </c>
      <c r="K16" s="476" t="e">
        <f t="shared" ca="1" si="3"/>
        <v>#VALUE!</v>
      </c>
      <c r="L16" s="476" t="e">
        <f t="shared" ca="1" si="3"/>
        <v>#VALUE!</v>
      </c>
      <c r="M16" s="476" t="e">
        <f t="shared" ca="1" si="3"/>
        <v>#VALUE!</v>
      </c>
      <c r="N16" s="476" t="e">
        <f t="shared" ca="1" si="3"/>
        <v>#VALUE!</v>
      </c>
      <c r="O16" s="476" t="e">
        <f t="shared" ca="1" si="3"/>
        <v>#VALUE!</v>
      </c>
      <c r="P16" s="528" t="s">
        <v>515</v>
      </c>
      <c r="Q16" s="490"/>
      <c r="R16" s="491"/>
      <c r="S16" s="415" t="s">
        <v>304</v>
      </c>
      <c r="T16" s="416" t="s">
        <v>311</v>
      </c>
    </row>
    <row r="17" spans="1:20">
      <c r="A17" s="336">
        <f>A16+1</f>
        <v>49</v>
      </c>
      <c r="B17" s="639">
        <f>B16+1</f>
        <v>2</v>
      </c>
      <c r="C17" s="477" t="e">
        <f t="shared" ref="C17:C42" ca="1" si="4">IF(SUM(D17:O17)&lt;&gt;0,INDIRECT($C$1&amp;"!f"&amp;A17),"")</f>
        <v>#VALUE!</v>
      </c>
      <c r="D17" s="477" t="e">
        <f t="shared" ca="1" si="3"/>
        <v>#VALUE!</v>
      </c>
      <c r="E17" s="477" t="e">
        <f t="shared" ca="1" si="3"/>
        <v>#VALUE!</v>
      </c>
      <c r="F17" s="477" t="e">
        <f t="shared" ca="1" si="3"/>
        <v>#VALUE!</v>
      </c>
      <c r="G17" s="477" t="e">
        <f t="shared" ca="1" si="3"/>
        <v>#VALUE!</v>
      </c>
      <c r="H17" s="477" t="e">
        <f t="shared" ca="1" si="3"/>
        <v>#VALUE!</v>
      </c>
      <c r="I17" s="477" t="e">
        <f t="shared" ca="1" si="3"/>
        <v>#VALUE!</v>
      </c>
      <c r="J17" s="477" t="e">
        <f t="shared" ca="1" si="3"/>
        <v>#VALUE!</v>
      </c>
      <c r="K17" s="477" t="e">
        <f t="shared" ca="1" si="3"/>
        <v>#VALUE!</v>
      </c>
      <c r="L17" s="477" t="e">
        <f t="shared" ca="1" si="3"/>
        <v>#VALUE!</v>
      </c>
      <c r="M17" s="477" t="e">
        <f t="shared" ca="1" si="3"/>
        <v>#VALUE!</v>
      </c>
      <c r="N17" s="477" t="e">
        <f t="shared" ca="1" si="3"/>
        <v>#VALUE!</v>
      </c>
      <c r="O17" s="477" t="e">
        <f t="shared" ca="1" si="3"/>
        <v>#VALUE!</v>
      </c>
      <c r="P17" s="528">
        <f ca="1">P11+1</f>
        <v>2026</v>
      </c>
      <c r="Q17" s="492"/>
      <c r="R17" s="493"/>
      <c r="S17" s="415" t="s">
        <v>306</v>
      </c>
      <c r="T17" s="416" t="s">
        <v>313</v>
      </c>
    </row>
    <row r="18" spans="1:20">
      <c r="A18" s="336">
        <f t="shared" ref="A18:B42" si="5">A17+1</f>
        <v>50</v>
      </c>
      <c r="B18" s="638">
        <f t="shared" si="5"/>
        <v>3</v>
      </c>
      <c r="C18" s="476" t="e">
        <f t="shared" ca="1" si="4"/>
        <v>#VALUE!</v>
      </c>
      <c r="D18" s="476" t="e">
        <f ca="1">INDIRECT($C$1&amp;"!"&amp;VLOOKUP(D$2,mdr,2,0)&amp;$A18)*(1-D$3/D$4)+IF(D$15&gt;0,INDIRECT($C$1&amp;"!"&amp;VLOOKUP(D$2,mdr,2,0)&amp;$A18)*D$3/D$4*D$5/D$8,0)</f>
        <v>#VALUE!</v>
      </c>
      <c r="E18" s="476" t="e">
        <f t="shared" ca="1" si="3"/>
        <v>#VALUE!</v>
      </c>
      <c r="F18" s="476">
        <f ca="1">INDIRECT($C$1&amp;"!"&amp;VLOOKUP(F$2,mdr,2,0)&amp;$A18)*(1-F$3/F$4)+IF(F$15&gt;0,INDIRECT($C$1&amp;"!"&amp;VLOOKUP(F$2,mdr,2,0)&amp;$A18)*F$3/F$4*IF(F$5&gt;0,F$15/F$5),0)</f>
        <v>0</v>
      </c>
      <c r="G18" s="476">
        <f ca="1">INDIRECT($C$1&amp;"!"&amp;VLOOKUP(G$2,mdr,2,0)&amp;$A18)*(1-G$3/G$4)+IF(G$15&gt;0,INDIRECT($C$1&amp;"!"&amp;VLOOKUP(G$2,mdr,2,0)&amp;$A18)*G$3/G$4*IF(G5&gt;0,G15/G$5),0)</f>
        <v>0</v>
      </c>
      <c r="H18" s="476" t="e">
        <f t="shared" ca="1" si="3"/>
        <v>#VALUE!</v>
      </c>
      <c r="I18" s="476" t="e">
        <f t="shared" ca="1" si="3"/>
        <v>#VALUE!</v>
      </c>
      <c r="J18" s="476" t="e">
        <f t="shared" ca="1" si="3"/>
        <v>#VALUE!</v>
      </c>
      <c r="K18" s="476" t="e">
        <f t="shared" ca="1" si="3"/>
        <v>#VALUE!</v>
      </c>
      <c r="L18" s="476" t="e">
        <f t="shared" ca="1" si="3"/>
        <v>#VALUE!</v>
      </c>
      <c r="M18" s="476" t="e">
        <f t="shared" ca="1" si="3"/>
        <v>#VALUE!</v>
      </c>
      <c r="N18" s="476" t="e">
        <f t="shared" ca="1" si="3"/>
        <v>#VALUE!</v>
      </c>
      <c r="O18" s="476" t="e">
        <f t="shared" ca="1" si="3"/>
        <v>#VALUE!</v>
      </c>
      <c r="P18" s="685" t="e">
        <f ca="1">SUM(I16:O33)+SUM(I40:O44)</f>
        <v>#VALUE!</v>
      </c>
      <c r="Q18" s="490"/>
      <c r="R18" s="491"/>
      <c r="S18" s="415" t="s">
        <v>308</v>
      </c>
      <c r="T18" s="416" t="s">
        <v>405</v>
      </c>
    </row>
    <row r="19" spans="1:20" ht="12" customHeight="1">
      <c r="A19" s="336">
        <f t="shared" si="5"/>
        <v>51</v>
      </c>
      <c r="B19" s="639">
        <f t="shared" si="5"/>
        <v>4</v>
      </c>
      <c r="C19" s="477" t="e">
        <f t="shared" ca="1" si="4"/>
        <v>#VALUE!</v>
      </c>
      <c r="D19" s="477" t="e">
        <f ca="1">INDIRECT($C$1&amp;"!"&amp;VLOOKUP(D$2,mdr,2,0)&amp;$A19)*(1-D$3/D$4)+IF(D$15&gt;0,INDIRECT($C$1&amp;"!"&amp;VLOOKUP(D$2,mdr,2,0)&amp;$A19)*D$3/D$4*D$5/D$8,0)</f>
        <v>#VALUE!</v>
      </c>
      <c r="E19" s="477" t="e">
        <f t="shared" ca="1" si="3"/>
        <v>#VALUE!</v>
      </c>
      <c r="F19" s="476">
        <f ca="1">INDIRECT($C$1&amp;"!"&amp;VLOOKUP(F$2,mdr,2,0)&amp;$A19)*(1-F$3/F$4)+IF(F$15&gt;0,INDIRECT($C$1&amp;"!"&amp;VLOOKUP(F$2,mdr,2,0)&amp;$A19)*F$3/F$4*IF(F$5&gt;0,F$15/F$5),0)</f>
        <v>0</v>
      </c>
      <c r="G19" s="477" t="e">
        <f t="shared" ca="1" si="3"/>
        <v>#VALUE!</v>
      </c>
      <c r="H19" s="477" t="e">
        <f t="shared" ca="1" si="3"/>
        <v>#VALUE!</v>
      </c>
      <c r="I19" s="477" t="e">
        <f t="shared" ca="1" si="3"/>
        <v>#VALUE!</v>
      </c>
      <c r="J19" s="477" t="e">
        <f t="shared" ca="1" si="3"/>
        <v>#VALUE!</v>
      </c>
      <c r="K19" s="477" t="e">
        <f t="shared" ca="1" si="3"/>
        <v>#VALUE!</v>
      </c>
      <c r="L19" s="477" t="e">
        <f t="shared" ca="1" si="3"/>
        <v>#VALUE!</v>
      </c>
      <c r="M19" s="477" t="e">
        <f t="shared" ca="1" si="3"/>
        <v>#VALUE!</v>
      </c>
      <c r="N19" s="477" t="e">
        <f t="shared" ca="1" si="3"/>
        <v>#VALUE!</v>
      </c>
      <c r="O19" s="477" t="e">
        <f t="shared" ca="1" si="3"/>
        <v>#VALUE!</v>
      </c>
      <c r="P19" s="504"/>
      <c r="Q19" s="492"/>
      <c r="R19" s="493"/>
      <c r="S19" s="415" t="s">
        <v>310</v>
      </c>
      <c r="T19" s="416" t="s">
        <v>406</v>
      </c>
    </row>
    <row r="20" spans="1:20" ht="12" customHeight="1">
      <c r="A20" s="336">
        <f t="shared" si="5"/>
        <v>52</v>
      </c>
      <c r="B20" s="638">
        <f t="shared" si="5"/>
        <v>5</v>
      </c>
      <c r="C20" s="476" t="e">
        <f t="shared" ca="1" si="4"/>
        <v>#VALUE!</v>
      </c>
      <c r="D20" s="476" t="e">
        <f t="shared" ref="D20:O21" ca="1" si="6">INDIRECT($C$1&amp;"!"&amp;VLOOKUP(D$2,mdr,2,0)&amp;$A20)*(1-D$3/D$4)+IF(D$15&gt;0,INDIRECT($C$1&amp;"!"&amp;VLOOKUP(D$2,mdr,2,0)&amp;$A20)*D$3/D$4*D$5/D$8*IF(INDIRECT($C$1&amp;"!d"&amp;$A20)=1,D$5/D$8,1),0)</f>
        <v>#VALUE!</v>
      </c>
      <c r="E20" s="476" t="e">
        <f t="shared" ca="1" si="6"/>
        <v>#VALUE!</v>
      </c>
      <c r="F20" s="476"/>
      <c r="G20" s="476" t="e">
        <f t="shared" ca="1" si="6"/>
        <v>#VALUE!</v>
      </c>
      <c r="H20" s="476" t="e">
        <f t="shared" ca="1" si="6"/>
        <v>#VALUE!</v>
      </c>
      <c r="I20" s="476" t="e">
        <f t="shared" ca="1" si="6"/>
        <v>#VALUE!</v>
      </c>
      <c r="J20" s="476" t="e">
        <f t="shared" ca="1" si="6"/>
        <v>#VALUE!</v>
      </c>
      <c r="K20" s="476" t="e">
        <f t="shared" ca="1" si="6"/>
        <v>#VALUE!</v>
      </c>
      <c r="L20" s="476" t="e">
        <f t="shared" ca="1" si="6"/>
        <v>#VALUE!</v>
      </c>
      <c r="M20" s="476" t="e">
        <f t="shared" ca="1" si="6"/>
        <v>#VALUE!</v>
      </c>
      <c r="N20" s="476" t="e">
        <f t="shared" ca="1" si="6"/>
        <v>#VALUE!</v>
      </c>
      <c r="O20" s="476" t="e">
        <f t="shared" ca="1" si="6"/>
        <v>#VALUE!</v>
      </c>
      <c r="P20" s="683"/>
      <c r="Q20" s="490">
        <f t="shared" ref="Q20:Q25" ca="1" si="7">INDIRECT($C$1&amp;"!d"&amp;$A20)</f>
        <v>0</v>
      </c>
      <c r="R20" s="491"/>
      <c r="S20" s="422" t="s">
        <v>312</v>
      </c>
      <c r="T20" s="423" t="s">
        <v>407</v>
      </c>
    </row>
    <row r="21" spans="1:20" ht="12" customHeight="1">
      <c r="A21" s="336">
        <f t="shared" si="5"/>
        <v>53</v>
      </c>
      <c r="B21" s="639">
        <f t="shared" si="5"/>
        <v>6</v>
      </c>
      <c r="C21" s="477" t="e">
        <f t="shared" ca="1" si="4"/>
        <v>#VALUE!</v>
      </c>
      <c r="D21" s="477" t="e">
        <f t="shared" ca="1" si="6"/>
        <v>#VALUE!</v>
      </c>
      <c r="E21" s="477" t="e">
        <f t="shared" ca="1" si="6"/>
        <v>#VALUE!</v>
      </c>
      <c r="F21" s="476">
        <f ca="1">INDIRECT($C$1&amp;"!"&amp;VLOOKUP(F$2,mdr,2,0)&amp;$A21)*(1-F$3/F$4)+IF(F$15&gt;0,INDIRECT($C$1&amp;"!"&amp;VLOOKUP(F$2,mdr,2,0)&amp;$A21)*F$3/F$4*IF(F$5&gt;0,F$15/F$5),0)</f>
        <v>0</v>
      </c>
      <c r="G21" s="477" t="e">
        <f t="shared" ca="1" si="6"/>
        <v>#VALUE!</v>
      </c>
      <c r="H21" s="477" t="e">
        <f t="shared" ca="1" si="6"/>
        <v>#VALUE!</v>
      </c>
      <c r="I21" s="477" t="e">
        <f t="shared" ca="1" si="6"/>
        <v>#VALUE!</v>
      </c>
      <c r="J21" s="477" t="e">
        <f t="shared" ca="1" si="6"/>
        <v>#VALUE!</v>
      </c>
      <c r="K21" s="477" t="e">
        <f t="shared" ca="1" si="6"/>
        <v>#VALUE!</v>
      </c>
      <c r="L21" s="477" t="e">
        <f t="shared" ca="1" si="6"/>
        <v>#VALUE!</v>
      </c>
      <c r="M21" s="477" t="e">
        <f t="shared" ca="1" si="6"/>
        <v>#VALUE!</v>
      </c>
      <c r="N21" s="477" t="e">
        <f t="shared" ca="1" si="6"/>
        <v>#VALUE!</v>
      </c>
      <c r="O21" s="477" t="e">
        <f t="shared" ca="1" si="6"/>
        <v>#VALUE!</v>
      </c>
      <c r="P21" s="529" t="s">
        <v>516</v>
      </c>
      <c r="Q21" s="492">
        <f t="shared" ca="1" si="7"/>
        <v>1</v>
      </c>
      <c r="R21" s="493"/>
    </row>
    <row r="22" spans="1:20" ht="12" customHeight="1">
      <c r="A22" s="336">
        <f t="shared" si="5"/>
        <v>54</v>
      </c>
      <c r="B22" s="638">
        <f t="shared" si="5"/>
        <v>7</v>
      </c>
      <c r="C22" s="476" t="e">
        <f t="shared" ca="1" si="4"/>
        <v>#VALUE!</v>
      </c>
      <c r="D22" s="476" t="e">
        <f t="shared" ref="D22:M22" ca="1" si="8">INDIRECT($C$1&amp;"!"&amp;VLOOKUP(D$2,mdr,2,0)&amp;$A22)*(1-D$3/D$4)+IF(D$15&gt;0,INDIRECT($C$1&amp;"!"&amp;VLOOKUP(D$2,mdr,2,0)&amp;$A22)*D$3/D$4*D$5/F$8*IF(INDIRECT($C$1&amp;"!d"&amp;$A22)=1,D$5/D$8,1),0)</f>
        <v>#VALUE!</v>
      </c>
      <c r="E22" s="476" t="e">
        <f t="shared" ca="1" si="8"/>
        <v>#VALUE!</v>
      </c>
      <c r="F22" s="476">
        <f ca="1">INDIRECT($C$1&amp;"!"&amp;VLOOKUP(F$2,mdr,2,0)&amp;$A22)*(1-F$3/F$4)+IF(F$15&gt;0,INDIRECT($C$1&amp;"!"&amp;VLOOKUP(F$2,mdr,2,0)&amp;$A22)*F$3/F$4*IF(F$5&gt;0,F$15/F$5),0)</f>
        <v>0</v>
      </c>
      <c r="G22" s="476" t="e">
        <f t="shared" ca="1" si="8"/>
        <v>#VALUE!</v>
      </c>
      <c r="H22" s="476" t="e">
        <f t="shared" ca="1" si="8"/>
        <v>#VALUE!</v>
      </c>
      <c r="I22" s="476" t="e">
        <f t="shared" ca="1" si="8"/>
        <v>#VALUE!</v>
      </c>
      <c r="J22" s="476" t="e">
        <f t="shared" ca="1" si="8"/>
        <v>#VALUE!</v>
      </c>
      <c r="K22" s="476" t="e">
        <f t="shared" ca="1" si="8"/>
        <v>#VALUE!</v>
      </c>
      <c r="L22" s="476" t="e">
        <f t="shared" ca="1" si="8"/>
        <v>#VALUE!</v>
      </c>
      <c r="M22" s="476" t="e">
        <f t="shared" ca="1" si="8"/>
        <v>#VALUE!</v>
      </c>
      <c r="N22" s="476" t="e">
        <f ca="1">INDIRECT($C$1&amp;"!"&amp;VLOOKUP(N$2,mdr,2,0)&amp;$A22)*(1-N$3/N$4)+IF(N$15&gt;0,INDIRECT($C$1&amp;"!"&amp;VLOOKUP(N$2,mdr,2,0)&amp;$A22)*N$3/N$4*N$5/N$8*IF(INDIRECT($C$1&amp;"!d"&amp;$A22)=1,N$5/N$8,1),0)</f>
        <v>#VALUE!</v>
      </c>
      <c r="O22" s="476" t="e">
        <f ca="1">INDIRECT($C$1&amp;"!"&amp;VLOOKUP(O$2,mdr,2,0)&amp;$A22)*(1-O$3/O$4)+IF(O$15&gt;0,INDIRECT($C$1&amp;"!"&amp;VLOOKUP(O$2,mdr,2,0)&amp;$A22)*O$3/O$4*O$5/O$8*IF(INDIRECT($C$1&amp;"!d"&amp;$A22)=1,O$5/O$8,1),0)</f>
        <v>#VALUE!</v>
      </c>
      <c r="P22" s="530" t="s">
        <v>517</v>
      </c>
      <c r="Q22" s="490">
        <f t="shared" ca="1" si="7"/>
        <v>1</v>
      </c>
      <c r="R22" s="491"/>
    </row>
    <row r="23" spans="1:20" ht="12" customHeight="1">
      <c r="A23" s="336">
        <f t="shared" si="5"/>
        <v>55</v>
      </c>
      <c r="B23" s="639">
        <f t="shared" si="5"/>
        <v>8</v>
      </c>
      <c r="C23" s="477" t="str">
        <f t="shared" ca="1" si="4"/>
        <v/>
      </c>
      <c r="D23" s="477">
        <f t="shared" ref="D23:O25" ca="1" si="9">INDIRECT($C$1&amp;"!"&amp;VLOOKUP(D$2,mdr,2,0)&amp;$A23)*(1-D$3/D$4)+IF(D$15&gt;0,INDIRECT($C$1&amp;"!"&amp;VLOOKUP(D$2,mdr,2,0)&amp;$A23)*D$3/D$4*IF(INDIRECT($C$1&amp;"!d"&amp;$A23)=1,D$5/D$8,1),0)</f>
        <v>0</v>
      </c>
      <c r="E23" s="477">
        <f t="shared" ca="1" si="9"/>
        <v>0</v>
      </c>
      <c r="F23" s="476">
        <f ca="1">INDIRECT($C$1&amp;"!"&amp;VLOOKUP(F$2,mdr,2,0)&amp;$A23)*(1-F$3/F$4)+IF(F$15&gt;0,INDIRECT($C$1&amp;"!"&amp;VLOOKUP(F$2,mdr,2,0)&amp;$A23)*F$3/F$4*IF(F$5&gt;0,F$15/F$5),0)</f>
        <v>0</v>
      </c>
      <c r="G23" s="477">
        <f t="shared" ca="1" si="9"/>
        <v>0</v>
      </c>
      <c r="H23" s="477">
        <f t="shared" ca="1" si="9"/>
        <v>0</v>
      </c>
      <c r="I23" s="477">
        <f t="shared" ca="1" si="9"/>
        <v>0</v>
      </c>
      <c r="J23" s="477">
        <f t="shared" ca="1" si="9"/>
        <v>0</v>
      </c>
      <c r="K23" s="477">
        <f t="shared" ca="1" si="9"/>
        <v>0</v>
      </c>
      <c r="L23" s="477">
        <f t="shared" ca="1" si="9"/>
        <v>0</v>
      </c>
      <c r="M23" s="477">
        <f t="shared" ca="1" si="9"/>
        <v>0</v>
      </c>
      <c r="N23" s="477">
        <f t="shared" ca="1" si="9"/>
        <v>0</v>
      </c>
      <c r="O23" s="477">
        <f t="shared" ca="1" si="9"/>
        <v>0</v>
      </c>
      <c r="P23" s="530" t="s">
        <v>515</v>
      </c>
      <c r="Q23" s="492">
        <f t="shared" ca="1" si="7"/>
        <v>0</v>
      </c>
      <c r="R23" s="493"/>
    </row>
    <row r="24" spans="1:20">
      <c r="A24" s="336">
        <f t="shared" si="5"/>
        <v>56</v>
      </c>
      <c r="B24" s="638">
        <f t="shared" si="5"/>
        <v>9</v>
      </c>
      <c r="C24" s="476" t="str">
        <f t="shared" ca="1" si="4"/>
        <v/>
      </c>
      <c r="D24" s="476">
        <f t="shared" ca="1" si="9"/>
        <v>0</v>
      </c>
      <c r="E24" s="476">
        <f t="shared" ca="1" si="9"/>
        <v>0</v>
      </c>
      <c r="F24" s="476">
        <f t="shared" ca="1" si="9"/>
        <v>0</v>
      </c>
      <c r="G24" s="476">
        <f t="shared" ca="1" si="9"/>
        <v>0</v>
      </c>
      <c r="H24" s="476">
        <f t="shared" ca="1" si="9"/>
        <v>0</v>
      </c>
      <c r="I24" s="476">
        <f t="shared" ca="1" si="9"/>
        <v>0</v>
      </c>
      <c r="J24" s="476">
        <f t="shared" ca="1" si="9"/>
        <v>0</v>
      </c>
      <c r="K24" s="476">
        <f t="shared" ca="1" si="9"/>
        <v>0</v>
      </c>
      <c r="L24" s="476">
        <f t="shared" ca="1" si="9"/>
        <v>0</v>
      </c>
      <c r="M24" s="476">
        <f t="shared" ca="1" si="9"/>
        <v>0</v>
      </c>
      <c r="N24" s="476">
        <f t="shared" ca="1" si="9"/>
        <v>0</v>
      </c>
      <c r="O24" s="476">
        <f t="shared" ca="1" si="9"/>
        <v>0</v>
      </c>
      <c r="P24" s="684">
        <f ca="1">P11</f>
        <v>2025</v>
      </c>
      <c r="Q24" s="490">
        <f t="shared" ca="1" si="7"/>
        <v>0</v>
      </c>
      <c r="R24" s="491"/>
    </row>
    <row r="25" spans="1:20">
      <c r="A25" s="336">
        <f t="shared" si="5"/>
        <v>57</v>
      </c>
      <c r="B25" s="639">
        <f t="shared" si="5"/>
        <v>10</v>
      </c>
      <c r="C25" s="477" t="str">
        <f t="shared" ca="1" si="4"/>
        <v/>
      </c>
      <c r="D25" s="477">
        <f t="shared" ca="1" si="9"/>
        <v>0</v>
      </c>
      <c r="E25" s="477">
        <f t="shared" ca="1" si="9"/>
        <v>0</v>
      </c>
      <c r="F25" s="477">
        <f t="shared" ca="1" si="9"/>
        <v>0</v>
      </c>
      <c r="G25" s="477">
        <f t="shared" ca="1" si="9"/>
        <v>0</v>
      </c>
      <c r="H25" s="477">
        <f t="shared" ca="1" si="9"/>
        <v>0</v>
      </c>
      <c r="I25" s="477">
        <f t="shared" ca="1" si="9"/>
        <v>0</v>
      </c>
      <c r="J25" s="477">
        <f t="shared" ca="1" si="9"/>
        <v>0</v>
      </c>
      <c r="K25" s="477">
        <f t="shared" ca="1" si="9"/>
        <v>0</v>
      </c>
      <c r="L25" s="477">
        <f t="shared" ca="1" si="9"/>
        <v>0</v>
      </c>
      <c r="M25" s="477">
        <f t="shared" ca="1" si="9"/>
        <v>0</v>
      </c>
      <c r="N25" s="477">
        <f t="shared" ca="1" si="9"/>
        <v>0</v>
      </c>
      <c r="O25" s="477">
        <f t="shared" ca="1" si="9"/>
        <v>0</v>
      </c>
      <c r="P25" s="685" t="e">
        <f ca="1">INDIRECT($C$1&amp;"!"&amp;"A"&amp;113)+SUM(D89:H89)</f>
        <v>#VALUE!</v>
      </c>
      <c r="Q25" s="492">
        <f t="shared" ca="1" si="7"/>
        <v>0</v>
      </c>
      <c r="R25" s="493"/>
    </row>
    <row r="26" spans="1:20" ht="13" customHeight="1">
      <c r="A26" s="336">
        <f t="shared" si="5"/>
        <v>58</v>
      </c>
      <c r="B26" s="638">
        <f t="shared" si="5"/>
        <v>11</v>
      </c>
      <c r="C26" s="476" t="e">
        <f t="shared" ca="1" si="4"/>
        <v>#VALUE!</v>
      </c>
      <c r="D26" s="476" t="e">
        <f t="shared" ref="D26:O29" ca="1" si="10">INDIRECT($C$1&amp;"!"&amp;VLOOKUP(D$2,mdr,2,0)&amp;$A26)*(1-D$3/D$4)+IF(D$15&gt;0,INDIRECT($C$1&amp;"!"&amp;VLOOKUP(D$2,mdr,2,0)&amp;$A26)*D$3/D$4*D$5/D$8,0)</f>
        <v>#VALUE!</v>
      </c>
      <c r="E26" s="476" t="e">
        <f t="shared" ca="1" si="10"/>
        <v>#VALUE!</v>
      </c>
      <c r="F26" s="476" t="e">
        <f t="shared" ca="1" si="10"/>
        <v>#VALUE!</v>
      </c>
      <c r="G26" s="476" t="e">
        <f t="shared" ca="1" si="10"/>
        <v>#VALUE!</v>
      </c>
      <c r="H26" s="476" t="e">
        <f t="shared" ca="1" si="10"/>
        <v>#VALUE!</v>
      </c>
      <c r="I26" s="476" t="e">
        <f t="shared" ca="1" si="10"/>
        <v>#VALUE!</v>
      </c>
      <c r="J26" s="476" t="e">
        <f t="shared" ca="1" si="10"/>
        <v>#VALUE!</v>
      </c>
      <c r="K26" s="476" t="e">
        <f t="shared" ca="1" si="10"/>
        <v>#VALUE!</v>
      </c>
      <c r="L26" s="476" t="e">
        <f t="shared" ca="1" si="10"/>
        <v>#VALUE!</v>
      </c>
      <c r="M26" s="476" t="e">
        <f t="shared" ca="1" si="10"/>
        <v>#VALUE!</v>
      </c>
      <c r="N26" s="476" t="e">
        <f t="shared" ca="1" si="10"/>
        <v>#VALUE!</v>
      </c>
      <c r="O26" s="476" t="e">
        <f t="shared" ca="1" si="10"/>
        <v>#VALUE!</v>
      </c>
      <c r="P26" s="504"/>
      <c r="Q26" s="490"/>
      <c r="R26" s="491"/>
    </row>
    <row r="27" spans="1:20" ht="13" customHeight="1">
      <c r="A27" s="336">
        <f t="shared" si="5"/>
        <v>59</v>
      </c>
      <c r="B27" s="639">
        <f t="shared" si="5"/>
        <v>12</v>
      </c>
      <c r="C27" s="477" t="e">
        <f t="shared" ca="1" si="4"/>
        <v>#VALUE!</v>
      </c>
      <c r="D27" s="477" t="e">
        <f t="shared" ca="1" si="10"/>
        <v>#VALUE!</v>
      </c>
      <c r="E27" s="477" t="e">
        <f t="shared" ca="1" si="10"/>
        <v>#VALUE!</v>
      </c>
      <c r="F27" s="477" t="e">
        <f t="shared" ca="1" si="10"/>
        <v>#VALUE!</v>
      </c>
      <c r="G27" s="477" t="e">
        <f t="shared" ca="1" si="10"/>
        <v>#VALUE!</v>
      </c>
      <c r="H27" s="477" t="e">
        <f t="shared" ca="1" si="10"/>
        <v>#VALUE!</v>
      </c>
      <c r="I27" s="477" t="e">
        <f t="shared" ca="1" si="10"/>
        <v>#VALUE!</v>
      </c>
      <c r="J27" s="477" t="e">
        <f t="shared" ca="1" si="10"/>
        <v>#VALUE!</v>
      </c>
      <c r="K27" s="477" t="e">
        <f t="shared" ca="1" si="10"/>
        <v>#VALUE!</v>
      </c>
      <c r="L27" s="477" t="e">
        <f t="shared" ca="1" si="10"/>
        <v>#VALUE!</v>
      </c>
      <c r="M27" s="477" t="e">
        <f t="shared" ca="1" si="10"/>
        <v>#VALUE!</v>
      </c>
      <c r="N27" s="477" t="e">
        <f t="shared" ca="1" si="10"/>
        <v>#VALUE!</v>
      </c>
      <c r="O27" s="477" t="e">
        <f t="shared" ca="1" si="10"/>
        <v>#VALUE!</v>
      </c>
      <c r="P27" s="529" t="s">
        <v>516</v>
      </c>
      <c r="Q27" s="492"/>
      <c r="R27" s="493"/>
    </row>
    <row r="28" spans="1:20" ht="13" customHeight="1">
      <c r="A28" s="336">
        <f t="shared" si="5"/>
        <v>60</v>
      </c>
      <c r="B28" s="638">
        <f t="shared" si="5"/>
        <v>13</v>
      </c>
      <c r="C28" s="476" t="e">
        <f t="shared" ca="1" si="4"/>
        <v>#VALUE!</v>
      </c>
      <c r="D28" s="476" t="e">
        <f ca="1">INDIRECT($C$1&amp;"!"&amp;VLOOKUP(D$2,mdr,2,0)&amp;$A28)*(1-D$3/D$4)+IF(D$15&gt;0,INDIRECT($C$1&amp;"!"&amp;VLOOKUP(D$2,mdr,2,0)&amp;$A28)*D$3/D$4*D$5/D$8,0)</f>
        <v>#VALUE!</v>
      </c>
      <c r="E28" s="476" t="e">
        <f t="shared" ca="1" si="10"/>
        <v>#VALUE!</v>
      </c>
      <c r="F28" s="476" t="e">
        <f t="shared" ca="1" si="10"/>
        <v>#VALUE!</v>
      </c>
      <c r="G28" s="476" t="e">
        <f t="shared" ca="1" si="10"/>
        <v>#VALUE!</v>
      </c>
      <c r="H28" s="476" t="e">
        <f t="shared" ca="1" si="10"/>
        <v>#VALUE!</v>
      </c>
      <c r="I28" s="476" t="e">
        <f t="shared" ca="1" si="10"/>
        <v>#VALUE!</v>
      </c>
      <c r="J28" s="476" t="e">
        <f t="shared" ca="1" si="10"/>
        <v>#VALUE!</v>
      </c>
      <c r="K28" s="476" t="e">
        <f t="shared" ca="1" si="10"/>
        <v>#VALUE!</v>
      </c>
      <c r="L28" s="476" t="e">
        <f t="shared" ca="1" si="10"/>
        <v>#VALUE!</v>
      </c>
      <c r="M28" s="476" t="e">
        <f t="shared" ca="1" si="10"/>
        <v>#VALUE!</v>
      </c>
      <c r="N28" s="476" t="e">
        <f t="shared" ca="1" si="10"/>
        <v>#VALUE!</v>
      </c>
      <c r="O28" s="476" t="e">
        <f t="shared" ca="1" si="10"/>
        <v>#VALUE!</v>
      </c>
      <c r="P28" s="530" t="s">
        <v>517</v>
      </c>
      <c r="Q28" s="490"/>
      <c r="R28" s="491"/>
    </row>
    <row r="29" spans="1:20" ht="13" customHeight="1">
      <c r="A29" s="336">
        <f t="shared" si="5"/>
        <v>61</v>
      </c>
      <c r="B29" s="639">
        <f t="shared" si="5"/>
        <v>14</v>
      </c>
      <c r="C29" s="477" t="e">
        <f t="shared" ca="1" si="4"/>
        <v>#VALUE!</v>
      </c>
      <c r="D29" s="477" t="e">
        <f t="shared" ca="1" si="10"/>
        <v>#VALUE!</v>
      </c>
      <c r="E29" s="477" t="e">
        <f t="shared" ca="1" si="10"/>
        <v>#VALUE!</v>
      </c>
      <c r="F29" s="477" t="e">
        <f t="shared" ca="1" si="10"/>
        <v>#VALUE!</v>
      </c>
      <c r="G29" s="477" t="e">
        <f t="shared" ca="1" si="10"/>
        <v>#VALUE!</v>
      </c>
      <c r="H29" s="477" t="e">
        <f t="shared" ca="1" si="10"/>
        <v>#VALUE!</v>
      </c>
      <c r="I29" s="477" t="e">
        <f t="shared" ca="1" si="10"/>
        <v>#VALUE!</v>
      </c>
      <c r="J29" s="477" t="e">
        <f t="shared" ca="1" si="10"/>
        <v>#VALUE!</v>
      </c>
      <c r="K29" s="477" t="e">
        <f t="shared" ca="1" si="10"/>
        <v>#VALUE!</v>
      </c>
      <c r="L29" s="477" t="e">
        <f t="shared" ca="1" si="10"/>
        <v>#VALUE!</v>
      </c>
      <c r="M29" s="477" t="e">
        <f t="shared" ca="1" si="10"/>
        <v>#VALUE!</v>
      </c>
      <c r="N29" s="477" t="e">
        <f t="shared" ca="1" si="10"/>
        <v>#VALUE!</v>
      </c>
      <c r="O29" s="477" t="e">
        <f t="shared" ca="1" si="10"/>
        <v>#VALUE!</v>
      </c>
      <c r="P29" s="530" t="s">
        <v>515</v>
      </c>
      <c r="Q29" s="492"/>
      <c r="R29" s="493"/>
    </row>
    <row r="30" spans="1:20" ht="13" customHeight="1">
      <c r="A30" s="336">
        <f t="shared" si="5"/>
        <v>62</v>
      </c>
      <c r="B30" s="638">
        <f t="shared" si="5"/>
        <v>15</v>
      </c>
      <c r="C30" s="476" t="e">
        <f t="shared" ca="1" si="4"/>
        <v>#VALUE!</v>
      </c>
      <c r="D30" s="476" t="e">
        <f t="shared" ref="D30:O30" ca="1" si="11">INDIRECT($C$1&amp;"!"&amp;VLOOKUP(D$2,mdr,2,0)&amp;$A30)*(1-D$3/D$4)+IF(D$15&gt;0,INDIRECT($C$1&amp;"!"&amp;VLOOKUP(D$2,mdr,2,0)&amp;$A30)*D$3/D$4*IF(INDIRECT($C$1&amp;"!d"&amp;$A30)=1,D$5/D$8,1),0)</f>
        <v>#VALUE!</v>
      </c>
      <c r="E30" s="476" t="e">
        <f t="shared" ca="1" si="11"/>
        <v>#VALUE!</v>
      </c>
      <c r="F30" s="476" t="e">
        <f t="shared" ca="1" si="11"/>
        <v>#VALUE!</v>
      </c>
      <c r="G30" s="476" t="e">
        <f t="shared" ca="1" si="11"/>
        <v>#VALUE!</v>
      </c>
      <c r="H30" s="476" t="e">
        <f t="shared" ca="1" si="11"/>
        <v>#VALUE!</v>
      </c>
      <c r="I30" s="476" t="e">
        <f t="shared" ca="1" si="11"/>
        <v>#VALUE!</v>
      </c>
      <c r="J30" s="476" t="e">
        <f t="shared" ca="1" si="11"/>
        <v>#VALUE!</v>
      </c>
      <c r="K30" s="476" t="e">
        <f t="shared" ca="1" si="11"/>
        <v>#VALUE!</v>
      </c>
      <c r="L30" s="476" t="e">
        <f t="shared" ca="1" si="11"/>
        <v>#VALUE!</v>
      </c>
      <c r="M30" s="476" t="e">
        <f t="shared" ca="1" si="11"/>
        <v>#VALUE!</v>
      </c>
      <c r="N30" s="476" t="e">
        <f t="shared" ca="1" si="11"/>
        <v>#VALUE!</v>
      </c>
      <c r="O30" s="476" t="e">
        <f t="shared" ca="1" si="11"/>
        <v>#VALUE!</v>
      </c>
      <c r="P30" s="528">
        <f ca="1">P17</f>
        <v>2026</v>
      </c>
      <c r="Q30" s="490"/>
      <c r="R30" s="491"/>
    </row>
    <row r="31" spans="1:20">
      <c r="A31" s="336">
        <f t="shared" si="5"/>
        <v>63</v>
      </c>
      <c r="B31" s="639">
        <f t="shared" si="5"/>
        <v>16</v>
      </c>
      <c r="C31" s="477" t="e">
        <f t="shared" ca="1" si="4"/>
        <v>#VALUE!</v>
      </c>
      <c r="D31" s="477" t="e">
        <f t="shared" ref="D31:O31" ca="1" si="12">INDIRECT($C$1&amp;"!"&amp;VLOOKUP(D$2,mdr,2,0)&amp;$A31)*(1-D$3/D$4)+IF(D$15&gt;0,INDIRECT($C$1&amp;"!"&amp;VLOOKUP(D$2,mdr,2,0)&amp;$A31)*D$3/D$4*D$5/D$8*IF(INDIRECT($C$1&amp;"!d"&amp;$A31)=1,D$5/D$8,1),0)</f>
        <v>#VALUE!</v>
      </c>
      <c r="E31" s="477" t="e">
        <f t="shared" ca="1" si="12"/>
        <v>#VALUE!</v>
      </c>
      <c r="F31" s="477" t="e">
        <f t="shared" ca="1" si="12"/>
        <v>#VALUE!</v>
      </c>
      <c r="G31" s="477" t="e">
        <f t="shared" ca="1" si="12"/>
        <v>#VALUE!</v>
      </c>
      <c r="H31" s="477" t="e">
        <f t="shared" ca="1" si="12"/>
        <v>#VALUE!</v>
      </c>
      <c r="I31" s="477" t="e">
        <f t="shared" ca="1" si="12"/>
        <v>#VALUE!</v>
      </c>
      <c r="J31" s="477" t="e">
        <f t="shared" ca="1" si="12"/>
        <v>#VALUE!</v>
      </c>
      <c r="K31" s="477" t="e">
        <f t="shared" ca="1" si="12"/>
        <v>#VALUE!</v>
      </c>
      <c r="L31" s="477" t="e">
        <f t="shared" ca="1" si="12"/>
        <v>#VALUE!</v>
      </c>
      <c r="M31" s="477" t="e">
        <f t="shared" ca="1" si="12"/>
        <v>#VALUE!</v>
      </c>
      <c r="N31" s="477" t="e">
        <f t="shared" ca="1" si="12"/>
        <v>#VALUE!</v>
      </c>
      <c r="O31" s="477" t="e">
        <f t="shared" ca="1" si="12"/>
        <v>#VALUE!</v>
      </c>
      <c r="P31" s="685" t="e">
        <f ca="1">SUM(I89:O89)</f>
        <v>#VALUE!</v>
      </c>
      <c r="Q31" s="492"/>
      <c r="R31" s="493"/>
    </row>
    <row r="32" spans="1:20">
      <c r="A32" s="336">
        <f t="shared" si="5"/>
        <v>64</v>
      </c>
      <c r="B32" s="638">
        <f t="shared" si="5"/>
        <v>17</v>
      </c>
      <c r="C32" s="476" t="e">
        <f t="shared" ca="1" si="4"/>
        <v>#VALUE!</v>
      </c>
      <c r="D32" s="477" t="e">
        <f ca="1">INDIRECT($C$1&amp;"!"&amp;VLOOKUP(D$2,mdr,2,0)&amp;$A32)*(1-D$3/D$4)+IF(D$15&gt;0,INDIRECT($C$1&amp;"!"&amp;VLOOKUP(D$2,mdr,2,0)&amp;$A32)*D$3/D$4*IF(INDIRECT($C$1&amp;"!d"&amp;$A32)=1,D$8,1),0)</f>
        <v>#VALUE!</v>
      </c>
      <c r="E32" s="477" t="e">
        <f ca="1">INDIRECT($C$1&amp;"!"&amp;VLOOKUP(E$2,mdr,2,0)&amp;$A32)*(1-E$3/E$4)+IF(E$15&gt;0,INDIRECT($C$1&amp;"!"&amp;VLOOKUP(E$2,mdr,2,0)&amp;$A32)*E$3/E$4*IF(INDIRECT($C$1&amp;"!d"&amp;$A32)=1,E$8,1),0)</f>
        <v>#VALUE!</v>
      </c>
      <c r="F32" s="477" t="e">
        <f ca="1">INDIRECT($C$1&amp;"!"&amp;VLOOKUP(F$2,mdr,2,0)&amp;$A32)*(1-F$3/F$4)+IF(F$15&gt;0,INDIRECT($C$1&amp;"!"&amp;VLOOKUP(F$2,mdr,2,0)&amp;$A32)*F$3/F$4*IF(INDIRECT($C$1&amp;"!d"&amp;$A32)=1,F$8,1),0)</f>
        <v>#VALUE!</v>
      </c>
      <c r="G32" s="477" t="e">
        <f t="shared" ref="G32:O32" ca="1" si="13">INDIRECT($C$1&amp;"!"&amp;VLOOKUP(G$2,mdr,2,0)&amp;$A32)*(1-G$3/G$4)+IF(G$15&gt;0,INDIRECT($C$1&amp;"!"&amp;VLOOKUP(G$2,mdr,2,0)&amp;$A32)*G$3/G$4*IF(INDIRECT($C$1&amp;"!d"&amp;$A32)=1,G$5/G$8,1),0)</f>
        <v>#VALUE!</v>
      </c>
      <c r="H32" s="477" t="e">
        <f t="shared" ca="1" si="13"/>
        <v>#VALUE!</v>
      </c>
      <c r="I32" s="477" t="e">
        <f t="shared" ca="1" si="13"/>
        <v>#VALUE!</v>
      </c>
      <c r="J32" s="477" t="e">
        <f t="shared" ca="1" si="13"/>
        <v>#VALUE!</v>
      </c>
      <c r="K32" s="477" t="e">
        <f t="shared" ca="1" si="13"/>
        <v>#VALUE!</v>
      </c>
      <c r="L32" s="477" t="e">
        <f t="shared" ca="1" si="13"/>
        <v>#VALUE!</v>
      </c>
      <c r="M32" s="477" t="e">
        <f t="shared" ca="1" si="13"/>
        <v>#VALUE!</v>
      </c>
      <c r="N32" s="477" t="e">
        <f t="shared" ca="1" si="13"/>
        <v>#VALUE!</v>
      </c>
      <c r="O32" s="477" t="e">
        <f t="shared" ca="1" si="13"/>
        <v>#VALUE!</v>
      </c>
      <c r="P32" s="520"/>
      <c r="Q32" s="490"/>
      <c r="R32" s="491"/>
    </row>
    <row r="33" spans="1:18">
      <c r="A33" s="336">
        <f t="shared" si="5"/>
        <v>65</v>
      </c>
      <c r="B33" s="639">
        <f t="shared" si="5"/>
        <v>18</v>
      </c>
      <c r="C33" s="477" t="str">
        <f t="shared" ca="1" si="4"/>
        <v/>
      </c>
      <c r="D33" s="477">
        <f ca="1">INDIRECT($C$1&amp;"!"&amp;VLOOKUP(D$2,mdr,2,0)&amp;$A33)</f>
        <v>0</v>
      </c>
      <c r="E33" s="477">
        <f t="shared" ref="D33:O36" ca="1" si="14">INDIRECT($C$1&amp;"!"&amp;VLOOKUP(E$2,mdr,2,0)&amp;$A33)</f>
        <v>0</v>
      </c>
      <c r="F33" s="477">
        <f t="shared" ca="1" si="14"/>
        <v>0</v>
      </c>
      <c r="G33" s="477">
        <f t="shared" ca="1" si="14"/>
        <v>0</v>
      </c>
      <c r="H33" s="477">
        <f t="shared" ca="1" si="14"/>
        <v>0</v>
      </c>
      <c r="I33" s="477">
        <f t="shared" ca="1" si="14"/>
        <v>0</v>
      </c>
      <c r="J33" s="477">
        <f t="shared" ca="1" si="14"/>
        <v>0</v>
      </c>
      <c r="K33" s="477">
        <f t="shared" ca="1" si="14"/>
        <v>0</v>
      </c>
      <c r="L33" s="477">
        <f t="shared" ca="1" si="14"/>
        <v>0</v>
      </c>
      <c r="M33" s="477">
        <f t="shared" ca="1" si="14"/>
        <v>0</v>
      </c>
      <c r="N33" s="477">
        <f t="shared" ca="1" si="14"/>
        <v>0</v>
      </c>
      <c r="O33" s="513">
        <f t="shared" ca="1" si="14"/>
        <v>0</v>
      </c>
      <c r="P33" s="520" t="s">
        <v>503</v>
      </c>
      <c r="Q33" s="492"/>
      <c r="R33" s="493"/>
    </row>
    <row r="34" spans="1:18">
      <c r="A34" s="336">
        <f t="shared" si="5"/>
        <v>66</v>
      </c>
      <c r="B34" s="638">
        <f t="shared" si="5"/>
        <v>19</v>
      </c>
      <c r="C34" s="476" t="str">
        <f t="shared" ca="1" si="4"/>
        <v/>
      </c>
      <c r="D34" s="476">
        <f ca="1">INDIRECT($C$1&amp;"!"&amp;VLOOKUP(D$2,mdr,2,0)&amp;$A34)</f>
        <v>0</v>
      </c>
      <c r="E34" s="476">
        <f t="shared" ca="1" si="14"/>
        <v>0</v>
      </c>
      <c r="F34" s="476">
        <f t="shared" ca="1" si="14"/>
        <v>0</v>
      </c>
      <c r="G34" s="476">
        <f t="shared" ca="1" si="14"/>
        <v>0</v>
      </c>
      <c r="H34" s="476">
        <f t="shared" ca="1" si="14"/>
        <v>0</v>
      </c>
      <c r="I34" s="476">
        <f t="shared" ca="1" si="14"/>
        <v>0</v>
      </c>
      <c r="J34" s="476">
        <f t="shared" ca="1" si="14"/>
        <v>0</v>
      </c>
      <c r="K34" s="476">
        <f t="shared" ca="1" si="14"/>
        <v>0</v>
      </c>
      <c r="L34" s="476">
        <f t="shared" ca="1" si="14"/>
        <v>0</v>
      </c>
      <c r="M34" s="476">
        <f t="shared" ca="1" si="14"/>
        <v>0</v>
      </c>
      <c r="N34" s="476">
        <f t="shared" ca="1" si="14"/>
        <v>0</v>
      </c>
      <c r="O34" s="512">
        <f t="shared" ca="1" si="14"/>
        <v>0</v>
      </c>
      <c r="P34" s="520" t="s">
        <v>504</v>
      </c>
      <c r="Q34" s="490"/>
      <c r="R34" s="491"/>
    </row>
    <row r="35" spans="1:18">
      <c r="A35" s="336">
        <f>A34+1</f>
        <v>67</v>
      </c>
      <c r="B35" s="639">
        <f>B34+1</f>
        <v>20</v>
      </c>
      <c r="C35" s="477"/>
      <c r="D35" s="477"/>
      <c r="E35" s="477"/>
      <c r="F35" s="477"/>
      <c r="G35" s="477"/>
      <c r="H35" s="477"/>
      <c r="I35" s="477"/>
      <c r="J35" s="477"/>
      <c r="K35" s="477"/>
      <c r="L35" s="477"/>
      <c r="M35" s="477"/>
      <c r="N35" s="477"/>
      <c r="O35" s="513"/>
      <c r="P35" s="520"/>
      <c r="Q35" s="492"/>
      <c r="R35" s="493"/>
    </row>
    <row r="36" spans="1:18">
      <c r="A36" s="336">
        <f>A35+1</f>
        <v>68</v>
      </c>
      <c r="B36" s="638">
        <f>B35+1</f>
        <v>21</v>
      </c>
      <c r="C36" s="476" t="str">
        <f t="shared" ca="1" si="4"/>
        <v/>
      </c>
      <c r="D36" s="476">
        <f t="shared" ca="1" si="14"/>
        <v>0</v>
      </c>
      <c r="E36" s="476">
        <f t="shared" ca="1" si="14"/>
        <v>0</v>
      </c>
      <c r="F36" s="476">
        <f t="shared" ca="1" si="14"/>
        <v>0</v>
      </c>
      <c r="G36" s="476">
        <f t="shared" ca="1" si="14"/>
        <v>0</v>
      </c>
      <c r="H36" s="476">
        <f t="shared" ca="1" si="14"/>
        <v>0</v>
      </c>
      <c r="I36" s="476">
        <f t="shared" ca="1" si="14"/>
        <v>0</v>
      </c>
      <c r="J36" s="476">
        <f t="shared" ca="1" si="14"/>
        <v>0</v>
      </c>
      <c r="K36" s="476">
        <f t="shared" ca="1" si="14"/>
        <v>0</v>
      </c>
      <c r="L36" s="476">
        <f t="shared" ca="1" si="14"/>
        <v>0</v>
      </c>
      <c r="M36" s="476">
        <f t="shared" ca="1" si="14"/>
        <v>0</v>
      </c>
      <c r="N36" s="476">
        <f t="shared" ca="1" si="14"/>
        <v>0</v>
      </c>
      <c r="O36" s="512">
        <f t="shared" ca="1" si="14"/>
        <v>0</v>
      </c>
      <c r="P36" s="520" t="s">
        <v>505</v>
      </c>
      <c r="Q36" s="490"/>
      <c r="R36" s="491"/>
    </row>
    <row r="37" spans="1:18">
      <c r="A37" s="336">
        <f t="shared" si="5"/>
        <v>69</v>
      </c>
      <c r="B37" s="639">
        <f t="shared" si="5"/>
        <v>22</v>
      </c>
      <c r="C37" s="477" t="str">
        <f t="shared" ca="1" si="4"/>
        <v/>
      </c>
      <c r="D37" s="477">
        <f t="shared" ref="D37:O46" ca="1" si="15">INDIRECT($C$1&amp;"!"&amp;VLOOKUP(D$2,mdr,2,0)&amp;$A37)</f>
        <v>0</v>
      </c>
      <c r="E37" s="477">
        <f t="shared" ca="1" si="15"/>
        <v>0</v>
      </c>
      <c r="F37" s="477">
        <f t="shared" ca="1" si="15"/>
        <v>0</v>
      </c>
      <c r="G37" s="477">
        <f t="shared" ca="1" si="15"/>
        <v>0</v>
      </c>
      <c r="H37" s="477">
        <f t="shared" ca="1" si="15"/>
        <v>0</v>
      </c>
      <c r="I37" s="477">
        <f t="shared" ca="1" si="15"/>
        <v>0</v>
      </c>
      <c r="J37" s="477">
        <f t="shared" ca="1" si="15"/>
        <v>0</v>
      </c>
      <c r="K37" s="477">
        <f t="shared" ca="1" si="15"/>
        <v>0</v>
      </c>
      <c r="L37" s="477">
        <f t="shared" ca="1" si="15"/>
        <v>0</v>
      </c>
      <c r="M37" s="477">
        <f t="shared" ca="1" si="15"/>
        <v>0</v>
      </c>
      <c r="N37" s="477">
        <f t="shared" ca="1" si="15"/>
        <v>0</v>
      </c>
      <c r="O37" s="513">
        <f t="shared" ca="1" si="15"/>
        <v>0</v>
      </c>
      <c r="P37" s="520" t="s">
        <v>506</v>
      </c>
      <c r="Q37" s="492"/>
      <c r="R37" s="493"/>
    </row>
    <row r="38" spans="1:18">
      <c r="A38" s="336">
        <f t="shared" si="5"/>
        <v>70</v>
      </c>
      <c r="B38" s="638">
        <f t="shared" si="5"/>
        <v>23</v>
      </c>
      <c r="C38" s="476" t="str">
        <f t="shared" ca="1" si="4"/>
        <v/>
      </c>
      <c r="D38" s="476">
        <f t="shared" ca="1" si="15"/>
        <v>0</v>
      </c>
      <c r="E38" s="476">
        <f t="shared" ca="1" si="15"/>
        <v>0</v>
      </c>
      <c r="F38" s="476">
        <f t="shared" ca="1" si="15"/>
        <v>0</v>
      </c>
      <c r="G38" s="476">
        <f t="shared" ca="1" si="15"/>
        <v>0</v>
      </c>
      <c r="H38" s="476">
        <f t="shared" ca="1" si="15"/>
        <v>0</v>
      </c>
      <c r="I38" s="476">
        <f t="shared" ca="1" si="15"/>
        <v>0</v>
      </c>
      <c r="J38" s="476">
        <f t="shared" ca="1" si="15"/>
        <v>0</v>
      </c>
      <c r="K38" s="476">
        <f t="shared" ca="1" si="15"/>
        <v>0</v>
      </c>
      <c r="L38" s="476">
        <f t="shared" ca="1" si="15"/>
        <v>0</v>
      </c>
      <c r="M38" s="476">
        <f t="shared" ca="1" si="15"/>
        <v>0</v>
      </c>
      <c r="N38" s="476">
        <f t="shared" ca="1" si="15"/>
        <v>0</v>
      </c>
      <c r="O38" s="512">
        <f t="shared" ca="1" si="15"/>
        <v>0</v>
      </c>
      <c r="P38" s="520" t="s">
        <v>507</v>
      </c>
      <c r="Q38" s="490"/>
      <c r="R38" s="491"/>
    </row>
    <row r="39" spans="1:18" ht="13">
      <c r="A39" s="336">
        <f t="shared" si="5"/>
        <v>71</v>
      </c>
      <c r="B39" s="639">
        <f t="shared" si="5"/>
        <v>24</v>
      </c>
      <c r="C39" s="477" t="str">
        <f t="shared" ca="1" si="4"/>
        <v/>
      </c>
      <c r="D39" s="477">
        <f t="shared" ca="1" si="15"/>
        <v>0</v>
      </c>
      <c r="E39" s="477">
        <f t="shared" ca="1" si="15"/>
        <v>0</v>
      </c>
      <c r="F39" s="477">
        <f t="shared" ca="1" si="15"/>
        <v>0</v>
      </c>
      <c r="G39" s="477">
        <f t="shared" ca="1" si="15"/>
        <v>0</v>
      </c>
      <c r="H39" s="477">
        <f t="shared" ca="1" si="15"/>
        <v>0</v>
      </c>
      <c r="I39" s="477">
        <f t="shared" ca="1" si="15"/>
        <v>0</v>
      </c>
      <c r="J39" s="477">
        <f t="shared" ca="1" si="15"/>
        <v>0</v>
      </c>
      <c r="K39" s="477">
        <f t="shared" ca="1" si="15"/>
        <v>0</v>
      </c>
      <c r="L39" s="477">
        <f t="shared" ca="1" si="15"/>
        <v>0</v>
      </c>
      <c r="M39" s="477">
        <f t="shared" ca="1" si="15"/>
        <v>0</v>
      </c>
      <c r="N39" s="477">
        <f t="shared" ca="1" si="15"/>
        <v>0</v>
      </c>
      <c r="O39" s="513">
        <f t="shared" ca="1" si="15"/>
        <v>0</v>
      </c>
      <c r="P39" s="524" t="s">
        <v>565</v>
      </c>
      <c r="Q39" s="492"/>
      <c r="R39" s="493"/>
    </row>
    <row r="40" spans="1:18">
      <c r="A40" s="336">
        <f t="shared" si="5"/>
        <v>72</v>
      </c>
      <c r="B40" s="638">
        <f t="shared" si="5"/>
        <v>25</v>
      </c>
      <c r="C40" s="476" t="str">
        <f t="shared" ca="1" si="4"/>
        <v/>
      </c>
      <c r="D40" s="476">
        <f t="shared" ca="1" si="15"/>
        <v>0</v>
      </c>
      <c r="E40" s="476">
        <f t="shared" ca="1" si="15"/>
        <v>0</v>
      </c>
      <c r="F40" s="476">
        <f t="shared" ca="1" si="15"/>
        <v>0</v>
      </c>
      <c r="G40" s="476">
        <f t="shared" ca="1" si="15"/>
        <v>0</v>
      </c>
      <c r="H40" s="476">
        <f t="shared" ca="1" si="15"/>
        <v>0</v>
      </c>
      <c r="I40" s="476">
        <f t="shared" ca="1" si="15"/>
        <v>0</v>
      </c>
      <c r="J40" s="476">
        <f t="shared" ca="1" si="15"/>
        <v>0</v>
      </c>
      <c r="K40" s="476">
        <f t="shared" ca="1" si="15"/>
        <v>0</v>
      </c>
      <c r="L40" s="476">
        <f t="shared" ca="1" si="15"/>
        <v>0</v>
      </c>
      <c r="M40" s="476">
        <f t="shared" ca="1" si="15"/>
        <v>0</v>
      </c>
      <c r="N40" s="476">
        <f t="shared" ca="1" si="15"/>
        <v>0</v>
      </c>
      <c r="O40" s="512">
        <f t="shared" ca="1" si="15"/>
        <v>0</v>
      </c>
      <c r="P40" s="520"/>
      <c r="Q40" s="490"/>
      <c r="R40" s="491"/>
    </row>
    <row r="41" spans="1:18">
      <c r="A41" s="336">
        <f t="shared" si="5"/>
        <v>73</v>
      </c>
      <c r="B41" s="639">
        <f t="shared" si="5"/>
        <v>26</v>
      </c>
      <c r="C41" s="477" t="str">
        <f t="shared" ca="1" si="4"/>
        <v/>
      </c>
      <c r="D41" s="477">
        <f t="shared" ca="1" si="15"/>
        <v>0</v>
      </c>
      <c r="E41" s="477">
        <f t="shared" ca="1" si="15"/>
        <v>0</v>
      </c>
      <c r="F41" s="477">
        <f t="shared" ca="1" si="15"/>
        <v>0</v>
      </c>
      <c r="G41" s="477">
        <f t="shared" ca="1" si="15"/>
        <v>0</v>
      </c>
      <c r="H41" s="477">
        <f t="shared" ca="1" si="15"/>
        <v>0</v>
      </c>
      <c r="I41" s="477">
        <f t="shared" ca="1" si="15"/>
        <v>0</v>
      </c>
      <c r="J41" s="477">
        <f t="shared" ca="1" si="15"/>
        <v>0</v>
      </c>
      <c r="K41" s="477">
        <f t="shared" ca="1" si="15"/>
        <v>0</v>
      </c>
      <c r="L41" s="477">
        <f t="shared" ca="1" si="15"/>
        <v>0</v>
      </c>
      <c r="M41" s="477">
        <f t="shared" ca="1" si="15"/>
        <v>0</v>
      </c>
      <c r="N41" s="477">
        <f t="shared" ca="1" si="15"/>
        <v>0</v>
      </c>
      <c r="O41" s="513">
        <f t="shared" ca="1" si="15"/>
        <v>0</v>
      </c>
      <c r="P41" s="520"/>
      <c r="Q41" s="492"/>
      <c r="R41" s="493"/>
    </row>
    <row r="42" spans="1:18">
      <c r="A42" s="336">
        <f t="shared" si="5"/>
        <v>74</v>
      </c>
      <c r="B42" s="638">
        <f t="shared" si="5"/>
        <v>27</v>
      </c>
      <c r="C42" s="476" t="str">
        <f t="shared" ca="1" si="4"/>
        <v/>
      </c>
      <c r="D42" s="476">
        <f t="shared" ca="1" si="15"/>
        <v>0</v>
      </c>
      <c r="E42" s="476">
        <f t="shared" ca="1" si="15"/>
        <v>0</v>
      </c>
      <c r="F42" s="476">
        <f t="shared" ca="1" si="15"/>
        <v>0</v>
      </c>
      <c r="G42" s="476">
        <f t="shared" ca="1" si="15"/>
        <v>0</v>
      </c>
      <c r="H42" s="476">
        <f t="shared" ca="1" si="15"/>
        <v>0</v>
      </c>
      <c r="I42" s="476">
        <f t="shared" ca="1" si="15"/>
        <v>0</v>
      </c>
      <c r="J42" s="476">
        <f t="shared" ca="1" si="15"/>
        <v>0</v>
      </c>
      <c r="K42" s="476">
        <f t="shared" ca="1" si="15"/>
        <v>0</v>
      </c>
      <c r="L42" s="476">
        <f t="shared" ca="1" si="15"/>
        <v>0</v>
      </c>
      <c r="M42" s="476">
        <f t="shared" ca="1" si="15"/>
        <v>0</v>
      </c>
      <c r="N42" s="476">
        <f t="shared" ca="1" si="15"/>
        <v>0</v>
      </c>
      <c r="O42" s="512">
        <f t="shared" ca="1" si="15"/>
        <v>0</v>
      </c>
      <c r="P42" s="520"/>
      <c r="Q42" s="490"/>
      <c r="R42" s="491"/>
    </row>
    <row r="43" spans="1:18">
      <c r="A43" s="336">
        <f t="shared" ref="A43:B50" si="16">A42+1</f>
        <v>75</v>
      </c>
      <c r="B43" s="639">
        <f>B42+1</f>
        <v>28</v>
      </c>
      <c r="C43" s="477" t="str">
        <f t="shared" ref="C43:C63" ca="1" si="17">IF(ABS(SUM(D43:O43))&gt;0.01,INDIRECT($C$1&amp;"!f"&amp;A43),"")</f>
        <v/>
      </c>
      <c r="D43" s="477">
        <f t="shared" ca="1" si="15"/>
        <v>0</v>
      </c>
      <c r="E43" s="477">
        <f t="shared" ca="1" si="15"/>
        <v>0</v>
      </c>
      <c r="F43" s="477">
        <f t="shared" ca="1" si="15"/>
        <v>0</v>
      </c>
      <c r="G43" s="477">
        <f t="shared" ca="1" si="15"/>
        <v>0</v>
      </c>
      <c r="H43" s="477">
        <f t="shared" ca="1" si="15"/>
        <v>0</v>
      </c>
      <c r="I43" s="477">
        <f t="shared" ca="1" si="15"/>
        <v>0</v>
      </c>
      <c r="J43" s="477">
        <f t="shared" ca="1" si="15"/>
        <v>0</v>
      </c>
      <c r="K43" s="477">
        <f t="shared" ca="1" si="15"/>
        <v>0</v>
      </c>
      <c r="L43" s="477">
        <f t="shared" ca="1" si="15"/>
        <v>0</v>
      </c>
      <c r="M43" s="477">
        <f t="shared" ca="1" si="15"/>
        <v>0</v>
      </c>
      <c r="N43" s="477">
        <f t="shared" ca="1" si="15"/>
        <v>0</v>
      </c>
      <c r="O43" s="513">
        <f t="shared" ca="1" si="15"/>
        <v>0</v>
      </c>
      <c r="P43" s="680"/>
      <c r="Q43" s="492"/>
      <c r="R43" s="493"/>
    </row>
    <row r="44" spans="1:18">
      <c r="A44" s="336">
        <f t="shared" si="16"/>
        <v>76</v>
      </c>
      <c r="B44" s="638">
        <f>B43+1</f>
        <v>29</v>
      </c>
      <c r="C44" s="476" t="str">
        <f t="shared" ca="1" si="17"/>
        <v/>
      </c>
      <c r="D44" s="476">
        <f t="shared" ca="1" si="15"/>
        <v>0</v>
      </c>
      <c r="E44" s="476">
        <f t="shared" ca="1" si="15"/>
        <v>0</v>
      </c>
      <c r="F44" s="476">
        <f t="shared" ca="1" si="15"/>
        <v>0</v>
      </c>
      <c r="G44" s="476">
        <f t="shared" ca="1" si="15"/>
        <v>0</v>
      </c>
      <c r="H44" s="476">
        <f t="shared" ca="1" si="15"/>
        <v>0</v>
      </c>
      <c r="I44" s="476">
        <f t="shared" ca="1" si="15"/>
        <v>0</v>
      </c>
      <c r="J44" s="476">
        <f t="shared" ca="1" si="15"/>
        <v>0</v>
      </c>
      <c r="K44" s="476">
        <f t="shared" ca="1" si="15"/>
        <v>0</v>
      </c>
      <c r="L44" s="476">
        <f t="shared" ca="1" si="15"/>
        <v>0</v>
      </c>
      <c r="M44" s="476">
        <f t="shared" ca="1" si="15"/>
        <v>0</v>
      </c>
      <c r="N44" s="476">
        <f t="shared" ca="1" si="15"/>
        <v>0</v>
      </c>
      <c r="O44" s="512">
        <f t="shared" ca="1" si="15"/>
        <v>0</v>
      </c>
      <c r="P44" s="680"/>
      <c r="Q44" s="490"/>
      <c r="R44" s="491"/>
    </row>
    <row r="45" spans="1:18">
      <c r="A45" s="336">
        <f t="shared" si="16"/>
        <v>77</v>
      </c>
      <c r="B45" s="639">
        <f t="shared" si="16"/>
        <v>30</v>
      </c>
      <c r="C45" s="477" t="e">
        <f t="shared" ca="1" si="17"/>
        <v>#VALUE!</v>
      </c>
      <c r="D45" s="477" t="e">
        <f ca="1">SUM(D16:D44)</f>
        <v>#VALUE!</v>
      </c>
      <c r="E45" s="477" t="e">
        <f t="shared" ref="E45:O45" ca="1" si="18">SUM(E16:E44)</f>
        <v>#VALUE!</v>
      </c>
      <c r="F45" s="477" t="e">
        <f t="shared" ca="1" si="18"/>
        <v>#VALUE!</v>
      </c>
      <c r="G45" s="477" t="e">
        <f t="shared" ca="1" si="18"/>
        <v>#VALUE!</v>
      </c>
      <c r="H45" s="477" t="e">
        <f t="shared" ca="1" si="18"/>
        <v>#VALUE!</v>
      </c>
      <c r="I45" s="477" t="e">
        <f t="shared" ca="1" si="18"/>
        <v>#VALUE!</v>
      </c>
      <c r="J45" s="477" t="e">
        <f t="shared" ca="1" si="18"/>
        <v>#VALUE!</v>
      </c>
      <c r="K45" s="477" t="e">
        <f t="shared" ca="1" si="18"/>
        <v>#VALUE!</v>
      </c>
      <c r="L45" s="477" t="e">
        <f t="shared" ca="1" si="18"/>
        <v>#VALUE!</v>
      </c>
      <c r="M45" s="477" t="e">
        <f t="shared" ca="1" si="18"/>
        <v>#VALUE!</v>
      </c>
      <c r="N45" s="477" t="e">
        <f t="shared" ca="1" si="18"/>
        <v>#VALUE!</v>
      </c>
      <c r="O45" s="513" t="e">
        <f t="shared" ca="1" si="18"/>
        <v>#VALUE!</v>
      </c>
      <c r="P45" s="680"/>
      <c r="Q45" s="492"/>
      <c r="R45" s="493"/>
    </row>
    <row r="46" spans="1:18">
      <c r="A46" s="336">
        <v>78</v>
      </c>
      <c r="B46" s="638">
        <f t="shared" si="16"/>
        <v>31</v>
      </c>
      <c r="C46" s="476" t="str">
        <f t="shared" ca="1" si="17"/>
        <v/>
      </c>
      <c r="D46" s="476">
        <f t="shared" ca="1" si="15"/>
        <v>0</v>
      </c>
      <c r="E46" s="476">
        <f t="shared" ca="1" si="15"/>
        <v>0</v>
      </c>
      <c r="F46" s="476">
        <f t="shared" ca="1" si="15"/>
        <v>0</v>
      </c>
      <c r="G46" s="476">
        <f t="shared" ca="1" si="15"/>
        <v>0</v>
      </c>
      <c r="H46" s="476">
        <f t="shared" ca="1" si="15"/>
        <v>0</v>
      </c>
      <c r="I46" s="476">
        <f t="shared" ca="1" si="15"/>
        <v>0</v>
      </c>
      <c r="J46" s="476">
        <f t="shared" ca="1" si="15"/>
        <v>0</v>
      </c>
      <c r="K46" s="476">
        <f t="shared" ca="1" si="15"/>
        <v>0</v>
      </c>
      <c r="L46" s="476">
        <f t="shared" ca="1" si="15"/>
        <v>0</v>
      </c>
      <c r="M46" s="476">
        <f t="shared" ca="1" si="15"/>
        <v>0</v>
      </c>
      <c r="N46" s="476">
        <f t="shared" ca="1" si="15"/>
        <v>0</v>
      </c>
      <c r="O46" s="512">
        <f t="shared" ca="1" si="15"/>
        <v>0</v>
      </c>
      <c r="P46" s="680"/>
      <c r="Q46" s="490"/>
      <c r="R46" s="491"/>
    </row>
    <row r="47" spans="1:18">
      <c r="A47" s="336">
        <f t="shared" si="16"/>
        <v>79</v>
      </c>
      <c r="B47" s="783">
        <f t="shared" si="16"/>
        <v>32</v>
      </c>
      <c r="C47" s="784" t="str">
        <f t="shared" ca="1" si="17"/>
        <v/>
      </c>
      <c r="D47" s="785">
        <f t="shared" ref="D47:O56" ca="1" si="19">INDIRECT($C$1&amp;"!"&amp;VLOOKUP(D$2,mdr,2,0)&amp;$A47)</f>
        <v>0</v>
      </c>
      <c r="E47" s="785">
        <f t="shared" ca="1" si="19"/>
        <v>0</v>
      </c>
      <c r="F47" s="785">
        <f t="shared" ca="1" si="19"/>
        <v>0</v>
      </c>
      <c r="G47" s="785">
        <f t="shared" ca="1" si="19"/>
        <v>0</v>
      </c>
      <c r="H47" s="785">
        <f t="shared" ca="1" si="19"/>
        <v>0</v>
      </c>
      <c r="I47" s="785">
        <f t="shared" ca="1" si="19"/>
        <v>0</v>
      </c>
      <c r="J47" s="785">
        <f t="shared" ca="1" si="19"/>
        <v>0</v>
      </c>
      <c r="K47" s="785">
        <f t="shared" ca="1" si="19"/>
        <v>0</v>
      </c>
      <c r="L47" s="785">
        <f t="shared" ca="1" si="19"/>
        <v>0</v>
      </c>
      <c r="M47" s="785">
        <f t="shared" ca="1" si="19"/>
        <v>0</v>
      </c>
      <c r="N47" s="785">
        <f t="shared" ca="1" si="19"/>
        <v>0</v>
      </c>
      <c r="O47" s="786">
        <f t="shared" ca="1" si="19"/>
        <v>0</v>
      </c>
      <c r="P47" s="680"/>
      <c r="Q47" s="492"/>
      <c r="R47" s="493"/>
    </row>
    <row r="48" spans="1:18">
      <c r="A48" s="336">
        <f t="shared" si="16"/>
        <v>80</v>
      </c>
      <c r="B48" s="715">
        <f t="shared" si="16"/>
        <v>33</v>
      </c>
      <c r="C48" s="714" t="str">
        <f t="shared" ca="1" si="17"/>
        <v/>
      </c>
      <c r="D48" s="478">
        <f t="shared" ca="1" si="19"/>
        <v>0</v>
      </c>
      <c r="E48" s="478">
        <f t="shared" ca="1" si="19"/>
        <v>0</v>
      </c>
      <c r="F48" s="478">
        <f t="shared" ca="1" si="19"/>
        <v>0</v>
      </c>
      <c r="G48" s="478">
        <f t="shared" ca="1" si="19"/>
        <v>0</v>
      </c>
      <c r="H48" s="478">
        <f t="shared" ca="1" si="19"/>
        <v>0</v>
      </c>
      <c r="I48" s="478">
        <f t="shared" ca="1" si="19"/>
        <v>0</v>
      </c>
      <c r="J48" s="478">
        <f t="shared" ca="1" si="19"/>
        <v>0</v>
      </c>
      <c r="K48" s="478">
        <f t="shared" ca="1" si="19"/>
        <v>0</v>
      </c>
      <c r="L48" s="478">
        <f t="shared" ca="1" si="19"/>
        <v>0</v>
      </c>
      <c r="M48" s="478">
        <f t="shared" ca="1" si="19"/>
        <v>0</v>
      </c>
      <c r="N48" s="478">
        <f t="shared" ca="1" si="19"/>
        <v>0</v>
      </c>
      <c r="O48" s="478">
        <f t="shared" ca="1" si="19"/>
        <v>0</v>
      </c>
      <c r="P48" s="680"/>
      <c r="Q48" s="490"/>
      <c r="R48" s="491"/>
    </row>
    <row r="49" spans="1:18">
      <c r="A49" s="336">
        <f t="shared" si="16"/>
        <v>81</v>
      </c>
      <c r="B49" s="716">
        <f t="shared" si="16"/>
        <v>34</v>
      </c>
      <c r="C49" s="713" t="str">
        <f t="shared" ca="1" si="17"/>
        <v/>
      </c>
      <c r="D49" s="678">
        <f t="shared" ca="1" si="19"/>
        <v>0</v>
      </c>
      <c r="E49" s="678">
        <f t="shared" ca="1" si="19"/>
        <v>0</v>
      </c>
      <c r="F49" s="678">
        <f t="shared" ca="1" si="19"/>
        <v>0</v>
      </c>
      <c r="G49" s="678">
        <f t="shared" ca="1" si="19"/>
        <v>0</v>
      </c>
      <c r="H49" s="678">
        <f t="shared" ca="1" si="19"/>
        <v>0</v>
      </c>
      <c r="I49" s="678">
        <f t="shared" ca="1" si="19"/>
        <v>0</v>
      </c>
      <c r="J49" s="678">
        <f t="shared" ca="1" si="19"/>
        <v>0</v>
      </c>
      <c r="K49" s="678">
        <f t="shared" ca="1" si="19"/>
        <v>0</v>
      </c>
      <c r="L49" s="678">
        <f t="shared" ca="1" si="19"/>
        <v>0</v>
      </c>
      <c r="M49" s="678">
        <f t="shared" ca="1" si="19"/>
        <v>0</v>
      </c>
      <c r="N49" s="678">
        <f t="shared" ca="1" si="19"/>
        <v>0</v>
      </c>
      <c r="O49" s="678">
        <f t="shared" ca="1" si="19"/>
        <v>0</v>
      </c>
      <c r="P49" s="680"/>
      <c r="Q49" s="492"/>
      <c r="R49" s="493"/>
    </row>
    <row r="50" spans="1:18">
      <c r="A50" s="336">
        <f t="shared" si="16"/>
        <v>82</v>
      </c>
      <c r="B50" s="715">
        <f t="shared" si="16"/>
        <v>35</v>
      </c>
      <c r="C50" s="714" t="str">
        <f t="shared" ca="1" si="17"/>
        <v/>
      </c>
      <c r="D50" s="478">
        <f t="shared" ca="1" si="19"/>
        <v>0</v>
      </c>
      <c r="E50" s="478">
        <f t="shared" ca="1" si="19"/>
        <v>0</v>
      </c>
      <c r="F50" s="478">
        <f t="shared" ca="1" si="19"/>
        <v>0</v>
      </c>
      <c r="G50" s="478">
        <f t="shared" ca="1" si="19"/>
        <v>0</v>
      </c>
      <c r="H50" s="478">
        <f t="shared" ca="1" si="19"/>
        <v>0</v>
      </c>
      <c r="I50" s="478">
        <f t="shared" ca="1" si="19"/>
        <v>0</v>
      </c>
      <c r="J50" s="478">
        <f t="shared" ca="1" si="19"/>
        <v>0</v>
      </c>
      <c r="K50" s="478">
        <f t="shared" ca="1" si="19"/>
        <v>0</v>
      </c>
      <c r="L50" s="478">
        <f t="shared" ca="1" si="19"/>
        <v>0</v>
      </c>
      <c r="M50" s="478">
        <f t="shared" ca="1" si="19"/>
        <v>0</v>
      </c>
      <c r="N50" s="478">
        <f t="shared" ca="1" si="19"/>
        <v>0</v>
      </c>
      <c r="O50" s="478">
        <f t="shared" ca="1" si="19"/>
        <v>0</v>
      </c>
      <c r="P50" s="680"/>
      <c r="Q50" s="490"/>
      <c r="R50" s="491"/>
    </row>
    <row r="51" spans="1:18">
      <c r="A51" s="336">
        <f t="shared" ref="A51:B66" si="20">A50+1</f>
        <v>83</v>
      </c>
      <c r="B51" s="716">
        <f t="shared" si="20"/>
        <v>36</v>
      </c>
      <c r="C51" s="713" t="str">
        <f t="shared" ca="1" si="17"/>
        <v/>
      </c>
      <c r="D51" s="678">
        <f t="shared" ca="1" si="19"/>
        <v>0</v>
      </c>
      <c r="E51" s="678">
        <f t="shared" ca="1" si="19"/>
        <v>0</v>
      </c>
      <c r="F51" s="678">
        <f t="shared" ca="1" si="19"/>
        <v>0</v>
      </c>
      <c r="G51" s="678">
        <f t="shared" ca="1" si="19"/>
        <v>0</v>
      </c>
      <c r="H51" s="678">
        <f t="shared" ca="1" si="19"/>
        <v>0</v>
      </c>
      <c r="I51" s="678">
        <f t="shared" ca="1" si="19"/>
        <v>0</v>
      </c>
      <c r="J51" s="678">
        <f t="shared" ca="1" si="19"/>
        <v>0</v>
      </c>
      <c r="K51" s="678">
        <f t="shared" ca="1" si="19"/>
        <v>0</v>
      </c>
      <c r="L51" s="678">
        <f t="shared" ca="1" si="19"/>
        <v>0</v>
      </c>
      <c r="M51" s="678">
        <f t="shared" ca="1" si="19"/>
        <v>0</v>
      </c>
      <c r="N51" s="678">
        <f t="shared" ca="1" si="19"/>
        <v>0</v>
      </c>
      <c r="O51" s="678">
        <f t="shared" ca="1" si="19"/>
        <v>0</v>
      </c>
      <c r="P51" s="680"/>
      <c r="Q51" s="492"/>
      <c r="R51" s="493"/>
    </row>
    <row r="52" spans="1:18">
      <c r="A52" s="336">
        <f t="shared" si="20"/>
        <v>84</v>
      </c>
      <c r="B52" s="715">
        <f t="shared" si="20"/>
        <v>37</v>
      </c>
      <c r="C52" s="714" t="str">
        <f t="shared" ca="1" si="17"/>
        <v/>
      </c>
      <c r="D52" s="478">
        <f t="shared" ca="1" si="19"/>
        <v>0</v>
      </c>
      <c r="E52" s="478">
        <f t="shared" ca="1" si="19"/>
        <v>0</v>
      </c>
      <c r="F52" s="478">
        <f t="shared" ca="1" si="19"/>
        <v>0</v>
      </c>
      <c r="G52" s="478">
        <f t="shared" ca="1" si="19"/>
        <v>0</v>
      </c>
      <c r="H52" s="478">
        <f t="shared" ca="1" si="19"/>
        <v>0</v>
      </c>
      <c r="I52" s="478">
        <f t="shared" ca="1" si="19"/>
        <v>0</v>
      </c>
      <c r="J52" s="478">
        <f t="shared" ca="1" si="19"/>
        <v>0</v>
      </c>
      <c r="K52" s="478">
        <f t="shared" ca="1" si="19"/>
        <v>0</v>
      </c>
      <c r="L52" s="478">
        <f t="shared" ca="1" si="19"/>
        <v>0</v>
      </c>
      <c r="M52" s="478">
        <f t="shared" ca="1" si="19"/>
        <v>0</v>
      </c>
      <c r="N52" s="478">
        <f t="shared" ca="1" si="19"/>
        <v>0</v>
      </c>
      <c r="O52" s="478">
        <f t="shared" ca="1" si="19"/>
        <v>0</v>
      </c>
      <c r="P52" s="680"/>
      <c r="Q52" s="490"/>
      <c r="R52" s="491"/>
    </row>
    <row r="53" spans="1:18">
      <c r="A53" s="336">
        <f t="shared" si="20"/>
        <v>85</v>
      </c>
      <c r="B53" s="716">
        <f t="shared" si="20"/>
        <v>38</v>
      </c>
      <c r="C53" s="713" t="str">
        <f t="shared" ca="1" si="17"/>
        <v/>
      </c>
      <c r="D53" s="678">
        <f t="shared" ca="1" si="19"/>
        <v>0</v>
      </c>
      <c r="E53" s="678">
        <f t="shared" ca="1" si="19"/>
        <v>0</v>
      </c>
      <c r="F53" s="678">
        <f t="shared" ca="1" si="19"/>
        <v>0</v>
      </c>
      <c r="G53" s="678">
        <f t="shared" ca="1" si="19"/>
        <v>0</v>
      </c>
      <c r="H53" s="678">
        <f t="shared" ca="1" si="19"/>
        <v>0</v>
      </c>
      <c r="I53" s="678">
        <f t="shared" ca="1" si="19"/>
        <v>0</v>
      </c>
      <c r="J53" s="678">
        <f t="shared" ca="1" si="19"/>
        <v>0</v>
      </c>
      <c r="K53" s="678">
        <f t="shared" ca="1" si="19"/>
        <v>0</v>
      </c>
      <c r="L53" s="678">
        <f t="shared" ca="1" si="19"/>
        <v>0</v>
      </c>
      <c r="M53" s="678">
        <f t="shared" ca="1" si="19"/>
        <v>0</v>
      </c>
      <c r="N53" s="678">
        <f t="shared" ca="1" si="19"/>
        <v>0</v>
      </c>
      <c r="O53" s="678">
        <f t="shared" ca="1" si="19"/>
        <v>0</v>
      </c>
      <c r="P53" s="680"/>
      <c r="Q53" s="492"/>
      <c r="R53" s="493"/>
    </row>
    <row r="54" spans="1:18">
      <c r="A54" s="336">
        <f t="shared" si="20"/>
        <v>86</v>
      </c>
      <c r="B54" s="715">
        <f t="shared" si="20"/>
        <v>39</v>
      </c>
      <c r="C54" s="714" t="str">
        <f t="shared" ca="1" si="17"/>
        <v/>
      </c>
      <c r="D54" s="478">
        <f t="shared" ca="1" si="19"/>
        <v>0</v>
      </c>
      <c r="E54" s="478">
        <f t="shared" ca="1" si="19"/>
        <v>0</v>
      </c>
      <c r="F54" s="478">
        <f t="shared" ca="1" si="19"/>
        <v>0</v>
      </c>
      <c r="G54" s="478">
        <f t="shared" ca="1" si="19"/>
        <v>0</v>
      </c>
      <c r="H54" s="478">
        <f t="shared" ca="1" si="19"/>
        <v>0</v>
      </c>
      <c r="I54" s="478">
        <f t="shared" ca="1" si="19"/>
        <v>0</v>
      </c>
      <c r="J54" s="478">
        <f t="shared" ca="1" si="19"/>
        <v>0</v>
      </c>
      <c r="K54" s="478">
        <f t="shared" ca="1" si="19"/>
        <v>0</v>
      </c>
      <c r="L54" s="478">
        <f t="shared" ca="1" si="19"/>
        <v>0</v>
      </c>
      <c r="M54" s="478">
        <f t="shared" ca="1" si="19"/>
        <v>0</v>
      </c>
      <c r="N54" s="478">
        <f t="shared" ca="1" si="19"/>
        <v>0</v>
      </c>
      <c r="O54" s="478">
        <f t="shared" ca="1" si="19"/>
        <v>0</v>
      </c>
      <c r="P54" s="680"/>
      <c r="Q54" s="490"/>
      <c r="R54" s="491"/>
    </row>
    <row r="55" spans="1:18">
      <c r="A55" s="336">
        <f t="shared" si="20"/>
        <v>87</v>
      </c>
      <c r="B55" s="716">
        <f t="shared" si="20"/>
        <v>40</v>
      </c>
      <c r="C55" s="713" t="str">
        <f t="shared" ca="1" si="17"/>
        <v/>
      </c>
      <c r="D55" s="678">
        <f t="shared" ca="1" si="19"/>
        <v>0</v>
      </c>
      <c r="E55" s="678">
        <f t="shared" ca="1" si="19"/>
        <v>0</v>
      </c>
      <c r="F55" s="678">
        <f t="shared" ca="1" si="19"/>
        <v>0</v>
      </c>
      <c r="G55" s="678">
        <f t="shared" ca="1" si="19"/>
        <v>0</v>
      </c>
      <c r="H55" s="678">
        <f t="shared" ca="1" si="19"/>
        <v>0</v>
      </c>
      <c r="I55" s="678">
        <f t="shared" ca="1" si="19"/>
        <v>0</v>
      </c>
      <c r="J55" s="678">
        <f t="shared" ca="1" si="19"/>
        <v>0</v>
      </c>
      <c r="K55" s="678">
        <f t="shared" ca="1" si="19"/>
        <v>0</v>
      </c>
      <c r="L55" s="678">
        <f t="shared" ca="1" si="19"/>
        <v>0</v>
      </c>
      <c r="M55" s="678">
        <f t="shared" ca="1" si="19"/>
        <v>0</v>
      </c>
      <c r="N55" s="678">
        <f t="shared" ca="1" si="19"/>
        <v>0</v>
      </c>
      <c r="O55" s="678">
        <f t="shared" ca="1" si="19"/>
        <v>0</v>
      </c>
      <c r="P55" s="680"/>
      <c r="Q55" s="492"/>
      <c r="R55" s="493"/>
    </row>
    <row r="56" spans="1:18">
      <c r="A56" s="336">
        <f t="shared" si="20"/>
        <v>88</v>
      </c>
      <c r="B56" s="715">
        <f t="shared" si="20"/>
        <v>41</v>
      </c>
      <c r="C56" s="714" t="str">
        <f t="shared" ca="1" si="17"/>
        <v/>
      </c>
      <c r="D56" s="478">
        <f t="shared" ca="1" si="19"/>
        <v>0</v>
      </c>
      <c r="E56" s="478">
        <f t="shared" ca="1" si="19"/>
        <v>0</v>
      </c>
      <c r="F56" s="478">
        <f t="shared" ca="1" si="19"/>
        <v>0</v>
      </c>
      <c r="G56" s="478">
        <f t="shared" ca="1" si="19"/>
        <v>0</v>
      </c>
      <c r="H56" s="478">
        <f t="shared" ca="1" si="19"/>
        <v>0</v>
      </c>
      <c r="I56" s="478">
        <f t="shared" ca="1" si="19"/>
        <v>0</v>
      </c>
      <c r="J56" s="478">
        <f t="shared" ca="1" si="19"/>
        <v>0</v>
      </c>
      <c r="K56" s="478">
        <f t="shared" ca="1" si="19"/>
        <v>0</v>
      </c>
      <c r="L56" s="478">
        <f t="shared" ca="1" si="19"/>
        <v>0</v>
      </c>
      <c r="M56" s="478">
        <f t="shared" ca="1" si="19"/>
        <v>0</v>
      </c>
      <c r="N56" s="478">
        <f t="shared" ca="1" si="19"/>
        <v>0</v>
      </c>
      <c r="O56" s="478">
        <f t="shared" ca="1" si="19"/>
        <v>0</v>
      </c>
      <c r="P56" s="680"/>
      <c r="Q56" s="490"/>
      <c r="R56" s="491"/>
    </row>
    <row r="57" spans="1:18">
      <c r="A57" s="336">
        <f t="shared" si="20"/>
        <v>89</v>
      </c>
      <c r="B57" s="716">
        <f t="shared" si="20"/>
        <v>42</v>
      </c>
      <c r="C57" s="713" t="str">
        <f t="shared" ca="1" si="17"/>
        <v/>
      </c>
      <c r="D57" s="678">
        <f t="shared" ref="D57:O72" ca="1" si="21">INDIRECT($C$1&amp;"!"&amp;VLOOKUP(D$2,mdr,2,0)&amp;$A57)</f>
        <v>0</v>
      </c>
      <c r="E57" s="678">
        <f t="shared" ca="1" si="21"/>
        <v>0</v>
      </c>
      <c r="F57" s="678">
        <f t="shared" ca="1" si="21"/>
        <v>0</v>
      </c>
      <c r="G57" s="678">
        <f t="shared" ca="1" si="21"/>
        <v>0</v>
      </c>
      <c r="H57" s="678">
        <f t="shared" ca="1" si="21"/>
        <v>0</v>
      </c>
      <c r="I57" s="678">
        <f t="shared" ca="1" si="21"/>
        <v>0</v>
      </c>
      <c r="J57" s="678">
        <f t="shared" ca="1" si="21"/>
        <v>0</v>
      </c>
      <c r="K57" s="678">
        <f t="shared" ca="1" si="21"/>
        <v>0</v>
      </c>
      <c r="L57" s="678">
        <f t="shared" ca="1" si="21"/>
        <v>0</v>
      </c>
      <c r="M57" s="678">
        <f t="shared" ca="1" si="21"/>
        <v>0</v>
      </c>
      <c r="N57" s="678">
        <f t="shared" ca="1" si="21"/>
        <v>0</v>
      </c>
      <c r="O57" s="678">
        <f t="shared" ca="1" si="21"/>
        <v>0</v>
      </c>
      <c r="P57" s="680"/>
      <c r="Q57" s="492"/>
      <c r="R57" s="493"/>
    </row>
    <row r="58" spans="1:18">
      <c r="A58" s="336">
        <f t="shared" si="20"/>
        <v>90</v>
      </c>
      <c r="B58" s="715">
        <f t="shared" si="20"/>
        <v>43</v>
      </c>
      <c r="C58" s="714" t="str">
        <f t="shared" ca="1" si="17"/>
        <v/>
      </c>
      <c r="D58" s="478">
        <f t="shared" ca="1" si="21"/>
        <v>0</v>
      </c>
      <c r="E58" s="478">
        <f t="shared" ca="1" si="21"/>
        <v>0</v>
      </c>
      <c r="F58" s="478">
        <f t="shared" ca="1" si="21"/>
        <v>0</v>
      </c>
      <c r="G58" s="478">
        <f t="shared" ca="1" si="21"/>
        <v>0</v>
      </c>
      <c r="H58" s="478">
        <f t="shared" ca="1" si="21"/>
        <v>0</v>
      </c>
      <c r="I58" s="478">
        <f t="shared" ca="1" si="21"/>
        <v>0</v>
      </c>
      <c r="J58" s="478">
        <f t="shared" ca="1" si="21"/>
        <v>0</v>
      </c>
      <c r="K58" s="478">
        <f t="shared" ca="1" si="21"/>
        <v>0</v>
      </c>
      <c r="L58" s="478">
        <f t="shared" ca="1" si="21"/>
        <v>0</v>
      </c>
      <c r="M58" s="478">
        <f t="shared" ca="1" si="21"/>
        <v>0</v>
      </c>
      <c r="N58" s="478">
        <f t="shared" ca="1" si="21"/>
        <v>0</v>
      </c>
      <c r="O58" s="478">
        <f t="shared" ca="1" si="21"/>
        <v>0</v>
      </c>
      <c r="P58" s="680"/>
      <c r="Q58" s="490"/>
      <c r="R58" s="491"/>
    </row>
    <row r="59" spans="1:18">
      <c r="A59" s="336">
        <f t="shared" si="20"/>
        <v>91</v>
      </c>
      <c r="B59" s="716">
        <f t="shared" si="20"/>
        <v>44</v>
      </c>
      <c r="C59" s="713" t="str">
        <f t="shared" ca="1" si="17"/>
        <v/>
      </c>
      <c r="D59" s="678">
        <f t="shared" ca="1" si="21"/>
        <v>0</v>
      </c>
      <c r="E59" s="678">
        <f t="shared" ca="1" si="21"/>
        <v>0</v>
      </c>
      <c r="F59" s="678">
        <f t="shared" ca="1" si="21"/>
        <v>0</v>
      </c>
      <c r="G59" s="678">
        <f t="shared" ca="1" si="21"/>
        <v>0</v>
      </c>
      <c r="H59" s="678">
        <f t="shared" ca="1" si="21"/>
        <v>0</v>
      </c>
      <c r="I59" s="678">
        <f t="shared" ca="1" si="21"/>
        <v>0</v>
      </c>
      <c r="J59" s="678">
        <f t="shared" ca="1" si="21"/>
        <v>0</v>
      </c>
      <c r="K59" s="678">
        <f t="shared" ca="1" si="21"/>
        <v>0</v>
      </c>
      <c r="L59" s="678">
        <f t="shared" ca="1" si="21"/>
        <v>0</v>
      </c>
      <c r="M59" s="678">
        <f t="shared" ca="1" si="21"/>
        <v>0</v>
      </c>
      <c r="N59" s="678">
        <f t="shared" ca="1" si="21"/>
        <v>0</v>
      </c>
      <c r="O59" s="678">
        <f t="shared" ca="1" si="21"/>
        <v>0</v>
      </c>
      <c r="P59" s="680"/>
      <c r="Q59" s="492"/>
      <c r="R59" s="493"/>
    </row>
    <row r="60" spans="1:18">
      <c r="A60" s="336">
        <f t="shared" si="20"/>
        <v>92</v>
      </c>
      <c r="B60" s="715">
        <f t="shared" si="20"/>
        <v>45</v>
      </c>
      <c r="C60" s="714" t="str">
        <f t="shared" ca="1" si="17"/>
        <v/>
      </c>
      <c r="D60" s="478">
        <f t="shared" ca="1" si="21"/>
        <v>0</v>
      </c>
      <c r="E60" s="478">
        <f t="shared" ca="1" si="21"/>
        <v>0</v>
      </c>
      <c r="F60" s="478">
        <f t="shared" ca="1" si="21"/>
        <v>0</v>
      </c>
      <c r="G60" s="478">
        <f t="shared" ca="1" si="21"/>
        <v>0</v>
      </c>
      <c r="H60" s="478">
        <f t="shared" ca="1" si="21"/>
        <v>0</v>
      </c>
      <c r="I60" s="478">
        <f t="shared" ca="1" si="21"/>
        <v>0</v>
      </c>
      <c r="J60" s="478">
        <f t="shared" ca="1" si="21"/>
        <v>0</v>
      </c>
      <c r="K60" s="478">
        <f t="shared" ca="1" si="21"/>
        <v>0</v>
      </c>
      <c r="L60" s="478">
        <f t="shared" ca="1" si="21"/>
        <v>0</v>
      </c>
      <c r="M60" s="478">
        <f t="shared" ca="1" si="21"/>
        <v>0</v>
      </c>
      <c r="N60" s="478">
        <f t="shared" ca="1" si="21"/>
        <v>0</v>
      </c>
      <c r="O60" s="478">
        <f t="shared" ca="1" si="21"/>
        <v>0</v>
      </c>
      <c r="P60" s="680"/>
      <c r="Q60" s="490"/>
      <c r="R60" s="491"/>
    </row>
    <row r="61" spans="1:18">
      <c r="A61" s="336">
        <f t="shared" si="20"/>
        <v>93</v>
      </c>
      <c r="B61" s="716">
        <f>B60+1</f>
        <v>46</v>
      </c>
      <c r="C61" s="713" t="str">
        <f t="shared" ca="1" si="17"/>
        <v/>
      </c>
      <c r="D61" s="678">
        <f t="shared" ca="1" si="21"/>
        <v>0</v>
      </c>
      <c r="E61" s="678">
        <f t="shared" ca="1" si="21"/>
        <v>0</v>
      </c>
      <c r="F61" s="678">
        <f t="shared" ca="1" si="21"/>
        <v>0</v>
      </c>
      <c r="G61" s="678">
        <f t="shared" ca="1" si="21"/>
        <v>0</v>
      </c>
      <c r="H61" s="678">
        <f t="shared" ca="1" si="21"/>
        <v>0</v>
      </c>
      <c r="I61" s="678">
        <f t="shared" ca="1" si="21"/>
        <v>0</v>
      </c>
      <c r="J61" s="678">
        <f t="shared" ca="1" si="21"/>
        <v>0</v>
      </c>
      <c r="K61" s="678">
        <f t="shared" ca="1" si="21"/>
        <v>0</v>
      </c>
      <c r="L61" s="678">
        <f t="shared" ca="1" si="21"/>
        <v>0</v>
      </c>
      <c r="M61" s="678">
        <f t="shared" ca="1" si="21"/>
        <v>0</v>
      </c>
      <c r="N61" s="678">
        <f t="shared" ca="1" si="21"/>
        <v>0</v>
      </c>
      <c r="O61" s="678">
        <f t="shared" ca="1" si="21"/>
        <v>0</v>
      </c>
      <c r="P61" s="680"/>
      <c r="Q61" s="492"/>
      <c r="R61" s="493"/>
    </row>
    <row r="62" spans="1:18">
      <c r="A62" s="336">
        <f t="shared" si="20"/>
        <v>94</v>
      </c>
      <c r="B62" s="715">
        <f>B61+1</f>
        <v>47</v>
      </c>
      <c r="C62" s="714" t="str">
        <f t="shared" ca="1" si="17"/>
        <v/>
      </c>
      <c r="D62" s="478">
        <f t="shared" ca="1" si="21"/>
        <v>0</v>
      </c>
      <c r="E62" s="478">
        <f t="shared" ca="1" si="21"/>
        <v>0</v>
      </c>
      <c r="F62" s="478">
        <f t="shared" ca="1" si="21"/>
        <v>0</v>
      </c>
      <c r="G62" s="478">
        <f t="shared" ca="1" si="21"/>
        <v>0</v>
      </c>
      <c r="H62" s="478">
        <f t="shared" ca="1" si="21"/>
        <v>0</v>
      </c>
      <c r="I62" s="478">
        <f t="shared" ca="1" si="21"/>
        <v>0</v>
      </c>
      <c r="J62" s="478">
        <f t="shared" ca="1" si="21"/>
        <v>0</v>
      </c>
      <c r="K62" s="478">
        <f t="shared" ca="1" si="21"/>
        <v>0</v>
      </c>
      <c r="L62" s="478">
        <f t="shared" ca="1" si="21"/>
        <v>0</v>
      </c>
      <c r="M62" s="478">
        <f t="shared" ca="1" si="21"/>
        <v>0</v>
      </c>
      <c r="N62" s="478">
        <f t="shared" ca="1" si="21"/>
        <v>0</v>
      </c>
      <c r="O62" s="478">
        <f t="shared" ca="1" si="21"/>
        <v>0</v>
      </c>
      <c r="P62" s="681"/>
      <c r="Q62" s="490"/>
      <c r="R62" s="491"/>
    </row>
    <row r="63" spans="1:18">
      <c r="A63" s="336">
        <f t="shared" si="20"/>
        <v>95</v>
      </c>
      <c r="B63" s="716">
        <f t="shared" si="20"/>
        <v>48</v>
      </c>
      <c r="C63" s="713" t="str">
        <f t="shared" ca="1" si="17"/>
        <v/>
      </c>
      <c r="D63" s="776">
        <f t="shared" ca="1" si="21"/>
        <v>0</v>
      </c>
      <c r="E63" s="776">
        <f t="shared" ca="1" si="21"/>
        <v>0</v>
      </c>
      <c r="F63" s="776">
        <f t="shared" ca="1" si="21"/>
        <v>0</v>
      </c>
      <c r="G63" s="776">
        <f t="shared" ca="1" si="21"/>
        <v>0</v>
      </c>
      <c r="H63" s="776">
        <f t="shared" ca="1" si="21"/>
        <v>0</v>
      </c>
      <c r="I63" s="776">
        <f t="shared" ca="1" si="21"/>
        <v>0</v>
      </c>
      <c r="J63" s="776">
        <f t="shared" ca="1" si="21"/>
        <v>0</v>
      </c>
      <c r="K63" s="776">
        <f t="shared" ca="1" si="21"/>
        <v>0</v>
      </c>
      <c r="L63" s="776">
        <f t="shared" ca="1" si="21"/>
        <v>0</v>
      </c>
      <c r="M63" s="776">
        <f t="shared" ca="1" si="21"/>
        <v>0</v>
      </c>
      <c r="N63" s="776">
        <f t="shared" ca="1" si="21"/>
        <v>0</v>
      </c>
      <c r="O63" s="776">
        <f t="shared" ca="1" si="21"/>
        <v>0</v>
      </c>
      <c r="P63" s="680"/>
      <c r="Q63" s="492"/>
      <c r="R63" s="493"/>
    </row>
    <row r="64" spans="1:18">
      <c r="A64" s="336">
        <f t="shared" si="20"/>
        <v>96</v>
      </c>
      <c r="B64" s="778">
        <f t="shared" si="20"/>
        <v>49</v>
      </c>
      <c r="C64" s="714" t="str">
        <f t="shared" ref="C64:C69" ca="1" si="22">IF(ABS(SUM(D65:O65))&gt;0.01,INDIRECT($C$1&amp;"!f"&amp;A64),"")</f>
        <v/>
      </c>
      <c r="D64" s="478">
        <f t="shared" ca="1" si="21"/>
        <v>0</v>
      </c>
      <c r="E64" s="478">
        <f t="shared" ca="1" si="21"/>
        <v>0</v>
      </c>
      <c r="F64" s="478">
        <f t="shared" ca="1" si="21"/>
        <v>0</v>
      </c>
      <c r="G64" s="478">
        <f t="shared" ca="1" si="21"/>
        <v>0</v>
      </c>
      <c r="H64" s="478">
        <f t="shared" ca="1" si="21"/>
        <v>0</v>
      </c>
      <c r="I64" s="478">
        <f t="shared" ca="1" si="21"/>
        <v>0</v>
      </c>
      <c r="J64" s="478">
        <f t="shared" ca="1" si="21"/>
        <v>0</v>
      </c>
      <c r="K64" s="478">
        <f t="shared" ca="1" si="21"/>
        <v>0</v>
      </c>
      <c r="L64" s="478">
        <f t="shared" ca="1" si="21"/>
        <v>0</v>
      </c>
      <c r="M64" s="478">
        <f t="shared" ca="1" si="21"/>
        <v>0</v>
      </c>
      <c r="N64" s="478">
        <f t="shared" ca="1" si="21"/>
        <v>0</v>
      </c>
      <c r="O64" s="478">
        <f t="shared" ca="1" si="21"/>
        <v>0</v>
      </c>
      <c r="P64" s="680"/>
      <c r="Q64" s="490"/>
      <c r="R64" s="491"/>
    </row>
    <row r="65" spans="1:18">
      <c r="A65" s="336">
        <f t="shared" si="20"/>
        <v>97</v>
      </c>
      <c r="B65" s="777">
        <f t="shared" si="20"/>
        <v>50</v>
      </c>
      <c r="C65" s="271" t="str">
        <f t="shared" ca="1" si="22"/>
        <v/>
      </c>
      <c r="D65" s="776">
        <f t="shared" ca="1" si="21"/>
        <v>0</v>
      </c>
      <c r="E65" s="776">
        <f t="shared" ca="1" si="21"/>
        <v>0</v>
      </c>
      <c r="F65" s="776">
        <f t="shared" ca="1" si="21"/>
        <v>0</v>
      </c>
      <c r="G65" s="776">
        <f t="shared" ca="1" si="21"/>
        <v>0</v>
      </c>
      <c r="H65" s="776">
        <f t="shared" ca="1" si="21"/>
        <v>0</v>
      </c>
      <c r="I65" s="776">
        <f t="shared" ca="1" si="21"/>
        <v>0</v>
      </c>
      <c r="J65" s="776">
        <f t="shared" ca="1" si="21"/>
        <v>0</v>
      </c>
      <c r="K65" s="776">
        <f t="shared" ca="1" si="21"/>
        <v>0</v>
      </c>
      <c r="L65" s="776">
        <f t="shared" ca="1" si="21"/>
        <v>0</v>
      </c>
      <c r="M65" s="776">
        <f t="shared" ca="1" si="21"/>
        <v>0</v>
      </c>
      <c r="N65" s="776">
        <f t="shared" ca="1" si="21"/>
        <v>0</v>
      </c>
      <c r="O65" s="776">
        <f t="shared" ca="1" si="21"/>
        <v>0</v>
      </c>
      <c r="P65" s="680"/>
      <c r="Q65" s="492"/>
      <c r="R65" s="493"/>
    </row>
    <row r="66" spans="1:18">
      <c r="A66" s="336">
        <f t="shared" si="20"/>
        <v>98</v>
      </c>
      <c r="B66" s="778">
        <f t="shared" si="20"/>
        <v>51</v>
      </c>
      <c r="C66" s="273" t="str">
        <f t="shared" ca="1" si="22"/>
        <v/>
      </c>
      <c r="D66" s="478">
        <f t="shared" ca="1" si="21"/>
        <v>0</v>
      </c>
      <c r="E66" s="478">
        <f t="shared" ca="1" si="21"/>
        <v>0</v>
      </c>
      <c r="F66" s="478">
        <f t="shared" ca="1" si="21"/>
        <v>0</v>
      </c>
      <c r="G66" s="478">
        <f t="shared" ca="1" si="21"/>
        <v>0</v>
      </c>
      <c r="H66" s="478">
        <f t="shared" ca="1" si="21"/>
        <v>0</v>
      </c>
      <c r="I66" s="478">
        <f t="shared" ca="1" si="21"/>
        <v>0</v>
      </c>
      <c r="J66" s="478">
        <f t="shared" ca="1" si="21"/>
        <v>0</v>
      </c>
      <c r="K66" s="478">
        <f t="shared" ca="1" si="21"/>
        <v>0</v>
      </c>
      <c r="L66" s="478">
        <f t="shared" ca="1" si="21"/>
        <v>0</v>
      </c>
      <c r="M66" s="478">
        <f t="shared" ca="1" si="21"/>
        <v>0</v>
      </c>
      <c r="N66" s="478">
        <f t="shared" ca="1" si="21"/>
        <v>0</v>
      </c>
      <c r="O66" s="478">
        <f t="shared" ca="1" si="21"/>
        <v>0</v>
      </c>
      <c r="P66" s="680"/>
      <c r="Q66" s="490"/>
      <c r="R66" s="491"/>
    </row>
    <row r="67" spans="1:18">
      <c r="A67" s="336">
        <f t="shared" ref="A67:B69" si="23">A66+1</f>
        <v>99</v>
      </c>
      <c r="B67" s="779">
        <f t="shared" si="23"/>
        <v>52</v>
      </c>
      <c r="C67" s="780" t="str">
        <f t="shared" ca="1" si="22"/>
        <v/>
      </c>
      <c r="D67" s="781">
        <f t="shared" ca="1" si="21"/>
        <v>0</v>
      </c>
      <c r="E67" s="781">
        <f t="shared" ca="1" si="21"/>
        <v>0</v>
      </c>
      <c r="F67" s="781">
        <f t="shared" ca="1" si="21"/>
        <v>0</v>
      </c>
      <c r="G67" s="781">
        <f t="shared" ca="1" si="21"/>
        <v>0</v>
      </c>
      <c r="H67" s="781">
        <f t="shared" ca="1" si="21"/>
        <v>0</v>
      </c>
      <c r="I67" s="781">
        <f t="shared" ca="1" si="21"/>
        <v>0</v>
      </c>
      <c r="J67" s="781">
        <f t="shared" ca="1" si="21"/>
        <v>0</v>
      </c>
      <c r="K67" s="781">
        <f t="shared" ca="1" si="21"/>
        <v>0</v>
      </c>
      <c r="L67" s="781">
        <f t="shared" ca="1" si="21"/>
        <v>0</v>
      </c>
      <c r="M67" s="781">
        <f t="shared" ca="1" si="21"/>
        <v>0</v>
      </c>
      <c r="N67" s="781">
        <f t="shared" ca="1" si="21"/>
        <v>0</v>
      </c>
      <c r="O67" s="782">
        <f t="shared" ca="1" si="21"/>
        <v>0</v>
      </c>
      <c r="P67" s="680"/>
      <c r="Q67" s="492"/>
      <c r="R67" s="493"/>
    </row>
    <row r="68" spans="1:18">
      <c r="A68" s="336">
        <f t="shared" si="23"/>
        <v>100</v>
      </c>
      <c r="B68" s="514">
        <f t="shared" si="23"/>
        <v>53</v>
      </c>
      <c r="C68" s="277" t="str">
        <f t="shared" ca="1" si="22"/>
        <v/>
      </c>
      <c r="D68" s="480">
        <f t="shared" ca="1" si="21"/>
        <v>0</v>
      </c>
      <c r="E68" s="480">
        <f t="shared" ca="1" si="21"/>
        <v>0</v>
      </c>
      <c r="F68" s="480">
        <f t="shared" ca="1" si="21"/>
        <v>0</v>
      </c>
      <c r="G68" s="480">
        <f t="shared" ca="1" si="21"/>
        <v>0</v>
      </c>
      <c r="H68" s="480">
        <f t="shared" ca="1" si="21"/>
        <v>0</v>
      </c>
      <c r="I68" s="480">
        <f t="shared" ca="1" si="21"/>
        <v>0</v>
      </c>
      <c r="J68" s="480">
        <f t="shared" ca="1" si="21"/>
        <v>0</v>
      </c>
      <c r="K68" s="480">
        <f t="shared" ca="1" si="21"/>
        <v>0</v>
      </c>
      <c r="L68" s="480">
        <f t="shared" ca="1" si="21"/>
        <v>0</v>
      </c>
      <c r="M68" s="480">
        <f t="shared" ca="1" si="21"/>
        <v>0</v>
      </c>
      <c r="N68" s="480">
        <f t="shared" ca="1" si="21"/>
        <v>0</v>
      </c>
      <c r="O68" s="480">
        <f t="shared" ca="1" si="21"/>
        <v>0</v>
      </c>
      <c r="P68" s="680"/>
      <c r="Q68" s="490"/>
      <c r="R68" s="491"/>
    </row>
    <row r="69" spans="1:18">
      <c r="A69" s="336">
        <f t="shared" si="23"/>
        <v>101</v>
      </c>
      <c r="B69" s="515">
        <f t="shared" si="23"/>
        <v>54</v>
      </c>
      <c r="C69" s="275" t="str">
        <f t="shared" ca="1" si="22"/>
        <v/>
      </c>
      <c r="D69" s="479">
        <f t="shared" ca="1" si="21"/>
        <v>0</v>
      </c>
      <c r="E69" s="479">
        <f t="shared" ca="1" si="21"/>
        <v>0</v>
      </c>
      <c r="F69" s="479">
        <f t="shared" ca="1" si="21"/>
        <v>0</v>
      </c>
      <c r="G69" s="479">
        <f t="shared" ca="1" si="21"/>
        <v>0</v>
      </c>
      <c r="H69" s="479">
        <f t="shared" ca="1" si="21"/>
        <v>0</v>
      </c>
      <c r="I69" s="479">
        <f t="shared" ca="1" si="21"/>
        <v>0</v>
      </c>
      <c r="J69" s="479">
        <f t="shared" ca="1" si="21"/>
        <v>0</v>
      </c>
      <c r="K69" s="479">
        <f t="shared" ca="1" si="21"/>
        <v>0</v>
      </c>
      <c r="L69" s="479">
        <f t="shared" ca="1" si="21"/>
        <v>0</v>
      </c>
      <c r="M69" s="479">
        <f t="shared" ca="1" si="21"/>
        <v>0</v>
      </c>
      <c r="N69" s="479">
        <f t="shared" ca="1" si="21"/>
        <v>0</v>
      </c>
      <c r="O69" s="479">
        <f t="shared" ca="1" si="21"/>
        <v>0</v>
      </c>
      <c r="P69" s="680"/>
      <c r="Q69" s="492"/>
      <c r="R69" s="493"/>
    </row>
    <row r="70" spans="1:18">
      <c r="A70" s="424">
        <v>102</v>
      </c>
      <c r="B70" s="514">
        <f t="shared" ref="B70:B82" si="24">B69+1</f>
        <v>55</v>
      </c>
      <c r="C70" s="277" t="str">
        <f t="shared" ref="C70:C86" ca="1" si="25">IF(ABS(SUM(D70:O70))&gt;0.01,INDIRECT($C$1&amp;"!f"&amp;A70),"")</f>
        <v/>
      </c>
      <c r="D70" s="480">
        <f t="shared" ca="1" si="21"/>
        <v>0</v>
      </c>
      <c r="E70" s="480">
        <f t="shared" ca="1" si="21"/>
        <v>0</v>
      </c>
      <c r="F70" s="480">
        <f t="shared" ca="1" si="21"/>
        <v>0</v>
      </c>
      <c r="G70" s="480">
        <f t="shared" ca="1" si="21"/>
        <v>0</v>
      </c>
      <c r="H70" s="480">
        <f t="shared" ca="1" si="21"/>
        <v>0</v>
      </c>
      <c r="I70" s="480">
        <f t="shared" ca="1" si="21"/>
        <v>0</v>
      </c>
      <c r="J70" s="480">
        <f t="shared" ca="1" si="21"/>
        <v>0</v>
      </c>
      <c r="K70" s="480">
        <f t="shared" ca="1" si="21"/>
        <v>0</v>
      </c>
      <c r="L70" s="480">
        <f t="shared" ca="1" si="21"/>
        <v>0</v>
      </c>
      <c r="M70" s="480">
        <f t="shared" ca="1" si="21"/>
        <v>0</v>
      </c>
      <c r="N70" s="480">
        <f t="shared" ca="1" si="21"/>
        <v>0</v>
      </c>
      <c r="O70" s="480">
        <f t="shared" ca="1" si="21"/>
        <v>0</v>
      </c>
      <c r="P70" s="682"/>
      <c r="Q70" s="490"/>
      <c r="R70" s="491"/>
    </row>
    <row r="71" spans="1:18">
      <c r="A71" s="424">
        <v>103</v>
      </c>
      <c r="B71" s="515">
        <f t="shared" si="24"/>
        <v>56</v>
      </c>
      <c r="C71" s="275" t="str">
        <f t="shared" ca="1" si="25"/>
        <v/>
      </c>
      <c r="D71" s="479">
        <f t="shared" ca="1" si="21"/>
        <v>0</v>
      </c>
      <c r="E71" s="479">
        <f t="shared" ca="1" si="21"/>
        <v>0</v>
      </c>
      <c r="F71" s="479">
        <f t="shared" ca="1" si="21"/>
        <v>0</v>
      </c>
      <c r="G71" s="479">
        <f t="shared" ca="1" si="21"/>
        <v>0</v>
      </c>
      <c r="H71" s="479">
        <f t="shared" ca="1" si="21"/>
        <v>0</v>
      </c>
      <c r="I71" s="479">
        <f t="shared" ca="1" si="21"/>
        <v>0</v>
      </c>
      <c r="J71" s="479">
        <f t="shared" ca="1" si="21"/>
        <v>0</v>
      </c>
      <c r="K71" s="479">
        <f t="shared" ca="1" si="21"/>
        <v>0</v>
      </c>
      <c r="L71" s="479">
        <f t="shared" ca="1" si="21"/>
        <v>0</v>
      </c>
      <c r="M71" s="479">
        <f t="shared" ca="1" si="21"/>
        <v>0</v>
      </c>
      <c r="N71" s="479">
        <f t="shared" ca="1" si="21"/>
        <v>0</v>
      </c>
      <c r="O71" s="479">
        <f t="shared" ca="1" si="21"/>
        <v>0</v>
      </c>
      <c r="P71" s="682"/>
      <c r="Q71" s="492"/>
      <c r="R71" s="493"/>
    </row>
    <row r="72" spans="1:18">
      <c r="A72" s="424">
        <v>27</v>
      </c>
      <c r="B72" s="514">
        <f t="shared" si="24"/>
        <v>57</v>
      </c>
      <c r="C72" s="277" t="str">
        <f t="shared" ca="1" si="25"/>
        <v/>
      </c>
      <c r="D72" s="480">
        <f t="shared" ca="1" si="21"/>
        <v>0</v>
      </c>
      <c r="E72" s="480">
        <f t="shared" ca="1" si="21"/>
        <v>0</v>
      </c>
      <c r="F72" s="480">
        <f t="shared" ca="1" si="21"/>
        <v>0</v>
      </c>
      <c r="G72" s="480">
        <f t="shared" ca="1" si="21"/>
        <v>0</v>
      </c>
      <c r="H72" s="480">
        <f t="shared" ca="1" si="21"/>
        <v>0</v>
      </c>
      <c r="I72" s="480">
        <f t="shared" ca="1" si="21"/>
        <v>0</v>
      </c>
      <c r="J72" s="480">
        <f t="shared" ca="1" si="21"/>
        <v>0</v>
      </c>
      <c r="K72" s="480">
        <f t="shared" ca="1" si="21"/>
        <v>0</v>
      </c>
      <c r="L72" s="480">
        <f t="shared" ca="1" si="21"/>
        <v>0</v>
      </c>
      <c r="M72" s="480">
        <f t="shared" ca="1" si="21"/>
        <v>0</v>
      </c>
      <c r="N72" s="480">
        <f t="shared" ca="1" si="21"/>
        <v>0</v>
      </c>
      <c r="O72" s="480">
        <f t="shared" ca="1" si="21"/>
        <v>0</v>
      </c>
      <c r="P72" s="680"/>
      <c r="Q72" s="490"/>
      <c r="R72" s="491"/>
    </row>
    <row r="73" spans="1:18">
      <c r="A73" s="336">
        <v>26</v>
      </c>
      <c r="B73" s="515">
        <f t="shared" si="24"/>
        <v>58</v>
      </c>
      <c r="C73" s="275" t="str">
        <f t="shared" ca="1" si="25"/>
        <v/>
      </c>
      <c r="D73" s="479">
        <f t="shared" ref="D73:O75" ca="1" si="26">INDIRECT($C$1&amp;"!"&amp;VLOOKUP(D$2,mdr,2,0)&amp;$A73)</f>
        <v>0</v>
      </c>
      <c r="E73" s="479">
        <f t="shared" ca="1" si="26"/>
        <v>0</v>
      </c>
      <c r="F73" s="479">
        <f t="shared" ca="1" si="26"/>
        <v>0</v>
      </c>
      <c r="G73" s="479">
        <f t="shared" ca="1" si="26"/>
        <v>0</v>
      </c>
      <c r="H73" s="479">
        <f t="shared" ca="1" si="26"/>
        <v>0</v>
      </c>
      <c r="I73" s="479">
        <f t="shared" ca="1" si="26"/>
        <v>0</v>
      </c>
      <c r="J73" s="479">
        <f t="shared" ca="1" si="26"/>
        <v>0</v>
      </c>
      <c r="K73" s="479">
        <f t="shared" ca="1" si="26"/>
        <v>0</v>
      </c>
      <c r="L73" s="479">
        <f t="shared" ca="1" si="26"/>
        <v>0</v>
      </c>
      <c r="M73" s="479">
        <f t="shared" ca="1" si="26"/>
        <v>0</v>
      </c>
      <c r="N73" s="479">
        <f t="shared" ca="1" si="26"/>
        <v>0</v>
      </c>
      <c r="O73" s="479">
        <f t="shared" ca="1" si="26"/>
        <v>0</v>
      </c>
      <c r="P73" s="680"/>
      <c r="Q73" s="492"/>
      <c r="R73" s="493"/>
    </row>
    <row r="74" spans="1:18">
      <c r="A74" s="336">
        <v>104</v>
      </c>
      <c r="B74" s="514">
        <f t="shared" si="24"/>
        <v>59</v>
      </c>
      <c r="C74" s="277" t="str">
        <f t="shared" ca="1" si="25"/>
        <v/>
      </c>
      <c r="D74" s="480">
        <f t="shared" ca="1" si="26"/>
        <v>0</v>
      </c>
      <c r="E74" s="480">
        <f t="shared" ca="1" si="26"/>
        <v>0</v>
      </c>
      <c r="F74" s="480">
        <f t="shared" ca="1" si="26"/>
        <v>0</v>
      </c>
      <c r="G74" s="480">
        <f t="shared" ca="1" si="26"/>
        <v>0</v>
      </c>
      <c r="H74" s="480">
        <f t="shared" ca="1" si="26"/>
        <v>0</v>
      </c>
      <c r="I74" s="480">
        <f t="shared" ca="1" si="26"/>
        <v>0</v>
      </c>
      <c r="J74" s="480">
        <f t="shared" ca="1" si="26"/>
        <v>0</v>
      </c>
      <c r="K74" s="480">
        <f t="shared" ca="1" si="26"/>
        <v>0</v>
      </c>
      <c r="L74" s="480">
        <f t="shared" ca="1" si="26"/>
        <v>0</v>
      </c>
      <c r="M74" s="480">
        <f t="shared" ca="1" si="26"/>
        <v>0</v>
      </c>
      <c r="N74" s="480">
        <f t="shared" ca="1" si="26"/>
        <v>0</v>
      </c>
      <c r="O74" s="480">
        <f t="shared" ca="1" si="26"/>
        <v>0</v>
      </c>
      <c r="P74" s="680"/>
      <c r="Q74" s="490"/>
      <c r="R74" s="491"/>
    </row>
    <row r="75" spans="1:18">
      <c r="A75" s="336">
        <f t="shared" ref="A75:A79" si="27">A74+1</f>
        <v>105</v>
      </c>
      <c r="B75" s="515">
        <f t="shared" si="24"/>
        <v>60</v>
      </c>
      <c r="C75" s="275" t="str">
        <f t="shared" ca="1" si="25"/>
        <v/>
      </c>
      <c r="D75" s="479">
        <f t="shared" ca="1" si="26"/>
        <v>0</v>
      </c>
      <c r="E75" s="479">
        <f t="shared" ca="1" si="26"/>
        <v>0</v>
      </c>
      <c r="F75" s="479">
        <f t="shared" ca="1" si="26"/>
        <v>0</v>
      </c>
      <c r="G75" s="479">
        <f t="shared" ca="1" si="26"/>
        <v>0</v>
      </c>
      <c r="H75" s="479">
        <f t="shared" ca="1" si="26"/>
        <v>0</v>
      </c>
      <c r="I75" s="479">
        <f t="shared" ca="1" si="26"/>
        <v>0</v>
      </c>
      <c r="J75" s="479">
        <f t="shared" ca="1" si="26"/>
        <v>0</v>
      </c>
      <c r="K75" s="479">
        <f t="shared" ca="1" si="26"/>
        <v>0</v>
      </c>
      <c r="L75" s="479">
        <f t="shared" ca="1" si="26"/>
        <v>0</v>
      </c>
      <c r="M75" s="479">
        <f t="shared" ca="1" si="26"/>
        <v>0</v>
      </c>
      <c r="N75" s="479">
        <f t="shared" ca="1" si="26"/>
        <v>0</v>
      </c>
      <c r="O75" s="479">
        <f t="shared" ca="1" si="26"/>
        <v>0</v>
      </c>
      <c r="P75" s="680"/>
      <c r="Q75" s="492"/>
      <c r="R75" s="493"/>
    </row>
    <row r="76" spans="1:18">
      <c r="A76" s="336">
        <v>108</v>
      </c>
      <c r="B76" s="514">
        <f t="shared" si="24"/>
        <v>61</v>
      </c>
      <c r="C76" s="277" t="str">
        <f t="shared" ca="1" si="25"/>
        <v/>
      </c>
      <c r="D76" s="480">
        <f t="shared" ref="D76:O85" ca="1" si="28">INDIRECT($C$1&amp;"!"&amp;VLOOKUP(D$2,mdr,2,0)&amp;$A76)</f>
        <v>0</v>
      </c>
      <c r="E76" s="480">
        <f t="shared" ca="1" si="28"/>
        <v>0</v>
      </c>
      <c r="F76" s="480">
        <f t="shared" ca="1" si="28"/>
        <v>0</v>
      </c>
      <c r="G76" s="480">
        <f t="shared" ca="1" si="28"/>
        <v>0</v>
      </c>
      <c r="H76" s="480">
        <f t="shared" ca="1" si="28"/>
        <v>0</v>
      </c>
      <c r="I76" s="480">
        <f t="shared" ca="1" si="28"/>
        <v>0</v>
      </c>
      <c r="J76" s="480">
        <f t="shared" ca="1" si="28"/>
        <v>0</v>
      </c>
      <c r="K76" s="480">
        <f t="shared" ca="1" si="28"/>
        <v>0</v>
      </c>
      <c r="L76" s="480">
        <f t="shared" ca="1" si="28"/>
        <v>0</v>
      </c>
      <c r="M76" s="480">
        <f t="shared" ca="1" si="28"/>
        <v>0</v>
      </c>
      <c r="N76" s="480">
        <f t="shared" ca="1" si="28"/>
        <v>0</v>
      </c>
      <c r="O76" s="480">
        <f t="shared" ca="1" si="28"/>
        <v>0</v>
      </c>
      <c r="P76" s="681"/>
      <c r="Q76" s="490"/>
      <c r="R76" s="491"/>
    </row>
    <row r="77" spans="1:18">
      <c r="A77" s="336">
        <f t="shared" si="27"/>
        <v>109</v>
      </c>
      <c r="B77" s="515">
        <f t="shared" si="24"/>
        <v>62</v>
      </c>
      <c r="C77" s="275" t="str">
        <f t="shared" ca="1" si="25"/>
        <v/>
      </c>
      <c r="D77" s="479">
        <f t="shared" ca="1" si="28"/>
        <v>0</v>
      </c>
      <c r="E77" s="479">
        <f t="shared" ca="1" si="28"/>
        <v>0</v>
      </c>
      <c r="F77" s="479">
        <f t="shared" ca="1" si="28"/>
        <v>0</v>
      </c>
      <c r="G77" s="479">
        <f t="shared" ca="1" si="28"/>
        <v>0</v>
      </c>
      <c r="H77" s="479">
        <f t="shared" ca="1" si="28"/>
        <v>0</v>
      </c>
      <c r="I77" s="479">
        <f t="shared" ca="1" si="28"/>
        <v>0</v>
      </c>
      <c r="J77" s="479">
        <f t="shared" ca="1" si="28"/>
        <v>0</v>
      </c>
      <c r="K77" s="479">
        <f t="shared" ca="1" si="28"/>
        <v>0</v>
      </c>
      <c r="L77" s="479">
        <f t="shared" ca="1" si="28"/>
        <v>0</v>
      </c>
      <c r="M77" s="479">
        <f t="shared" ca="1" si="28"/>
        <v>0</v>
      </c>
      <c r="N77" s="479">
        <f t="shared" ca="1" si="28"/>
        <v>0</v>
      </c>
      <c r="O77" s="479">
        <f t="shared" ca="1" si="28"/>
        <v>0</v>
      </c>
      <c r="P77" s="680"/>
      <c r="Q77" s="492"/>
      <c r="R77" s="493"/>
    </row>
    <row r="78" spans="1:18">
      <c r="A78" s="336">
        <f t="shared" si="27"/>
        <v>110</v>
      </c>
      <c r="B78" s="514">
        <f t="shared" si="24"/>
        <v>63</v>
      </c>
      <c r="C78" s="277" t="str">
        <f t="shared" ca="1" si="25"/>
        <v/>
      </c>
      <c r="D78" s="480">
        <f t="shared" ca="1" si="28"/>
        <v>0</v>
      </c>
      <c r="E78" s="480">
        <f t="shared" ca="1" si="28"/>
        <v>0</v>
      </c>
      <c r="F78" s="480">
        <f t="shared" ca="1" si="28"/>
        <v>0</v>
      </c>
      <c r="G78" s="480">
        <f t="shared" ca="1" si="28"/>
        <v>0</v>
      </c>
      <c r="H78" s="480">
        <f t="shared" ca="1" si="28"/>
        <v>0</v>
      </c>
      <c r="I78" s="480">
        <f t="shared" ca="1" si="28"/>
        <v>0</v>
      </c>
      <c r="J78" s="480">
        <f t="shared" ca="1" si="28"/>
        <v>0</v>
      </c>
      <c r="K78" s="480">
        <f t="shared" ca="1" si="28"/>
        <v>0</v>
      </c>
      <c r="L78" s="480">
        <f t="shared" ca="1" si="28"/>
        <v>0</v>
      </c>
      <c r="M78" s="480">
        <f t="shared" ca="1" si="28"/>
        <v>0</v>
      </c>
      <c r="N78" s="480">
        <f t="shared" ca="1" si="28"/>
        <v>0</v>
      </c>
      <c r="O78" s="480">
        <f t="shared" ca="1" si="28"/>
        <v>0</v>
      </c>
      <c r="P78" s="680"/>
      <c r="Q78" s="490"/>
      <c r="R78" s="491"/>
    </row>
    <row r="79" spans="1:18">
      <c r="A79" s="336">
        <f t="shared" si="27"/>
        <v>111</v>
      </c>
      <c r="B79" s="515">
        <f t="shared" si="24"/>
        <v>64</v>
      </c>
      <c r="C79" s="275" t="str">
        <f t="shared" ca="1" si="25"/>
        <v/>
      </c>
      <c r="D79" s="479">
        <f t="shared" ca="1" si="28"/>
        <v>0</v>
      </c>
      <c r="E79" s="479">
        <f t="shared" ca="1" si="28"/>
        <v>0</v>
      </c>
      <c r="F79" s="479">
        <f t="shared" ca="1" si="28"/>
        <v>0</v>
      </c>
      <c r="G79" s="479">
        <f t="shared" ca="1" si="28"/>
        <v>0</v>
      </c>
      <c r="H79" s="479">
        <f t="shared" ca="1" si="28"/>
        <v>0</v>
      </c>
      <c r="I79" s="479">
        <f t="shared" ca="1" si="28"/>
        <v>0</v>
      </c>
      <c r="J79" s="479">
        <f t="shared" ca="1" si="28"/>
        <v>0</v>
      </c>
      <c r="K79" s="479">
        <f t="shared" ca="1" si="28"/>
        <v>0</v>
      </c>
      <c r="L79" s="479">
        <f t="shared" ca="1" si="28"/>
        <v>0</v>
      </c>
      <c r="M79" s="479">
        <f t="shared" ca="1" si="28"/>
        <v>0</v>
      </c>
      <c r="N79" s="479">
        <f t="shared" ca="1" si="28"/>
        <v>0</v>
      </c>
      <c r="O79" s="479">
        <f t="shared" ca="1" si="28"/>
        <v>0</v>
      </c>
      <c r="P79" s="680"/>
      <c r="Q79" s="492"/>
      <c r="R79" s="493"/>
    </row>
    <row r="80" spans="1:18">
      <c r="A80" s="424">
        <v>112</v>
      </c>
      <c r="B80" s="514">
        <f t="shared" si="24"/>
        <v>65</v>
      </c>
      <c r="C80" s="277" t="str">
        <f t="shared" ca="1" si="25"/>
        <v/>
      </c>
      <c r="D80" s="480">
        <f t="shared" ca="1" si="28"/>
        <v>0</v>
      </c>
      <c r="E80" s="480">
        <f t="shared" ca="1" si="28"/>
        <v>0</v>
      </c>
      <c r="F80" s="480">
        <f t="shared" ca="1" si="28"/>
        <v>0</v>
      </c>
      <c r="G80" s="480">
        <f t="shared" ca="1" si="28"/>
        <v>0</v>
      </c>
      <c r="H80" s="480">
        <f t="shared" ca="1" si="28"/>
        <v>0</v>
      </c>
      <c r="I80" s="480">
        <f t="shared" ca="1" si="28"/>
        <v>0</v>
      </c>
      <c r="J80" s="480">
        <f t="shared" ca="1" si="28"/>
        <v>0</v>
      </c>
      <c r="K80" s="480">
        <f t="shared" ca="1" si="28"/>
        <v>0</v>
      </c>
      <c r="L80" s="480">
        <f t="shared" ca="1" si="28"/>
        <v>0</v>
      </c>
      <c r="M80" s="480">
        <f t="shared" ca="1" si="28"/>
        <v>0</v>
      </c>
      <c r="N80" s="480">
        <f t="shared" ca="1" si="28"/>
        <v>0</v>
      </c>
      <c r="O80" s="480">
        <f t="shared" ca="1" si="28"/>
        <v>0</v>
      </c>
      <c r="P80" s="680"/>
      <c r="Q80" s="490"/>
      <c r="R80" s="491"/>
    </row>
    <row r="81" spans="1:18">
      <c r="A81" s="424">
        <v>112</v>
      </c>
      <c r="B81" s="515">
        <f t="shared" si="24"/>
        <v>66</v>
      </c>
      <c r="C81" s="275" t="str">
        <f t="shared" ca="1" si="25"/>
        <v/>
      </c>
      <c r="D81" s="479">
        <f t="shared" ca="1" si="28"/>
        <v>0</v>
      </c>
      <c r="E81" s="479">
        <f t="shared" ca="1" si="28"/>
        <v>0</v>
      </c>
      <c r="F81" s="479">
        <f t="shared" ca="1" si="28"/>
        <v>0</v>
      </c>
      <c r="G81" s="479">
        <f t="shared" ca="1" si="28"/>
        <v>0</v>
      </c>
      <c r="H81" s="479">
        <f t="shared" ca="1" si="28"/>
        <v>0</v>
      </c>
      <c r="I81" s="479">
        <f t="shared" ca="1" si="28"/>
        <v>0</v>
      </c>
      <c r="J81" s="479">
        <f t="shared" ca="1" si="28"/>
        <v>0</v>
      </c>
      <c r="K81" s="479">
        <f t="shared" ca="1" si="28"/>
        <v>0</v>
      </c>
      <c r="L81" s="479">
        <f t="shared" ca="1" si="28"/>
        <v>0</v>
      </c>
      <c r="M81" s="479">
        <f t="shared" ca="1" si="28"/>
        <v>0</v>
      </c>
      <c r="N81" s="479">
        <f t="shared" ca="1" si="28"/>
        <v>0</v>
      </c>
      <c r="O81" s="479">
        <f t="shared" ca="1" si="28"/>
        <v>0</v>
      </c>
      <c r="P81" s="680"/>
      <c r="Q81" s="492"/>
      <c r="R81" s="493"/>
    </row>
    <row r="82" spans="1:18">
      <c r="A82" s="424">
        <v>44</v>
      </c>
      <c r="B82" s="514">
        <f t="shared" si="24"/>
        <v>67</v>
      </c>
      <c r="C82" s="277" t="str">
        <f t="shared" ca="1" si="25"/>
        <v/>
      </c>
      <c r="D82" s="480">
        <f t="shared" ca="1" si="28"/>
        <v>0</v>
      </c>
      <c r="E82" s="480">
        <f t="shared" ca="1" si="28"/>
        <v>0</v>
      </c>
      <c r="F82" s="480">
        <f t="shared" ca="1" si="28"/>
        <v>0</v>
      </c>
      <c r="G82" s="480">
        <f t="shared" ca="1" si="28"/>
        <v>0</v>
      </c>
      <c r="H82" s="480">
        <f t="shared" ca="1" si="28"/>
        <v>0</v>
      </c>
      <c r="I82" s="480">
        <f t="shared" ca="1" si="28"/>
        <v>0</v>
      </c>
      <c r="J82" s="480">
        <f t="shared" ca="1" si="28"/>
        <v>0</v>
      </c>
      <c r="K82" s="480">
        <f t="shared" ca="1" si="28"/>
        <v>0</v>
      </c>
      <c r="L82" s="480">
        <f t="shared" ca="1" si="28"/>
        <v>0</v>
      </c>
      <c r="M82" s="480">
        <f t="shared" ca="1" si="28"/>
        <v>0</v>
      </c>
      <c r="N82" s="480">
        <f t="shared" ca="1" si="28"/>
        <v>0</v>
      </c>
      <c r="O82" s="480">
        <f t="shared" ca="1" si="28"/>
        <v>0</v>
      </c>
      <c r="P82" s="681"/>
      <c r="Q82" s="490"/>
      <c r="R82" s="491"/>
    </row>
    <row r="83" spans="1:18">
      <c r="A83" s="336">
        <v>45</v>
      </c>
      <c r="B83" s="515">
        <f>B79+1</f>
        <v>65</v>
      </c>
      <c r="C83" s="275" t="str">
        <f t="shared" ca="1" si="25"/>
        <v/>
      </c>
      <c r="D83" s="479">
        <f t="shared" ca="1" si="28"/>
        <v>0</v>
      </c>
      <c r="E83" s="479">
        <f t="shared" ca="1" si="28"/>
        <v>0</v>
      </c>
      <c r="F83" s="479">
        <f t="shared" ca="1" si="28"/>
        <v>0</v>
      </c>
      <c r="G83" s="479">
        <f t="shared" ca="1" si="28"/>
        <v>0</v>
      </c>
      <c r="H83" s="479">
        <f t="shared" ca="1" si="28"/>
        <v>0</v>
      </c>
      <c r="I83" s="479">
        <f t="shared" ca="1" si="28"/>
        <v>0</v>
      </c>
      <c r="J83" s="479">
        <f t="shared" ca="1" si="28"/>
        <v>0</v>
      </c>
      <c r="K83" s="479">
        <f t="shared" ca="1" si="28"/>
        <v>0</v>
      </c>
      <c r="L83" s="479">
        <f t="shared" ca="1" si="28"/>
        <v>0</v>
      </c>
      <c r="M83" s="479">
        <f t="shared" ca="1" si="28"/>
        <v>0</v>
      </c>
      <c r="N83" s="479">
        <f t="shared" ca="1" si="28"/>
        <v>0</v>
      </c>
      <c r="O83" s="479">
        <f t="shared" ca="1" si="28"/>
        <v>0</v>
      </c>
      <c r="P83" s="686"/>
      <c r="Q83" s="492"/>
      <c r="R83" s="493"/>
    </row>
    <row r="84" spans="1:18">
      <c r="A84" s="336">
        <v>46</v>
      </c>
      <c r="B84" s="787">
        <v>66</v>
      </c>
      <c r="C84" s="277" t="str">
        <f t="shared" ca="1" si="25"/>
        <v/>
      </c>
      <c r="D84" s="480">
        <f t="shared" ca="1" si="28"/>
        <v>0</v>
      </c>
      <c r="E84" s="480">
        <f t="shared" ca="1" si="28"/>
        <v>0</v>
      </c>
      <c r="F84" s="480">
        <f t="shared" ca="1" si="28"/>
        <v>0</v>
      </c>
      <c r="G84" s="480">
        <f t="shared" ca="1" si="28"/>
        <v>0</v>
      </c>
      <c r="H84" s="480">
        <f t="shared" ca="1" si="28"/>
        <v>0</v>
      </c>
      <c r="I84" s="480">
        <f t="shared" ca="1" si="28"/>
        <v>0</v>
      </c>
      <c r="J84" s="480">
        <f t="shared" ca="1" si="28"/>
        <v>0</v>
      </c>
      <c r="K84" s="480">
        <f t="shared" ca="1" si="28"/>
        <v>0</v>
      </c>
      <c r="L84" s="480">
        <f t="shared" ca="1" si="28"/>
        <v>0</v>
      </c>
      <c r="M84" s="480">
        <f t="shared" ca="1" si="28"/>
        <v>0</v>
      </c>
      <c r="N84" s="480">
        <f t="shared" ca="1" si="28"/>
        <v>0</v>
      </c>
      <c r="O84" s="789">
        <f t="shared" ca="1" si="28"/>
        <v>0</v>
      </c>
      <c r="Q84" s="492"/>
      <c r="R84" s="493"/>
    </row>
    <row r="85" spans="1:18">
      <c r="A85" s="336">
        <v>114</v>
      </c>
      <c r="B85" s="788">
        <v>67</v>
      </c>
      <c r="C85" s="679" t="str">
        <f t="shared" ca="1" si="25"/>
        <v/>
      </c>
      <c r="D85" s="479">
        <f t="shared" ca="1" si="28"/>
        <v>0</v>
      </c>
      <c r="E85" s="479">
        <f t="shared" ca="1" si="28"/>
        <v>0</v>
      </c>
      <c r="F85" s="479">
        <f t="shared" ca="1" si="28"/>
        <v>0</v>
      </c>
      <c r="G85" s="479">
        <f t="shared" ca="1" si="28"/>
        <v>0</v>
      </c>
      <c r="H85" s="479">
        <f t="shared" ca="1" si="28"/>
        <v>0</v>
      </c>
      <c r="I85" s="479">
        <f t="shared" ca="1" si="28"/>
        <v>0</v>
      </c>
      <c r="J85" s="479">
        <f t="shared" ca="1" si="28"/>
        <v>0</v>
      </c>
      <c r="K85" s="479">
        <f t="shared" ca="1" si="28"/>
        <v>0</v>
      </c>
      <c r="L85" s="479">
        <f t="shared" ca="1" si="28"/>
        <v>0</v>
      </c>
      <c r="M85" s="479">
        <f t="shared" ca="1" si="28"/>
        <v>0</v>
      </c>
      <c r="N85" s="479">
        <f t="shared" ca="1" si="28"/>
        <v>0</v>
      </c>
      <c r="O85" s="790">
        <f t="shared" ca="1" si="28"/>
        <v>0</v>
      </c>
      <c r="Q85" s="492"/>
      <c r="R85" s="493"/>
    </row>
    <row r="86" spans="1:18" ht="15" thickBot="1">
      <c r="A86" s="336">
        <v>115</v>
      </c>
      <c r="B86" s="791">
        <v>68</v>
      </c>
      <c r="C86" s="792" t="str">
        <f t="shared" ca="1" si="25"/>
        <v/>
      </c>
      <c r="D86" s="793">
        <f ca="1">D47-D75-D68-D70-D82-SUM(D83:D85)</f>
        <v>0</v>
      </c>
      <c r="E86" s="793">
        <f t="shared" ref="E86:O86" ca="1" si="29">E47-E75-E68-E70-E82-SUM(E83:E85)</f>
        <v>0</v>
      </c>
      <c r="F86" s="793">
        <f t="shared" ca="1" si="29"/>
        <v>0</v>
      </c>
      <c r="G86" s="793">
        <f t="shared" ca="1" si="29"/>
        <v>0</v>
      </c>
      <c r="H86" s="793">
        <f t="shared" ca="1" si="29"/>
        <v>0</v>
      </c>
      <c r="I86" s="793">
        <f t="shared" ca="1" si="29"/>
        <v>0</v>
      </c>
      <c r="J86" s="793">
        <f t="shared" ca="1" si="29"/>
        <v>0</v>
      </c>
      <c r="K86" s="793">
        <f t="shared" ca="1" si="29"/>
        <v>0</v>
      </c>
      <c r="L86" s="793">
        <f t="shared" ca="1" si="29"/>
        <v>0</v>
      </c>
      <c r="M86" s="793">
        <f t="shared" ca="1" si="29"/>
        <v>0</v>
      </c>
      <c r="N86" s="793">
        <f t="shared" ca="1" si="29"/>
        <v>0</v>
      </c>
      <c r="O86" s="794">
        <f t="shared" ca="1" si="29"/>
        <v>0</v>
      </c>
      <c r="Q86" s="492"/>
      <c r="R86" s="493"/>
    </row>
    <row r="87" spans="1:18">
      <c r="B87" s="425" t="str">
        <f ca="1">IF(LEN(CONCATENATE($C$41,$C$42,$C$43))&gt;0,"*)","")</f>
        <v/>
      </c>
      <c r="C87" s="426" t="str">
        <f ca="1">IF(LEN(CONCATENATE($C$41,$C$42,$C$43))&gt;0,"Taksten beregnes som 1/1924 af alle faste månedsløndele (v. 100% BG) x 12 (bortset fra Gruppelivstillæg)","")</f>
        <v/>
      </c>
      <c r="Q87" s="490"/>
      <c r="R87" s="491"/>
    </row>
    <row r="88" spans="1:18">
      <c r="B88" s="425" t="str">
        <f ca="1">IF(LEN(CONCATENATE(C60,C61))&gt;0,"**)","")</f>
        <v/>
      </c>
      <c r="C88" s="90" t="str">
        <f ca="1">IF(LEN(CONCATENATE(C60,C61))&gt;0,"(Der indbetales18% af summen af de 'pensionsgivende løndele', der overstiger skalatrin 33 (bhkl.ledere) eller 42 (lærere) - også selv om der ikke er aftalt supplerende pension.)","")</f>
        <v/>
      </c>
      <c r="Q88" s="492"/>
      <c r="R88" s="493"/>
    </row>
    <row r="89" spans="1:18">
      <c r="B89" s="425"/>
      <c r="C89" s="522" t="s">
        <v>502</v>
      </c>
      <c r="D89" s="523" t="e">
        <f t="shared" ref="D89:O89" ca="1" si="30">(SUM(D16:D34)+SUM(D40:D44)+D64+D65)*(1-12/260*INDIRECT($C$1&amp;"!"&amp;VLOOKUP(D$2,mdr,2,0)&amp;"21"))</f>
        <v>#VALUE!</v>
      </c>
      <c r="E89" s="523" t="e">
        <f t="shared" ca="1" si="30"/>
        <v>#VALUE!</v>
      </c>
      <c r="F89" s="523" t="e">
        <f t="shared" ca="1" si="30"/>
        <v>#VALUE!</v>
      </c>
      <c r="G89" s="523" t="e">
        <f t="shared" ca="1" si="30"/>
        <v>#VALUE!</v>
      </c>
      <c r="H89" s="523" t="e">
        <f t="shared" ca="1" si="30"/>
        <v>#VALUE!</v>
      </c>
      <c r="I89" s="523" t="e">
        <f t="shared" ca="1" si="30"/>
        <v>#VALUE!</v>
      </c>
      <c r="J89" s="523" t="e">
        <f t="shared" ca="1" si="30"/>
        <v>#VALUE!</v>
      </c>
      <c r="K89" s="523" t="e">
        <f t="shared" ca="1" si="30"/>
        <v>#VALUE!</v>
      </c>
      <c r="L89" s="523" t="e">
        <f t="shared" ca="1" si="30"/>
        <v>#VALUE!</v>
      </c>
      <c r="M89" s="523" t="e">
        <f t="shared" ca="1" si="30"/>
        <v>#VALUE!</v>
      </c>
      <c r="N89" s="523" t="e">
        <f t="shared" ca="1" si="30"/>
        <v>#VALUE!</v>
      </c>
      <c r="O89" s="523" t="e">
        <f t="shared" ca="1" si="30"/>
        <v>#VALUE!</v>
      </c>
      <c r="Q89" s="490"/>
      <c r="R89" s="491"/>
    </row>
    <row r="90" spans="1:18" ht="13">
      <c r="A90" s="492"/>
      <c r="B90" s="492"/>
      <c r="C90" s="492"/>
      <c r="D90" s="492"/>
      <c r="E90" s="492"/>
      <c r="F90" s="492"/>
      <c r="G90" s="492"/>
      <c r="H90" s="492"/>
      <c r="I90" s="492"/>
      <c r="J90" s="492"/>
      <c r="K90" s="492"/>
      <c r="L90" s="492"/>
      <c r="M90" s="492"/>
      <c r="N90" s="492"/>
      <c r="O90" s="492"/>
      <c r="P90" s="492"/>
      <c r="Q90" s="492"/>
      <c r="R90" s="493"/>
    </row>
    <row r="91" spans="1:18" ht="13">
      <c r="A91" s="490"/>
      <c r="B91" s="490"/>
      <c r="C91" s="490"/>
      <c r="D91" s="490"/>
      <c r="E91" s="490"/>
      <c r="F91" s="490"/>
      <c r="G91" s="490"/>
      <c r="H91" s="490"/>
      <c r="I91" s="490"/>
      <c r="J91" s="490"/>
      <c r="K91" s="490"/>
      <c r="L91" s="490"/>
      <c r="M91" s="490"/>
      <c r="N91" s="490"/>
      <c r="O91" s="490"/>
      <c r="P91" s="490"/>
      <c r="Q91" s="490"/>
      <c r="R91" s="491"/>
    </row>
    <row r="92" spans="1:18" ht="13">
      <c r="A92" s="496"/>
      <c r="B92" s="496"/>
      <c r="C92" s="496"/>
      <c r="D92" s="496"/>
      <c r="E92" s="496"/>
      <c r="F92" s="496"/>
      <c r="G92" s="496"/>
      <c r="H92" s="496"/>
      <c r="I92" s="496"/>
      <c r="J92" s="496"/>
      <c r="K92" s="496"/>
      <c r="L92" s="496"/>
      <c r="M92" s="496"/>
      <c r="N92" s="496"/>
      <c r="O92" s="496"/>
      <c r="P92" s="496"/>
      <c r="Q92" s="496"/>
      <c r="R92" s="692"/>
    </row>
  </sheetData>
  <sheetProtection formatCells="0" formatColumns="0" formatRows="0"/>
  <phoneticPr fontId="12" type="noConversion"/>
  <printOptions horizontalCentered="1" verticalCentered="1"/>
  <pageMargins left="0.36000000000000004" right="0.36000000000000004" top="0.41000000000000009" bottom="0.41000000000000009" header="0.5" footer="0.5"/>
  <pageSetup paperSize="9"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7">
    <tabColor theme="5" tint="0.59999389629810485"/>
    <pageSetUpPr fitToPage="1"/>
  </sheetPr>
  <dimension ref="A1:X100"/>
  <sheetViews>
    <sheetView showZeros="0" topLeftCell="H1" zoomScale="125" workbookViewId="0">
      <selection activeCell="M1" sqref="M1"/>
    </sheetView>
  </sheetViews>
  <sheetFormatPr baseColWidth="10" defaultColWidth="10.7109375" defaultRowHeight="13"/>
  <cols>
    <col min="1" max="1" width="6" style="90" customWidth="1"/>
    <col min="2" max="2" width="3.28515625" style="90" customWidth="1"/>
    <col min="3" max="3" width="32" style="90" customWidth="1"/>
    <col min="4" max="4" width="12.140625" style="90" bestFit="1" customWidth="1"/>
    <col min="5" max="5" width="11.28515625" style="90" bestFit="1" customWidth="1"/>
    <col min="6" max="18" width="11.28515625" style="90" customWidth="1"/>
    <col min="19" max="19" width="10.7109375" style="90"/>
    <col min="20" max="20" width="13" style="90" customWidth="1"/>
    <col min="21" max="22" width="10.7109375" style="90"/>
    <col min="23" max="23" width="4.28515625" style="90" bestFit="1" customWidth="1"/>
    <col min="24" max="24" width="2.28515625" style="90" bestFit="1" customWidth="1"/>
    <col min="25" max="16384" width="10.7109375" style="90"/>
  </cols>
  <sheetData>
    <row r="1" spans="1:24">
      <c r="A1" s="335" t="s">
        <v>268</v>
      </c>
      <c r="D1" s="434" t="s">
        <v>269</v>
      </c>
      <c r="E1" s="434" t="s">
        <v>624</v>
      </c>
      <c r="F1" s="434" t="s">
        <v>625</v>
      </c>
      <c r="G1" s="434" t="s">
        <v>626</v>
      </c>
      <c r="H1" s="434" t="s">
        <v>627</v>
      </c>
      <c r="I1" s="434" t="s">
        <v>264</v>
      </c>
      <c r="J1" s="434" t="s">
        <v>465</v>
      </c>
      <c r="K1" s="434" t="s">
        <v>466</v>
      </c>
      <c r="L1" s="434" t="s">
        <v>467</v>
      </c>
      <c r="M1" s="434" t="s">
        <v>468</v>
      </c>
      <c r="N1" s="434" t="s">
        <v>469</v>
      </c>
      <c r="O1" s="434" t="s">
        <v>265</v>
      </c>
      <c r="P1" s="434" t="s">
        <v>470</v>
      </c>
      <c r="Q1" s="434" t="s">
        <v>471</v>
      </c>
      <c r="R1" s="434" t="s">
        <v>472</v>
      </c>
      <c r="S1" s="434" t="s">
        <v>473</v>
      </c>
      <c r="U1" s="335" t="s">
        <v>491</v>
      </c>
      <c r="V1" s="335"/>
    </row>
    <row r="2" spans="1:24">
      <c r="A2" s="335"/>
      <c r="C2" s="343" t="s">
        <v>482</v>
      </c>
      <c r="K2" s="337"/>
      <c r="U2" s="335" t="s">
        <v>493</v>
      </c>
      <c r="V2" s="335"/>
      <c r="W2" s="336"/>
      <c r="X2" s="336"/>
    </row>
    <row r="3" spans="1:24" ht="14" thickBot="1">
      <c r="A3" s="90" t="s">
        <v>270</v>
      </c>
      <c r="C3" s="457" t="s">
        <v>278</v>
      </c>
      <c r="D3" s="90" t="s">
        <v>271</v>
      </c>
      <c r="E3" s="411"/>
      <c r="F3" s="411"/>
      <c r="G3" s="411"/>
      <c r="H3" s="411"/>
      <c r="I3" s="411"/>
      <c r="J3" s="411"/>
      <c r="K3" s="411"/>
      <c r="L3" s="411"/>
      <c r="M3" s="411"/>
      <c r="N3" s="411"/>
      <c r="O3" s="411"/>
      <c r="P3" s="411"/>
      <c r="Q3" s="411"/>
      <c r="R3" s="411"/>
      <c r="S3" s="411"/>
      <c r="T3" s="411"/>
      <c r="U3" s="335" t="s">
        <v>494</v>
      </c>
      <c r="V3" s="335"/>
    </row>
    <row r="4" spans="1:24" ht="25" customHeight="1">
      <c r="A4" s="336">
        <v>1</v>
      </c>
      <c r="B4" s="261"/>
      <c r="C4" s="261" t="s">
        <v>272</v>
      </c>
      <c r="D4" s="338" t="str">
        <f ca="1">INDIRECT(D$1&amp;"!"&amp;VLOOKUP($C$3,$W$5:$X$16,2,0)&amp;$A4)</f>
        <v xml:space="preserve">A </v>
      </c>
      <c r="E4" s="338" t="str">
        <f t="shared" ref="E4:S10" ca="1" si="0">IF(E$1="","",INDIRECT(E$1&amp;"!"&amp;VLOOKUP($C$3,mdr,2,0)&amp;$A4))</f>
        <v>B</v>
      </c>
      <c r="F4" s="338" t="str">
        <f t="shared" ca="1" si="0"/>
        <v>C</v>
      </c>
      <c r="G4" s="338" t="str">
        <f t="shared" ca="1" si="0"/>
        <v>D</v>
      </c>
      <c r="H4" s="338" t="str">
        <f t="shared" ca="1" si="0"/>
        <v>E</v>
      </c>
      <c r="I4" s="338" t="str">
        <f t="shared" ca="1" si="0"/>
        <v>F</v>
      </c>
      <c r="J4" s="338" t="str">
        <f t="shared" ca="1" si="0"/>
        <v>G</v>
      </c>
      <c r="K4" s="338" t="str">
        <f t="shared" ca="1" si="0"/>
        <v>H</v>
      </c>
      <c r="L4" s="338" t="str">
        <f t="shared" ca="1" si="0"/>
        <v>I</v>
      </c>
      <c r="M4" s="338" t="str">
        <f t="shared" ca="1" si="0"/>
        <v>J</v>
      </c>
      <c r="N4" s="338" t="str">
        <f t="shared" ca="1" si="0"/>
        <v>K</v>
      </c>
      <c r="O4" s="338" t="str">
        <f t="shared" ca="1" si="0"/>
        <v>L</v>
      </c>
      <c r="P4" s="338" t="str">
        <f t="shared" ca="1" si="0"/>
        <v>M</v>
      </c>
      <c r="Q4" s="338" t="str">
        <f t="shared" ca="1" si="0"/>
        <v xml:space="preserve">N </v>
      </c>
      <c r="R4" s="338" t="str">
        <f t="shared" ca="1" si="0"/>
        <v>O</v>
      </c>
      <c r="S4" s="706" t="str">
        <f t="shared" ca="1" si="0"/>
        <v>P</v>
      </c>
      <c r="T4" s="795" t="s">
        <v>317</v>
      </c>
      <c r="U4" s="490"/>
      <c r="V4" s="491"/>
    </row>
    <row r="5" spans="1:24" ht="14">
      <c r="A5" s="336">
        <v>2</v>
      </c>
      <c r="B5" s="263"/>
      <c r="C5" s="263" t="s">
        <v>273</v>
      </c>
      <c r="D5" s="412" t="str">
        <f t="shared" ref="D5:D10" ca="1" si="1">INDIRECT(D$1&amp;"!"&amp;VLOOKUP($C$3,mdr,2,0)&amp;$A5)</f>
        <v>AUG 25</v>
      </c>
      <c r="E5" s="412" t="str">
        <f t="shared" ca="1" si="0"/>
        <v>AUG 25</v>
      </c>
      <c r="F5" s="412" t="str">
        <f t="shared" ca="1" si="0"/>
        <v>AUG 25</v>
      </c>
      <c r="G5" s="412" t="str">
        <f t="shared" ca="1" si="0"/>
        <v>AUG 25</v>
      </c>
      <c r="H5" s="412" t="str">
        <f t="shared" ca="1" si="0"/>
        <v>AUG 25</v>
      </c>
      <c r="I5" s="412" t="str">
        <f t="shared" ca="1" si="0"/>
        <v>AUG 25</v>
      </c>
      <c r="J5" s="412" t="str">
        <f t="shared" ca="1" si="0"/>
        <v>AUG 25</v>
      </c>
      <c r="K5" s="412" t="str">
        <f t="shared" ca="1" si="0"/>
        <v>AUG 25</v>
      </c>
      <c r="L5" s="412" t="str">
        <f t="shared" ca="1" si="0"/>
        <v>AUG 25</v>
      </c>
      <c r="M5" s="412" t="str">
        <f t="shared" ca="1" si="0"/>
        <v>AUG 25</v>
      </c>
      <c r="N5" s="412" t="str">
        <f t="shared" ca="1" si="0"/>
        <v>AUG 25</v>
      </c>
      <c r="O5" s="412" t="str">
        <f t="shared" ca="1" si="0"/>
        <v>AUG 25</v>
      </c>
      <c r="P5" s="412" t="str">
        <f t="shared" ca="1" si="0"/>
        <v>AUG 25</v>
      </c>
      <c r="Q5" s="412" t="str">
        <f t="shared" ca="1" si="0"/>
        <v>AUG 25</v>
      </c>
      <c r="R5" s="412" t="str">
        <f t="shared" ca="1" si="0"/>
        <v>AUG 25</v>
      </c>
      <c r="S5" s="707" t="str">
        <f t="shared" ca="1" si="0"/>
        <v>AUG 25</v>
      </c>
      <c r="T5" s="796"/>
      <c r="U5" s="492"/>
      <c r="V5" s="493"/>
      <c r="W5" s="413" t="s">
        <v>278</v>
      </c>
      <c r="X5" s="414" t="s">
        <v>297</v>
      </c>
    </row>
    <row r="6" spans="1:24" ht="14">
      <c r="A6" s="336">
        <v>11</v>
      </c>
      <c r="B6" s="265"/>
      <c r="C6" s="265" t="s">
        <v>274</v>
      </c>
      <c r="D6" s="339">
        <f t="shared" ca="1" si="1"/>
        <v>0</v>
      </c>
      <c r="E6" s="339">
        <f t="shared" ca="1" si="0"/>
        <v>0</v>
      </c>
      <c r="F6" s="339">
        <f t="shared" ca="1" si="0"/>
        <v>0</v>
      </c>
      <c r="G6" s="339">
        <f t="shared" ca="1" si="0"/>
        <v>0</v>
      </c>
      <c r="H6" s="339">
        <f t="shared" ca="1" si="0"/>
        <v>0</v>
      </c>
      <c r="I6" s="339">
        <f t="shared" ca="1" si="0"/>
        <v>0</v>
      </c>
      <c r="J6" s="339">
        <f t="shared" ca="1" si="0"/>
        <v>0</v>
      </c>
      <c r="K6" s="339">
        <f t="shared" ca="1" si="0"/>
        <v>0</v>
      </c>
      <c r="L6" s="339">
        <f t="shared" ca="1" si="0"/>
        <v>0</v>
      </c>
      <c r="M6" s="339">
        <f t="shared" ca="1" si="0"/>
        <v>0</v>
      </c>
      <c r="N6" s="339">
        <f t="shared" ca="1" si="0"/>
        <v>0</v>
      </c>
      <c r="O6" s="339">
        <f t="shared" ca="1" si="0"/>
        <v>0</v>
      </c>
      <c r="P6" s="339">
        <f t="shared" ca="1" si="0"/>
        <v>0</v>
      </c>
      <c r="Q6" s="339">
        <f t="shared" ca="1" si="0"/>
        <v>0</v>
      </c>
      <c r="R6" s="339">
        <f t="shared" ca="1" si="0"/>
        <v>0</v>
      </c>
      <c r="S6" s="708">
        <f t="shared" ca="1" si="0"/>
        <v>0</v>
      </c>
      <c r="T6" s="797"/>
      <c r="U6" s="490"/>
      <c r="V6" s="491"/>
      <c r="W6" s="415" t="s">
        <v>292</v>
      </c>
      <c r="X6" s="416" t="s">
        <v>299</v>
      </c>
    </row>
    <row r="7" spans="1:24" ht="14">
      <c r="A7" s="336">
        <v>3</v>
      </c>
      <c r="B7" s="263"/>
      <c r="C7" s="263" t="s">
        <v>275</v>
      </c>
      <c r="D7" s="340">
        <f t="shared" ca="1" si="1"/>
        <v>1</v>
      </c>
      <c r="E7" s="340">
        <f t="shared" ca="1" si="0"/>
        <v>1</v>
      </c>
      <c r="F7" s="340">
        <f t="shared" ca="1" si="0"/>
        <v>1</v>
      </c>
      <c r="G7" s="340">
        <f t="shared" ca="1" si="0"/>
        <v>1</v>
      </c>
      <c r="H7" s="340">
        <f t="shared" ca="1" si="0"/>
        <v>1</v>
      </c>
      <c r="I7" s="340">
        <f t="shared" ca="1" si="0"/>
        <v>1</v>
      </c>
      <c r="J7" s="340">
        <f t="shared" ca="1" si="0"/>
        <v>1</v>
      </c>
      <c r="K7" s="340">
        <f t="shared" ca="1" si="0"/>
        <v>1</v>
      </c>
      <c r="L7" s="340">
        <f t="shared" ca="1" si="0"/>
        <v>1</v>
      </c>
      <c r="M7" s="340">
        <f t="shared" ca="1" si="0"/>
        <v>1</v>
      </c>
      <c r="N7" s="340">
        <f t="shared" ca="1" si="0"/>
        <v>1</v>
      </c>
      <c r="O7" s="340">
        <f t="shared" ca="1" si="0"/>
        <v>1</v>
      </c>
      <c r="P7" s="340">
        <f t="shared" ca="1" si="0"/>
        <v>1</v>
      </c>
      <c r="Q7" s="340">
        <f t="shared" ca="1" si="0"/>
        <v>1</v>
      </c>
      <c r="R7" s="340">
        <f t="shared" ca="1" si="0"/>
        <v>1</v>
      </c>
      <c r="S7" s="709">
        <f t="shared" ca="1" si="0"/>
        <v>1</v>
      </c>
      <c r="T7" s="798"/>
      <c r="U7" s="492"/>
      <c r="V7" s="493"/>
      <c r="W7" s="415" t="s">
        <v>294</v>
      </c>
      <c r="X7" s="416" t="s">
        <v>301</v>
      </c>
    </row>
    <row r="8" spans="1:24" ht="14">
      <c r="A8" s="336">
        <v>7</v>
      </c>
      <c r="B8" s="265"/>
      <c r="C8" s="265" t="s">
        <v>416</v>
      </c>
      <c r="D8" s="417">
        <f t="shared" ca="1" si="1"/>
        <v>0</v>
      </c>
      <c r="E8" s="417">
        <f t="shared" ca="1" si="0"/>
        <v>0</v>
      </c>
      <c r="F8" s="417">
        <f t="shared" ca="1" si="0"/>
        <v>0</v>
      </c>
      <c r="G8" s="417">
        <f t="shared" ca="1" si="0"/>
        <v>0</v>
      </c>
      <c r="H8" s="417">
        <f t="shared" ca="1" si="0"/>
        <v>0</v>
      </c>
      <c r="I8" s="417">
        <f t="shared" ca="1" si="0"/>
        <v>0</v>
      </c>
      <c r="J8" s="417">
        <f t="shared" ca="1" si="0"/>
        <v>0</v>
      </c>
      <c r="K8" s="417">
        <f t="shared" ca="1" si="0"/>
        <v>0</v>
      </c>
      <c r="L8" s="417">
        <f t="shared" ca="1" si="0"/>
        <v>0</v>
      </c>
      <c r="M8" s="417">
        <f t="shared" ca="1" si="0"/>
        <v>0</v>
      </c>
      <c r="N8" s="417">
        <f t="shared" ca="1" si="0"/>
        <v>0</v>
      </c>
      <c r="O8" s="417">
        <f t="shared" ca="1" si="0"/>
        <v>0</v>
      </c>
      <c r="P8" s="417">
        <f t="shared" ca="1" si="0"/>
        <v>0</v>
      </c>
      <c r="Q8" s="417">
        <f t="shared" ca="1" si="0"/>
        <v>0</v>
      </c>
      <c r="R8" s="417">
        <f t="shared" ca="1" si="0"/>
        <v>0</v>
      </c>
      <c r="S8" s="710">
        <f t="shared" ca="1" si="0"/>
        <v>0</v>
      </c>
      <c r="T8" s="799"/>
      <c r="U8" s="490"/>
      <c r="V8" s="491"/>
      <c r="W8" s="415" t="s">
        <v>296</v>
      </c>
      <c r="X8" s="416" t="s">
        <v>303</v>
      </c>
    </row>
    <row r="9" spans="1:24" ht="14">
      <c r="A9" s="336">
        <v>12</v>
      </c>
      <c r="B9" s="263"/>
      <c r="C9" s="263" t="s">
        <v>417</v>
      </c>
      <c r="D9" s="428">
        <f t="shared" ca="1" si="1"/>
        <v>0</v>
      </c>
      <c r="E9" s="428">
        <f t="shared" ca="1" si="0"/>
        <v>0</v>
      </c>
      <c r="F9" s="428">
        <f t="shared" ca="1" si="0"/>
        <v>0</v>
      </c>
      <c r="G9" s="428">
        <f t="shared" ca="1" si="0"/>
        <v>0</v>
      </c>
      <c r="H9" s="428">
        <f t="shared" ca="1" si="0"/>
        <v>0</v>
      </c>
      <c r="I9" s="428">
        <f t="shared" ca="1" si="0"/>
        <v>0</v>
      </c>
      <c r="J9" s="428">
        <f t="shared" ca="1" si="0"/>
        <v>0</v>
      </c>
      <c r="K9" s="428">
        <f t="shared" ca="1" si="0"/>
        <v>0</v>
      </c>
      <c r="L9" s="428">
        <f t="shared" ca="1" si="0"/>
        <v>0</v>
      </c>
      <c r="M9" s="428">
        <f t="shared" ca="1" si="0"/>
        <v>0</v>
      </c>
      <c r="N9" s="428">
        <f t="shared" ca="1" si="0"/>
        <v>0</v>
      </c>
      <c r="O9" s="428">
        <f t="shared" ca="1" si="0"/>
        <v>0</v>
      </c>
      <c r="P9" s="428">
        <f t="shared" ca="1" si="0"/>
        <v>0</v>
      </c>
      <c r="Q9" s="428">
        <f t="shared" ca="1" si="0"/>
        <v>0</v>
      </c>
      <c r="R9" s="428">
        <f t="shared" ca="1" si="0"/>
        <v>0</v>
      </c>
      <c r="S9" s="711">
        <f t="shared" ca="1" si="0"/>
        <v>0</v>
      </c>
      <c r="T9" s="800"/>
      <c r="U9" s="492"/>
      <c r="V9" s="493"/>
      <c r="W9" s="415" t="s">
        <v>298</v>
      </c>
      <c r="X9" s="416" t="s">
        <v>305</v>
      </c>
    </row>
    <row r="10" spans="1:24" ht="14">
      <c r="A10" s="419">
        <v>4</v>
      </c>
      <c r="B10" s="265"/>
      <c r="C10" s="265" t="s">
        <v>276</v>
      </c>
      <c r="D10" s="417" t="str">
        <f t="shared" ca="1" si="1"/>
        <v>Læ1</v>
      </c>
      <c r="E10" s="417" t="str">
        <f t="shared" ca="1" si="0"/>
        <v>Læ1</v>
      </c>
      <c r="F10" s="417" t="str">
        <f t="shared" ca="1" si="0"/>
        <v>Læ1</v>
      </c>
      <c r="G10" s="417" t="str">
        <f t="shared" ca="1" si="0"/>
        <v>Læ1</v>
      </c>
      <c r="H10" s="417" t="str">
        <f t="shared" ca="1" si="0"/>
        <v>Læ1</v>
      </c>
      <c r="I10" s="417" t="str">
        <f t="shared" ca="1" si="0"/>
        <v>Læ1</v>
      </c>
      <c r="J10" s="417" t="str">
        <f t="shared" ca="1" si="0"/>
        <v>Læ1</v>
      </c>
      <c r="K10" s="417" t="str">
        <f t="shared" ca="1" si="0"/>
        <v>Læ1</v>
      </c>
      <c r="L10" s="417" t="str">
        <f t="shared" ca="1" si="0"/>
        <v>Læ1</v>
      </c>
      <c r="M10" s="417" t="str">
        <f t="shared" ca="1" si="0"/>
        <v>Læ1</v>
      </c>
      <c r="N10" s="417" t="str">
        <f t="shared" ca="1" si="0"/>
        <v>Læ1</v>
      </c>
      <c r="O10" s="417" t="str">
        <f t="shared" ca="1" si="0"/>
        <v>Læ1</v>
      </c>
      <c r="P10" s="417" t="str">
        <f t="shared" ca="1" si="0"/>
        <v>Læ1</v>
      </c>
      <c r="Q10" s="417" t="str">
        <f t="shared" ca="1" si="0"/>
        <v>Læ1</v>
      </c>
      <c r="R10" s="417" t="str">
        <f t="shared" ca="1" si="0"/>
        <v>Læ1</v>
      </c>
      <c r="S10" s="710" t="str">
        <f t="shared" ca="1" si="0"/>
        <v>Læ1</v>
      </c>
      <c r="T10" s="799"/>
      <c r="U10" s="490"/>
      <c r="V10" s="491"/>
      <c r="W10" s="415" t="s">
        <v>300</v>
      </c>
      <c r="X10" s="416" t="s">
        <v>307</v>
      </c>
    </row>
    <row r="11" spans="1:24" ht="14">
      <c r="B11" s="263"/>
      <c r="C11" s="263" t="s">
        <v>429</v>
      </c>
      <c r="D11" s="420" t="str">
        <f ca="1">IF(LEFT(INDIRECT(D$1&amp;"!G5"))="L","LP","Tj.m., trin "&amp;RIGHT(INDIRECT(D$1&amp;"!G5"),2))</f>
        <v>LP</v>
      </c>
      <c r="E11" s="420" t="str">
        <f ca="1">IF(E$1="","",IF(LEFT(INDIRECT(E$1&amp;"!G5"))="L","LP","Tj.m., trin "&amp;RIGHT(INDIRECT(E$1&amp;"!G5"),2)))</f>
        <v>LP</v>
      </c>
      <c r="F11" s="420" t="str">
        <f ca="1">IF(F$1="","",IF(LEFT(INDIRECT(F$1&amp;"!G5"))="L","LP","Tj.m., trin "&amp;RIGHT(INDIRECT(F$1&amp;"!G5"),2)))</f>
        <v>LP</v>
      </c>
      <c r="G11" s="420" t="str">
        <f t="shared" ref="G11:S11" ca="1" si="2">IF(G$1="","",IF(LEFT(INDIRECT(G$1&amp;"!G5"))="L","LP","Tj.m., trin "&amp;RIGHT(INDIRECT(G$1&amp;"!G5"),2)))</f>
        <v>LP</v>
      </c>
      <c r="H11" s="420" t="str">
        <f t="shared" ca="1" si="2"/>
        <v>LP</v>
      </c>
      <c r="I11" s="420" t="str">
        <f t="shared" ca="1" si="2"/>
        <v>LP</v>
      </c>
      <c r="J11" s="420" t="str">
        <f t="shared" ca="1" si="2"/>
        <v>LP</v>
      </c>
      <c r="K11" s="420" t="str">
        <f t="shared" ca="1" si="2"/>
        <v>LP</v>
      </c>
      <c r="L11" s="420" t="str">
        <f t="shared" ca="1" si="2"/>
        <v>LP</v>
      </c>
      <c r="M11" s="420" t="str">
        <f t="shared" ca="1" si="2"/>
        <v>LP</v>
      </c>
      <c r="N11" s="420" t="str">
        <f t="shared" ca="1" si="2"/>
        <v>LP</v>
      </c>
      <c r="O11" s="420" t="str">
        <f t="shared" ca="1" si="2"/>
        <v>LP</v>
      </c>
      <c r="P11" s="420" t="str">
        <f t="shared" ca="1" si="2"/>
        <v>LP</v>
      </c>
      <c r="Q11" s="420" t="str">
        <f t="shared" ca="1" si="2"/>
        <v>LP</v>
      </c>
      <c r="R11" s="420" t="str">
        <f t="shared" ca="1" si="2"/>
        <v>LP</v>
      </c>
      <c r="S11" s="712" t="str">
        <f t="shared" ca="1" si="2"/>
        <v>LP</v>
      </c>
      <c r="T11" s="801"/>
      <c r="U11" s="492"/>
      <c r="V11" s="493"/>
      <c r="W11" s="415" t="s">
        <v>302</v>
      </c>
      <c r="X11" s="416" t="s">
        <v>309</v>
      </c>
    </row>
    <row r="12" spans="1:24">
      <c r="A12" s="336">
        <v>53</v>
      </c>
      <c r="B12" s="608">
        <v>1</v>
      </c>
      <c r="C12" s="666" t="str">
        <f ca="1">IF(ABS(SUM(D12:S12))&gt;0.1,INDIRECT($D$1&amp;"!f"&amp;A12),"")</f>
        <v/>
      </c>
      <c r="D12" s="673">
        <f t="shared" ref="D12:D18" ca="1" si="3">INDIRECT(D$1&amp;"!"&amp;VLOOKUP($C$3,mdr,2,0)&amp;$A12)</f>
        <v>0</v>
      </c>
      <c r="E12" s="673">
        <f t="shared" ref="E12:S29" ca="1" si="4">INDIRECT(E$1&amp;"!"&amp;VLOOKUP($C$3,mdr,2,0)&amp;$A12)</f>
        <v>0</v>
      </c>
      <c r="F12" s="673">
        <f t="shared" ca="1" si="4"/>
        <v>0</v>
      </c>
      <c r="G12" s="673">
        <f t="shared" ca="1" si="4"/>
        <v>0</v>
      </c>
      <c r="H12" s="673">
        <f t="shared" ca="1" si="4"/>
        <v>0</v>
      </c>
      <c r="I12" s="673">
        <f t="shared" ca="1" si="4"/>
        <v>0</v>
      </c>
      <c r="J12" s="673">
        <f t="shared" ca="1" si="4"/>
        <v>0</v>
      </c>
      <c r="K12" s="673">
        <f t="shared" ca="1" si="4"/>
        <v>0</v>
      </c>
      <c r="L12" s="673">
        <f t="shared" ca="1" si="4"/>
        <v>0</v>
      </c>
      <c r="M12" s="673">
        <f t="shared" ca="1" si="4"/>
        <v>0</v>
      </c>
      <c r="N12" s="673">
        <f t="shared" ca="1" si="4"/>
        <v>0</v>
      </c>
      <c r="O12" s="673">
        <f t="shared" ca="1" si="4"/>
        <v>0</v>
      </c>
      <c r="P12" s="673">
        <f t="shared" ca="1" si="4"/>
        <v>0</v>
      </c>
      <c r="Q12" s="673">
        <f t="shared" ca="1" si="4"/>
        <v>0</v>
      </c>
      <c r="R12" s="673">
        <f t="shared" ca="1" si="4"/>
        <v>0</v>
      </c>
      <c r="S12" s="673">
        <f t="shared" ca="1" si="4"/>
        <v>0</v>
      </c>
      <c r="T12" s="802">
        <f t="shared" ref="T12:T76" ca="1" si="5">SUM(D12:S12)</f>
        <v>0</v>
      </c>
      <c r="U12" s="490"/>
      <c r="V12" s="491"/>
      <c r="W12" s="415" t="s">
        <v>304</v>
      </c>
      <c r="X12" s="416" t="s">
        <v>311</v>
      </c>
    </row>
    <row r="13" spans="1:24">
      <c r="A13" s="336">
        <f>A12+1</f>
        <v>54</v>
      </c>
      <c r="B13" s="611">
        <f>B12+1</f>
        <v>2</v>
      </c>
      <c r="C13" s="667" t="str">
        <f t="shared" ref="C13:C77" ca="1" si="6">IF(ABS(SUM(D13:S13))&gt;0.1,INDIRECT($D$1&amp;"!f"&amp;A13),"")</f>
        <v/>
      </c>
      <c r="D13" s="674">
        <f t="shared" ca="1" si="3"/>
        <v>0</v>
      </c>
      <c r="E13" s="674">
        <f t="shared" ca="1" si="4"/>
        <v>0</v>
      </c>
      <c r="F13" s="674">
        <f t="shared" ca="1" si="4"/>
        <v>0</v>
      </c>
      <c r="G13" s="674">
        <f t="shared" ca="1" si="4"/>
        <v>0</v>
      </c>
      <c r="H13" s="674">
        <f t="shared" ca="1" si="4"/>
        <v>0</v>
      </c>
      <c r="I13" s="674">
        <f t="shared" ca="1" si="4"/>
        <v>0</v>
      </c>
      <c r="J13" s="674">
        <f t="shared" ca="1" si="4"/>
        <v>0</v>
      </c>
      <c r="K13" s="674">
        <f t="shared" ca="1" si="4"/>
        <v>0</v>
      </c>
      <c r="L13" s="674">
        <f t="shared" ca="1" si="4"/>
        <v>0</v>
      </c>
      <c r="M13" s="674">
        <f t="shared" ca="1" si="4"/>
        <v>0</v>
      </c>
      <c r="N13" s="674">
        <f t="shared" ca="1" si="4"/>
        <v>0</v>
      </c>
      <c r="O13" s="674">
        <f t="shared" ca="1" si="4"/>
        <v>0</v>
      </c>
      <c r="P13" s="674">
        <f t="shared" ca="1" si="4"/>
        <v>0</v>
      </c>
      <c r="Q13" s="674">
        <f t="shared" ca="1" si="4"/>
        <v>0</v>
      </c>
      <c r="R13" s="674">
        <f t="shared" ca="1" si="4"/>
        <v>0</v>
      </c>
      <c r="S13" s="674">
        <f t="shared" ca="1" si="4"/>
        <v>0</v>
      </c>
      <c r="T13" s="803">
        <f t="shared" ca="1" si="5"/>
        <v>0</v>
      </c>
      <c r="U13" s="492"/>
      <c r="V13" s="493"/>
      <c r="W13" s="415" t="s">
        <v>306</v>
      </c>
      <c r="X13" s="416" t="s">
        <v>313</v>
      </c>
    </row>
    <row r="14" spans="1:24">
      <c r="A14" s="336">
        <f t="shared" ref="A14:B29" si="7">A13+1</f>
        <v>55</v>
      </c>
      <c r="B14" s="615">
        <f t="shared" si="7"/>
        <v>3</v>
      </c>
      <c r="C14" s="668" t="str">
        <f t="shared" ca="1" si="6"/>
        <v/>
      </c>
      <c r="D14" s="675">
        <f t="shared" ca="1" si="3"/>
        <v>0</v>
      </c>
      <c r="E14" s="675">
        <f t="shared" ca="1" si="4"/>
        <v>0</v>
      </c>
      <c r="F14" s="675">
        <f t="shared" ca="1" si="4"/>
        <v>0</v>
      </c>
      <c r="G14" s="675">
        <f t="shared" ca="1" si="4"/>
        <v>0</v>
      </c>
      <c r="H14" s="675">
        <f t="shared" ca="1" si="4"/>
        <v>0</v>
      </c>
      <c r="I14" s="675">
        <f t="shared" ca="1" si="4"/>
        <v>0</v>
      </c>
      <c r="J14" s="675">
        <f t="shared" ca="1" si="4"/>
        <v>0</v>
      </c>
      <c r="K14" s="675">
        <f t="shared" ca="1" si="4"/>
        <v>0</v>
      </c>
      <c r="L14" s="675">
        <f t="shared" ca="1" si="4"/>
        <v>0</v>
      </c>
      <c r="M14" s="675">
        <f t="shared" ca="1" si="4"/>
        <v>0</v>
      </c>
      <c r="N14" s="675">
        <f t="shared" ca="1" si="4"/>
        <v>0</v>
      </c>
      <c r="O14" s="675">
        <f t="shared" ca="1" si="4"/>
        <v>0</v>
      </c>
      <c r="P14" s="675">
        <f t="shared" ca="1" si="4"/>
        <v>0</v>
      </c>
      <c r="Q14" s="675">
        <f t="shared" ca="1" si="4"/>
        <v>0</v>
      </c>
      <c r="R14" s="675">
        <f t="shared" ca="1" si="4"/>
        <v>0</v>
      </c>
      <c r="S14" s="675">
        <f t="shared" ca="1" si="4"/>
        <v>0</v>
      </c>
      <c r="T14" s="804">
        <f t="shared" ca="1" si="5"/>
        <v>0</v>
      </c>
      <c r="U14" s="490"/>
      <c r="V14" s="491"/>
      <c r="W14" s="415" t="s">
        <v>308</v>
      </c>
      <c r="X14" s="416" t="s">
        <v>405</v>
      </c>
    </row>
    <row r="15" spans="1:24">
      <c r="A15" s="336">
        <f t="shared" si="7"/>
        <v>56</v>
      </c>
      <c r="B15" s="611">
        <f t="shared" si="7"/>
        <v>4</v>
      </c>
      <c r="C15" s="667" t="str">
        <f t="shared" ca="1" si="6"/>
        <v/>
      </c>
      <c r="D15" s="674">
        <f t="shared" ca="1" si="3"/>
        <v>0</v>
      </c>
      <c r="E15" s="674">
        <f t="shared" ca="1" si="4"/>
        <v>0</v>
      </c>
      <c r="F15" s="674">
        <f t="shared" ca="1" si="4"/>
        <v>0</v>
      </c>
      <c r="G15" s="674">
        <f t="shared" ca="1" si="4"/>
        <v>0</v>
      </c>
      <c r="H15" s="674">
        <f t="shared" ca="1" si="4"/>
        <v>0</v>
      </c>
      <c r="I15" s="674">
        <f t="shared" ca="1" si="4"/>
        <v>0</v>
      </c>
      <c r="J15" s="674">
        <f t="shared" ca="1" si="4"/>
        <v>0</v>
      </c>
      <c r="K15" s="674">
        <f t="shared" ca="1" si="4"/>
        <v>0</v>
      </c>
      <c r="L15" s="674">
        <f t="shared" ca="1" si="4"/>
        <v>0</v>
      </c>
      <c r="M15" s="674">
        <f t="shared" ca="1" si="4"/>
        <v>0</v>
      </c>
      <c r="N15" s="674">
        <f t="shared" ca="1" si="4"/>
        <v>0</v>
      </c>
      <c r="O15" s="674">
        <f t="shared" ca="1" si="4"/>
        <v>0</v>
      </c>
      <c r="P15" s="674">
        <f t="shared" ca="1" si="4"/>
        <v>0</v>
      </c>
      <c r="Q15" s="674">
        <f t="shared" ca="1" si="4"/>
        <v>0</v>
      </c>
      <c r="R15" s="674">
        <f t="shared" ca="1" si="4"/>
        <v>0</v>
      </c>
      <c r="S15" s="674">
        <f t="shared" ca="1" si="4"/>
        <v>0</v>
      </c>
      <c r="T15" s="803">
        <f t="shared" ca="1" si="5"/>
        <v>0</v>
      </c>
      <c r="U15" s="492"/>
      <c r="V15" s="493"/>
      <c r="W15" s="415" t="s">
        <v>310</v>
      </c>
      <c r="X15" s="416" t="s">
        <v>406</v>
      </c>
    </row>
    <row r="16" spans="1:24">
      <c r="A16" s="336">
        <f t="shared" si="7"/>
        <v>57</v>
      </c>
      <c r="B16" s="615">
        <f t="shared" si="7"/>
        <v>5</v>
      </c>
      <c r="C16" s="668" t="str">
        <f t="shared" ca="1" si="6"/>
        <v/>
      </c>
      <c r="D16" s="675">
        <f t="shared" ca="1" si="3"/>
        <v>0</v>
      </c>
      <c r="E16" s="675">
        <f t="shared" ca="1" si="4"/>
        <v>0</v>
      </c>
      <c r="F16" s="675">
        <f t="shared" ca="1" si="4"/>
        <v>0</v>
      </c>
      <c r="G16" s="675">
        <f t="shared" ca="1" si="4"/>
        <v>0</v>
      </c>
      <c r="H16" s="675">
        <f t="shared" ca="1" si="4"/>
        <v>0</v>
      </c>
      <c r="I16" s="675">
        <f t="shared" ca="1" si="4"/>
        <v>0</v>
      </c>
      <c r="J16" s="675">
        <f t="shared" ca="1" si="4"/>
        <v>0</v>
      </c>
      <c r="K16" s="675">
        <f t="shared" ca="1" si="4"/>
        <v>0</v>
      </c>
      <c r="L16" s="675">
        <f t="shared" ca="1" si="4"/>
        <v>0</v>
      </c>
      <c r="M16" s="675">
        <f t="shared" ca="1" si="4"/>
        <v>0</v>
      </c>
      <c r="N16" s="675">
        <f t="shared" ca="1" si="4"/>
        <v>0</v>
      </c>
      <c r="O16" s="675">
        <f t="shared" ca="1" si="4"/>
        <v>0</v>
      </c>
      <c r="P16" s="675">
        <f t="shared" ca="1" si="4"/>
        <v>0</v>
      </c>
      <c r="Q16" s="675">
        <f t="shared" ca="1" si="4"/>
        <v>0</v>
      </c>
      <c r="R16" s="675">
        <f t="shared" ca="1" si="4"/>
        <v>0</v>
      </c>
      <c r="S16" s="675">
        <f t="shared" ca="1" si="4"/>
        <v>0</v>
      </c>
      <c r="T16" s="804">
        <f t="shared" ca="1" si="5"/>
        <v>0</v>
      </c>
      <c r="U16" s="490"/>
      <c r="V16" s="491"/>
      <c r="W16" s="422" t="s">
        <v>312</v>
      </c>
      <c r="X16" s="423" t="s">
        <v>407</v>
      </c>
    </row>
    <row r="17" spans="1:22">
      <c r="A17" s="336">
        <f t="shared" si="7"/>
        <v>58</v>
      </c>
      <c r="B17" s="611">
        <f t="shared" si="7"/>
        <v>6</v>
      </c>
      <c r="C17" s="667" t="str">
        <f t="shared" ca="1" si="6"/>
        <v/>
      </c>
      <c r="D17" s="674">
        <f t="shared" ca="1" si="3"/>
        <v>0</v>
      </c>
      <c r="E17" s="674">
        <f t="shared" ca="1" si="4"/>
        <v>0</v>
      </c>
      <c r="F17" s="674">
        <f t="shared" ca="1" si="4"/>
        <v>0</v>
      </c>
      <c r="G17" s="674">
        <f t="shared" ca="1" si="4"/>
        <v>0</v>
      </c>
      <c r="H17" s="674">
        <f t="shared" ca="1" si="4"/>
        <v>0</v>
      </c>
      <c r="I17" s="674">
        <f t="shared" ca="1" si="4"/>
        <v>0</v>
      </c>
      <c r="J17" s="674">
        <f t="shared" ca="1" si="4"/>
        <v>0</v>
      </c>
      <c r="K17" s="674">
        <f t="shared" ca="1" si="4"/>
        <v>0</v>
      </c>
      <c r="L17" s="674">
        <f t="shared" ca="1" si="4"/>
        <v>0</v>
      </c>
      <c r="M17" s="674">
        <f t="shared" ca="1" si="4"/>
        <v>0</v>
      </c>
      <c r="N17" s="674">
        <f t="shared" ca="1" si="4"/>
        <v>0</v>
      </c>
      <c r="O17" s="674">
        <f t="shared" ca="1" si="4"/>
        <v>0</v>
      </c>
      <c r="P17" s="674">
        <f t="shared" ca="1" si="4"/>
        <v>0</v>
      </c>
      <c r="Q17" s="674">
        <f t="shared" ca="1" si="4"/>
        <v>0</v>
      </c>
      <c r="R17" s="674">
        <f t="shared" ca="1" si="4"/>
        <v>0</v>
      </c>
      <c r="S17" s="674">
        <f t="shared" ca="1" si="4"/>
        <v>0</v>
      </c>
      <c r="T17" s="803">
        <f t="shared" ca="1" si="5"/>
        <v>0</v>
      </c>
      <c r="U17" s="492"/>
      <c r="V17" s="493"/>
    </row>
    <row r="18" spans="1:22">
      <c r="A18" s="336">
        <f t="shared" si="7"/>
        <v>59</v>
      </c>
      <c r="B18" s="615">
        <f t="shared" si="7"/>
        <v>7</v>
      </c>
      <c r="C18" s="668" t="str">
        <f t="shared" ca="1" si="6"/>
        <v/>
      </c>
      <c r="D18" s="675">
        <f t="shared" ca="1" si="3"/>
        <v>0</v>
      </c>
      <c r="E18" s="675">
        <f t="shared" ca="1" si="4"/>
        <v>0</v>
      </c>
      <c r="F18" s="675">
        <f t="shared" ca="1" si="4"/>
        <v>0</v>
      </c>
      <c r="G18" s="675">
        <f t="shared" ca="1" si="4"/>
        <v>0</v>
      </c>
      <c r="H18" s="675">
        <f t="shared" ca="1" si="4"/>
        <v>0</v>
      </c>
      <c r="I18" s="675">
        <f t="shared" ca="1" si="4"/>
        <v>0</v>
      </c>
      <c r="J18" s="675">
        <f t="shared" ca="1" si="4"/>
        <v>0</v>
      </c>
      <c r="K18" s="675">
        <f t="shared" ca="1" si="4"/>
        <v>0</v>
      </c>
      <c r="L18" s="675">
        <f t="shared" ca="1" si="4"/>
        <v>0</v>
      </c>
      <c r="M18" s="675">
        <f t="shared" ca="1" si="4"/>
        <v>0</v>
      </c>
      <c r="N18" s="675">
        <f t="shared" ca="1" si="4"/>
        <v>0</v>
      </c>
      <c r="O18" s="675">
        <f t="shared" ca="1" si="4"/>
        <v>0</v>
      </c>
      <c r="P18" s="675">
        <f t="shared" ca="1" si="4"/>
        <v>0</v>
      </c>
      <c r="Q18" s="675">
        <f t="shared" ca="1" si="4"/>
        <v>0</v>
      </c>
      <c r="R18" s="675">
        <f t="shared" ca="1" si="4"/>
        <v>0</v>
      </c>
      <c r="S18" s="675">
        <f t="shared" ca="1" si="4"/>
        <v>0</v>
      </c>
      <c r="T18" s="804">
        <f t="shared" ca="1" si="5"/>
        <v>0</v>
      </c>
      <c r="U18" s="490"/>
      <c r="V18" s="491"/>
    </row>
    <row r="19" spans="1:22">
      <c r="A19" s="336">
        <f t="shared" si="7"/>
        <v>60</v>
      </c>
      <c r="B19" s="611">
        <f t="shared" si="7"/>
        <v>8</v>
      </c>
      <c r="C19" s="667" t="str">
        <f t="shared" ca="1" si="6"/>
        <v/>
      </c>
      <c r="D19" s="674">
        <f t="shared" ref="D19:D36" ca="1" si="8">INDIRECT(D$1&amp;"!"&amp;VLOOKUP($C$3,mdr,2,0)&amp;$A19)</f>
        <v>0</v>
      </c>
      <c r="E19" s="674">
        <f t="shared" ca="1" si="4"/>
        <v>0</v>
      </c>
      <c r="F19" s="674">
        <f t="shared" ca="1" si="4"/>
        <v>0</v>
      </c>
      <c r="G19" s="674">
        <f t="shared" ca="1" si="4"/>
        <v>0</v>
      </c>
      <c r="H19" s="674">
        <f t="shared" ca="1" si="4"/>
        <v>0</v>
      </c>
      <c r="I19" s="674">
        <f t="shared" ca="1" si="4"/>
        <v>0</v>
      </c>
      <c r="J19" s="674">
        <f t="shared" ca="1" si="4"/>
        <v>0</v>
      </c>
      <c r="K19" s="674">
        <f t="shared" ca="1" si="4"/>
        <v>0</v>
      </c>
      <c r="L19" s="674">
        <f t="shared" ca="1" si="4"/>
        <v>0</v>
      </c>
      <c r="M19" s="674">
        <f t="shared" ca="1" si="4"/>
        <v>0</v>
      </c>
      <c r="N19" s="674">
        <f t="shared" ca="1" si="4"/>
        <v>0</v>
      </c>
      <c r="O19" s="674">
        <f t="shared" ca="1" si="4"/>
        <v>0</v>
      </c>
      <c r="P19" s="674">
        <f t="shared" ca="1" si="4"/>
        <v>0</v>
      </c>
      <c r="Q19" s="674">
        <f t="shared" ca="1" si="4"/>
        <v>0</v>
      </c>
      <c r="R19" s="674">
        <f t="shared" ca="1" si="4"/>
        <v>0</v>
      </c>
      <c r="S19" s="674">
        <f t="shared" ca="1" si="4"/>
        <v>0</v>
      </c>
      <c r="T19" s="803">
        <f t="shared" ca="1" si="5"/>
        <v>0</v>
      </c>
      <c r="U19" s="492"/>
      <c r="V19" s="493"/>
    </row>
    <row r="20" spans="1:22">
      <c r="A20" s="336">
        <f t="shared" si="7"/>
        <v>61</v>
      </c>
      <c r="B20" s="615">
        <f t="shared" si="7"/>
        <v>9</v>
      </c>
      <c r="C20" s="668" t="str">
        <f t="shared" ca="1" si="6"/>
        <v/>
      </c>
      <c r="D20" s="675">
        <f t="shared" ca="1" si="8"/>
        <v>0</v>
      </c>
      <c r="E20" s="675">
        <f t="shared" ca="1" si="4"/>
        <v>0</v>
      </c>
      <c r="F20" s="675">
        <f t="shared" ca="1" si="4"/>
        <v>0</v>
      </c>
      <c r="G20" s="675">
        <f t="shared" ca="1" si="4"/>
        <v>0</v>
      </c>
      <c r="H20" s="675">
        <f t="shared" ca="1" si="4"/>
        <v>0</v>
      </c>
      <c r="I20" s="675">
        <f t="shared" ca="1" si="4"/>
        <v>0</v>
      </c>
      <c r="J20" s="675">
        <f t="shared" ca="1" si="4"/>
        <v>0</v>
      </c>
      <c r="K20" s="675">
        <f t="shared" ca="1" si="4"/>
        <v>0</v>
      </c>
      <c r="L20" s="675">
        <f t="shared" ca="1" si="4"/>
        <v>0</v>
      </c>
      <c r="M20" s="675">
        <f t="shared" ca="1" si="4"/>
        <v>0</v>
      </c>
      <c r="N20" s="675">
        <f t="shared" ca="1" si="4"/>
        <v>0</v>
      </c>
      <c r="O20" s="675">
        <f t="shared" ca="1" si="4"/>
        <v>0</v>
      </c>
      <c r="P20" s="675">
        <f t="shared" ca="1" si="4"/>
        <v>0</v>
      </c>
      <c r="Q20" s="675">
        <f t="shared" ca="1" si="4"/>
        <v>0</v>
      </c>
      <c r="R20" s="675">
        <f t="shared" ca="1" si="4"/>
        <v>0</v>
      </c>
      <c r="S20" s="675">
        <f t="shared" ca="1" si="4"/>
        <v>0</v>
      </c>
      <c r="T20" s="804">
        <f t="shared" ca="1" si="5"/>
        <v>0</v>
      </c>
      <c r="U20" s="490"/>
      <c r="V20" s="491"/>
    </row>
    <row r="21" spans="1:22">
      <c r="A21" s="336">
        <f t="shared" si="7"/>
        <v>62</v>
      </c>
      <c r="B21" s="611">
        <f t="shared" si="7"/>
        <v>10</v>
      </c>
      <c r="C21" s="667" t="str">
        <f t="shared" ca="1" si="6"/>
        <v/>
      </c>
      <c r="D21" s="674">
        <f t="shared" ca="1" si="8"/>
        <v>0</v>
      </c>
      <c r="E21" s="674">
        <f t="shared" ca="1" si="4"/>
        <v>0</v>
      </c>
      <c r="F21" s="674">
        <f t="shared" ca="1" si="4"/>
        <v>0</v>
      </c>
      <c r="G21" s="674">
        <f t="shared" ca="1" si="4"/>
        <v>0</v>
      </c>
      <c r="H21" s="674">
        <f t="shared" ca="1" si="4"/>
        <v>0</v>
      </c>
      <c r="I21" s="674">
        <f t="shared" ca="1" si="4"/>
        <v>0</v>
      </c>
      <c r="J21" s="674">
        <f t="shared" ca="1" si="4"/>
        <v>0</v>
      </c>
      <c r="K21" s="674">
        <f t="shared" ca="1" si="4"/>
        <v>0</v>
      </c>
      <c r="L21" s="674">
        <f t="shared" ca="1" si="4"/>
        <v>0</v>
      </c>
      <c r="M21" s="674">
        <f t="shared" ca="1" si="4"/>
        <v>0</v>
      </c>
      <c r="N21" s="674">
        <f t="shared" ca="1" si="4"/>
        <v>0</v>
      </c>
      <c r="O21" s="674">
        <f t="shared" ca="1" si="4"/>
        <v>0</v>
      </c>
      <c r="P21" s="674">
        <f t="shared" ca="1" si="4"/>
        <v>0</v>
      </c>
      <c r="Q21" s="674">
        <f t="shared" ca="1" si="4"/>
        <v>0</v>
      </c>
      <c r="R21" s="674">
        <f t="shared" ca="1" si="4"/>
        <v>0</v>
      </c>
      <c r="S21" s="674">
        <f t="shared" ca="1" si="4"/>
        <v>0</v>
      </c>
      <c r="T21" s="803">
        <f t="shared" ca="1" si="5"/>
        <v>0</v>
      </c>
      <c r="U21" s="492"/>
      <c r="V21" s="493"/>
    </row>
    <row r="22" spans="1:22">
      <c r="A22" s="336">
        <f t="shared" si="7"/>
        <v>63</v>
      </c>
      <c r="B22" s="615">
        <f t="shared" si="7"/>
        <v>11</v>
      </c>
      <c r="C22" s="668" t="str">
        <f t="shared" ca="1" si="6"/>
        <v/>
      </c>
      <c r="D22" s="675">
        <f t="shared" ca="1" si="8"/>
        <v>0</v>
      </c>
      <c r="E22" s="675">
        <f t="shared" ca="1" si="4"/>
        <v>0</v>
      </c>
      <c r="F22" s="675">
        <f t="shared" ca="1" si="4"/>
        <v>0</v>
      </c>
      <c r="G22" s="675">
        <f t="shared" ca="1" si="4"/>
        <v>0</v>
      </c>
      <c r="H22" s="675">
        <f t="shared" ca="1" si="4"/>
        <v>0</v>
      </c>
      <c r="I22" s="675">
        <f t="shared" ca="1" si="4"/>
        <v>0</v>
      </c>
      <c r="J22" s="675">
        <f t="shared" ca="1" si="4"/>
        <v>0</v>
      </c>
      <c r="K22" s="675">
        <f t="shared" ca="1" si="4"/>
        <v>0</v>
      </c>
      <c r="L22" s="675">
        <f t="shared" ca="1" si="4"/>
        <v>0</v>
      </c>
      <c r="M22" s="675">
        <f t="shared" ca="1" si="4"/>
        <v>0</v>
      </c>
      <c r="N22" s="675">
        <f t="shared" ca="1" si="4"/>
        <v>0</v>
      </c>
      <c r="O22" s="675">
        <f t="shared" ca="1" si="4"/>
        <v>0</v>
      </c>
      <c r="P22" s="675">
        <f t="shared" ca="1" si="4"/>
        <v>0</v>
      </c>
      <c r="Q22" s="675">
        <f t="shared" ca="1" si="4"/>
        <v>0</v>
      </c>
      <c r="R22" s="675">
        <f t="shared" ca="1" si="4"/>
        <v>0</v>
      </c>
      <c r="S22" s="675">
        <f t="shared" ca="1" si="4"/>
        <v>0</v>
      </c>
      <c r="T22" s="804">
        <f t="shared" ca="1" si="5"/>
        <v>0</v>
      </c>
      <c r="U22" s="490"/>
      <c r="V22" s="491"/>
    </row>
    <row r="23" spans="1:22">
      <c r="A23" s="336">
        <f t="shared" si="7"/>
        <v>64</v>
      </c>
      <c r="B23" s="611">
        <f t="shared" si="7"/>
        <v>12</v>
      </c>
      <c r="C23" s="667" t="str">
        <f t="shared" ca="1" si="6"/>
        <v/>
      </c>
      <c r="D23" s="674">
        <f t="shared" ca="1" si="8"/>
        <v>0</v>
      </c>
      <c r="E23" s="674">
        <f t="shared" ca="1" si="4"/>
        <v>0</v>
      </c>
      <c r="F23" s="674">
        <f t="shared" ca="1" si="4"/>
        <v>0</v>
      </c>
      <c r="G23" s="674">
        <f t="shared" ca="1" si="4"/>
        <v>0</v>
      </c>
      <c r="H23" s="674">
        <f t="shared" ca="1" si="4"/>
        <v>0</v>
      </c>
      <c r="I23" s="674">
        <f t="shared" ca="1" si="4"/>
        <v>0</v>
      </c>
      <c r="J23" s="674">
        <f t="shared" ca="1" si="4"/>
        <v>0</v>
      </c>
      <c r="K23" s="674">
        <f t="shared" ca="1" si="4"/>
        <v>0</v>
      </c>
      <c r="L23" s="674">
        <f t="shared" ca="1" si="4"/>
        <v>0</v>
      </c>
      <c r="M23" s="674">
        <f t="shared" ca="1" si="4"/>
        <v>0</v>
      </c>
      <c r="N23" s="674">
        <f t="shared" ca="1" si="4"/>
        <v>0</v>
      </c>
      <c r="O23" s="674">
        <f t="shared" ca="1" si="4"/>
        <v>0</v>
      </c>
      <c r="P23" s="674">
        <f t="shared" ca="1" si="4"/>
        <v>0</v>
      </c>
      <c r="Q23" s="674">
        <f t="shared" ca="1" si="4"/>
        <v>0</v>
      </c>
      <c r="R23" s="674">
        <f t="shared" ca="1" si="4"/>
        <v>0</v>
      </c>
      <c r="S23" s="674">
        <f t="shared" ca="1" si="4"/>
        <v>0</v>
      </c>
      <c r="T23" s="803">
        <f t="shared" ca="1" si="5"/>
        <v>0</v>
      </c>
      <c r="U23" s="492"/>
      <c r="V23" s="493"/>
    </row>
    <row r="24" spans="1:22">
      <c r="A24" s="336">
        <f t="shared" si="7"/>
        <v>65</v>
      </c>
      <c r="B24" s="615">
        <f t="shared" si="7"/>
        <v>13</v>
      </c>
      <c r="C24" s="668" t="str">
        <f t="shared" ca="1" si="6"/>
        <v/>
      </c>
      <c r="D24" s="675">
        <f t="shared" ca="1" si="8"/>
        <v>0</v>
      </c>
      <c r="E24" s="675">
        <f t="shared" ca="1" si="4"/>
        <v>0</v>
      </c>
      <c r="F24" s="675">
        <f t="shared" ca="1" si="4"/>
        <v>0</v>
      </c>
      <c r="G24" s="675">
        <f t="shared" ca="1" si="4"/>
        <v>0</v>
      </c>
      <c r="H24" s="675">
        <f t="shared" ca="1" si="4"/>
        <v>0</v>
      </c>
      <c r="I24" s="675">
        <f t="shared" ca="1" si="4"/>
        <v>0</v>
      </c>
      <c r="J24" s="675">
        <f t="shared" ca="1" si="4"/>
        <v>0</v>
      </c>
      <c r="K24" s="675">
        <f t="shared" ca="1" si="4"/>
        <v>0</v>
      </c>
      <c r="L24" s="675">
        <f t="shared" ca="1" si="4"/>
        <v>0</v>
      </c>
      <c r="M24" s="675">
        <f t="shared" ca="1" si="4"/>
        <v>0</v>
      </c>
      <c r="N24" s="675">
        <f t="shared" ca="1" si="4"/>
        <v>0</v>
      </c>
      <c r="O24" s="675">
        <f t="shared" ca="1" si="4"/>
        <v>0</v>
      </c>
      <c r="P24" s="675">
        <f t="shared" ca="1" si="4"/>
        <v>0</v>
      </c>
      <c r="Q24" s="675">
        <f t="shared" ca="1" si="4"/>
        <v>0</v>
      </c>
      <c r="R24" s="675">
        <f t="shared" ca="1" si="4"/>
        <v>0</v>
      </c>
      <c r="S24" s="675">
        <f t="shared" ca="1" si="4"/>
        <v>0</v>
      </c>
      <c r="T24" s="804">
        <f t="shared" ca="1" si="5"/>
        <v>0</v>
      </c>
      <c r="U24" s="490"/>
      <c r="V24" s="491"/>
    </row>
    <row r="25" spans="1:22">
      <c r="A25" s="336">
        <f t="shared" si="7"/>
        <v>66</v>
      </c>
      <c r="B25" s="611">
        <f t="shared" si="7"/>
        <v>14</v>
      </c>
      <c r="C25" s="667" t="str">
        <f t="shared" ca="1" si="6"/>
        <v/>
      </c>
      <c r="D25" s="674">
        <f t="shared" ca="1" si="8"/>
        <v>0</v>
      </c>
      <c r="E25" s="674">
        <f t="shared" ca="1" si="4"/>
        <v>0</v>
      </c>
      <c r="F25" s="674">
        <f t="shared" ca="1" si="4"/>
        <v>0</v>
      </c>
      <c r="G25" s="674">
        <f t="shared" ca="1" si="4"/>
        <v>0</v>
      </c>
      <c r="H25" s="674">
        <f t="shared" ca="1" si="4"/>
        <v>0</v>
      </c>
      <c r="I25" s="674">
        <f t="shared" ca="1" si="4"/>
        <v>0</v>
      </c>
      <c r="J25" s="674">
        <f t="shared" ca="1" si="4"/>
        <v>0</v>
      </c>
      <c r="K25" s="674">
        <f t="shared" ca="1" si="4"/>
        <v>0</v>
      </c>
      <c r="L25" s="674">
        <f t="shared" ca="1" si="4"/>
        <v>0</v>
      </c>
      <c r="M25" s="674">
        <f t="shared" ca="1" si="4"/>
        <v>0</v>
      </c>
      <c r="N25" s="674">
        <f t="shared" ca="1" si="4"/>
        <v>0</v>
      </c>
      <c r="O25" s="674">
        <f t="shared" ca="1" si="4"/>
        <v>0</v>
      </c>
      <c r="P25" s="674">
        <f t="shared" ca="1" si="4"/>
        <v>0</v>
      </c>
      <c r="Q25" s="674">
        <f t="shared" ca="1" si="4"/>
        <v>0</v>
      </c>
      <c r="R25" s="674">
        <f t="shared" ca="1" si="4"/>
        <v>0</v>
      </c>
      <c r="S25" s="674">
        <f t="shared" ca="1" si="4"/>
        <v>0</v>
      </c>
      <c r="T25" s="803">
        <f t="shared" ca="1" si="5"/>
        <v>0</v>
      </c>
      <c r="U25" s="492"/>
      <c r="V25" s="493"/>
    </row>
    <row r="26" spans="1:22">
      <c r="A26" s="336">
        <f t="shared" si="7"/>
        <v>67</v>
      </c>
      <c r="B26" s="615">
        <f t="shared" si="7"/>
        <v>15</v>
      </c>
      <c r="C26" s="668" t="str">
        <f t="shared" ca="1" si="6"/>
        <v/>
      </c>
      <c r="D26" s="675">
        <f t="shared" ca="1" si="8"/>
        <v>0</v>
      </c>
      <c r="E26" s="675">
        <f t="shared" ca="1" si="4"/>
        <v>0</v>
      </c>
      <c r="F26" s="675">
        <f t="shared" ca="1" si="4"/>
        <v>0</v>
      </c>
      <c r="G26" s="675">
        <f t="shared" ca="1" si="4"/>
        <v>0</v>
      </c>
      <c r="H26" s="675">
        <f t="shared" ca="1" si="4"/>
        <v>0</v>
      </c>
      <c r="I26" s="675">
        <f t="shared" ca="1" si="4"/>
        <v>0</v>
      </c>
      <c r="J26" s="675">
        <f t="shared" ca="1" si="4"/>
        <v>0</v>
      </c>
      <c r="K26" s="675">
        <f t="shared" ca="1" si="4"/>
        <v>0</v>
      </c>
      <c r="L26" s="675">
        <f t="shared" ca="1" si="4"/>
        <v>0</v>
      </c>
      <c r="M26" s="675">
        <f t="shared" ca="1" si="4"/>
        <v>0</v>
      </c>
      <c r="N26" s="675">
        <f t="shared" ca="1" si="4"/>
        <v>0</v>
      </c>
      <c r="O26" s="675">
        <f t="shared" ca="1" si="4"/>
        <v>0</v>
      </c>
      <c r="P26" s="675">
        <f t="shared" ca="1" si="4"/>
        <v>0</v>
      </c>
      <c r="Q26" s="675">
        <f t="shared" ca="1" si="4"/>
        <v>0</v>
      </c>
      <c r="R26" s="675">
        <f t="shared" ca="1" si="4"/>
        <v>0</v>
      </c>
      <c r="S26" s="675">
        <f t="shared" ca="1" si="4"/>
        <v>0</v>
      </c>
      <c r="T26" s="804">
        <f t="shared" ca="1" si="5"/>
        <v>0</v>
      </c>
      <c r="U26" s="490"/>
      <c r="V26" s="491"/>
    </row>
    <row r="27" spans="1:22">
      <c r="A27" s="336">
        <f t="shared" si="7"/>
        <v>68</v>
      </c>
      <c r="B27" s="611">
        <f t="shared" si="7"/>
        <v>16</v>
      </c>
      <c r="C27" s="667" t="str">
        <f t="shared" ca="1" si="6"/>
        <v/>
      </c>
      <c r="D27" s="674">
        <f t="shared" ca="1" si="8"/>
        <v>0</v>
      </c>
      <c r="E27" s="674">
        <f t="shared" ca="1" si="4"/>
        <v>0</v>
      </c>
      <c r="F27" s="674">
        <f t="shared" ca="1" si="4"/>
        <v>0</v>
      </c>
      <c r="G27" s="674">
        <f t="shared" ca="1" si="4"/>
        <v>0</v>
      </c>
      <c r="H27" s="674">
        <f t="shared" ca="1" si="4"/>
        <v>0</v>
      </c>
      <c r="I27" s="674">
        <f t="shared" ca="1" si="4"/>
        <v>0</v>
      </c>
      <c r="J27" s="674">
        <f t="shared" ca="1" si="4"/>
        <v>0</v>
      </c>
      <c r="K27" s="674">
        <f t="shared" ca="1" si="4"/>
        <v>0</v>
      </c>
      <c r="L27" s="674">
        <f t="shared" ca="1" si="4"/>
        <v>0</v>
      </c>
      <c r="M27" s="674">
        <f t="shared" ca="1" si="4"/>
        <v>0</v>
      </c>
      <c r="N27" s="674">
        <f t="shared" ca="1" si="4"/>
        <v>0</v>
      </c>
      <c r="O27" s="674">
        <f t="shared" ca="1" si="4"/>
        <v>0</v>
      </c>
      <c r="P27" s="674">
        <f t="shared" ca="1" si="4"/>
        <v>0</v>
      </c>
      <c r="Q27" s="674">
        <f t="shared" ca="1" si="4"/>
        <v>0</v>
      </c>
      <c r="R27" s="674">
        <f t="shared" ca="1" si="4"/>
        <v>0</v>
      </c>
      <c r="S27" s="674">
        <f t="shared" ca="1" si="4"/>
        <v>0</v>
      </c>
      <c r="T27" s="803">
        <f t="shared" ca="1" si="5"/>
        <v>0</v>
      </c>
      <c r="U27" s="492"/>
      <c r="V27" s="493"/>
    </row>
    <row r="28" spans="1:22">
      <c r="A28" s="336">
        <f t="shared" si="7"/>
        <v>69</v>
      </c>
      <c r="B28" s="615">
        <f t="shared" si="7"/>
        <v>17</v>
      </c>
      <c r="C28" s="668" t="str">
        <f t="shared" ca="1" si="6"/>
        <v/>
      </c>
      <c r="D28" s="675">
        <f t="shared" ca="1" si="8"/>
        <v>0</v>
      </c>
      <c r="E28" s="675">
        <f t="shared" ref="E28:S45" ca="1" si="9">INDIRECT(E$1&amp;"!"&amp;VLOOKUP($C$3,mdr,2,0)&amp;$A28)</f>
        <v>0</v>
      </c>
      <c r="F28" s="675">
        <f t="shared" ca="1" si="9"/>
        <v>0</v>
      </c>
      <c r="G28" s="675">
        <f t="shared" ca="1" si="9"/>
        <v>0</v>
      </c>
      <c r="H28" s="675">
        <f t="shared" ca="1" si="9"/>
        <v>0</v>
      </c>
      <c r="I28" s="675">
        <f t="shared" ca="1" si="9"/>
        <v>0</v>
      </c>
      <c r="J28" s="675">
        <f t="shared" ca="1" si="9"/>
        <v>0</v>
      </c>
      <c r="K28" s="675">
        <f t="shared" ca="1" si="9"/>
        <v>0</v>
      </c>
      <c r="L28" s="675">
        <f t="shared" ca="1" si="9"/>
        <v>0</v>
      </c>
      <c r="M28" s="675">
        <f t="shared" ca="1" si="9"/>
        <v>0</v>
      </c>
      <c r="N28" s="675">
        <f t="shared" ca="1" si="9"/>
        <v>0</v>
      </c>
      <c r="O28" s="675">
        <f t="shared" ca="1" si="9"/>
        <v>0</v>
      </c>
      <c r="P28" s="675">
        <f t="shared" ca="1" si="9"/>
        <v>0</v>
      </c>
      <c r="Q28" s="675">
        <f t="shared" ca="1" si="9"/>
        <v>0</v>
      </c>
      <c r="R28" s="675">
        <f t="shared" ca="1" si="9"/>
        <v>0</v>
      </c>
      <c r="S28" s="675">
        <f t="shared" ca="1" si="9"/>
        <v>0</v>
      </c>
      <c r="T28" s="804">
        <f t="shared" ca="1" si="5"/>
        <v>0</v>
      </c>
      <c r="U28" s="490"/>
      <c r="V28" s="491"/>
    </row>
    <row r="29" spans="1:22">
      <c r="A29" s="336">
        <f t="shared" si="7"/>
        <v>70</v>
      </c>
      <c r="B29" s="611">
        <f>B28+1</f>
        <v>18</v>
      </c>
      <c r="C29" s="667" t="str">
        <f t="shared" ca="1" si="6"/>
        <v/>
      </c>
      <c r="D29" s="674">
        <f t="shared" ca="1" si="8"/>
        <v>0</v>
      </c>
      <c r="E29" s="674">
        <f t="shared" ca="1" si="4"/>
        <v>0</v>
      </c>
      <c r="F29" s="674">
        <f t="shared" ca="1" si="4"/>
        <v>0</v>
      </c>
      <c r="G29" s="674">
        <f t="shared" ca="1" si="4"/>
        <v>0</v>
      </c>
      <c r="H29" s="674">
        <f t="shared" ca="1" si="4"/>
        <v>0</v>
      </c>
      <c r="I29" s="674">
        <f t="shared" ca="1" si="4"/>
        <v>0</v>
      </c>
      <c r="J29" s="674">
        <f t="shared" ca="1" si="4"/>
        <v>0</v>
      </c>
      <c r="K29" s="674">
        <f t="shared" ca="1" si="4"/>
        <v>0</v>
      </c>
      <c r="L29" s="674">
        <f t="shared" ca="1" si="4"/>
        <v>0</v>
      </c>
      <c r="M29" s="674">
        <f t="shared" ca="1" si="4"/>
        <v>0</v>
      </c>
      <c r="N29" s="674">
        <f t="shared" ca="1" si="4"/>
        <v>0</v>
      </c>
      <c r="O29" s="674">
        <f t="shared" ca="1" si="4"/>
        <v>0</v>
      </c>
      <c r="P29" s="674">
        <f t="shared" ca="1" si="4"/>
        <v>0</v>
      </c>
      <c r="Q29" s="674">
        <f t="shared" ca="1" si="4"/>
        <v>0</v>
      </c>
      <c r="R29" s="674">
        <f t="shared" ca="1" si="4"/>
        <v>0</v>
      </c>
      <c r="S29" s="674">
        <f t="shared" ca="1" si="4"/>
        <v>0</v>
      </c>
      <c r="T29" s="803">
        <f ca="1">SUM(D29:S29)</f>
        <v>0</v>
      </c>
      <c r="U29" s="492"/>
      <c r="V29" s="493"/>
    </row>
    <row r="30" spans="1:22">
      <c r="A30" s="336">
        <f t="shared" ref="A30:B45" si="10">A29+1</f>
        <v>71</v>
      </c>
      <c r="B30" s="615">
        <f>B29+1</f>
        <v>19</v>
      </c>
      <c r="C30" s="668" t="str">
        <f t="shared" ca="1" si="6"/>
        <v/>
      </c>
      <c r="D30" s="675">
        <f t="shared" ca="1" si="8"/>
        <v>0</v>
      </c>
      <c r="E30" s="675">
        <f t="shared" ca="1" si="9"/>
        <v>0</v>
      </c>
      <c r="F30" s="675">
        <f t="shared" ca="1" si="9"/>
        <v>0</v>
      </c>
      <c r="G30" s="675">
        <f t="shared" ca="1" si="9"/>
        <v>0</v>
      </c>
      <c r="H30" s="675">
        <f t="shared" ca="1" si="9"/>
        <v>0</v>
      </c>
      <c r="I30" s="675">
        <f t="shared" ca="1" si="9"/>
        <v>0</v>
      </c>
      <c r="J30" s="675">
        <f t="shared" ca="1" si="9"/>
        <v>0</v>
      </c>
      <c r="K30" s="675">
        <f t="shared" ca="1" si="9"/>
        <v>0</v>
      </c>
      <c r="L30" s="675">
        <f t="shared" ca="1" si="9"/>
        <v>0</v>
      </c>
      <c r="M30" s="675">
        <f t="shared" ca="1" si="9"/>
        <v>0</v>
      </c>
      <c r="N30" s="675">
        <f t="shared" ca="1" si="9"/>
        <v>0</v>
      </c>
      <c r="O30" s="675">
        <f t="shared" ca="1" si="9"/>
        <v>0</v>
      </c>
      <c r="P30" s="675">
        <f t="shared" ca="1" si="9"/>
        <v>0</v>
      </c>
      <c r="Q30" s="675">
        <f t="shared" ca="1" si="9"/>
        <v>0</v>
      </c>
      <c r="R30" s="675">
        <f t="shared" ca="1" si="9"/>
        <v>0</v>
      </c>
      <c r="S30" s="675">
        <f t="shared" ca="1" si="9"/>
        <v>0</v>
      </c>
      <c r="T30" s="804">
        <f t="shared" ca="1" si="5"/>
        <v>0</v>
      </c>
      <c r="U30" s="490"/>
      <c r="V30" s="491"/>
    </row>
    <row r="31" spans="1:22">
      <c r="A31" s="336">
        <f t="shared" si="10"/>
        <v>72</v>
      </c>
      <c r="B31" s="611">
        <f>B30+1</f>
        <v>20</v>
      </c>
      <c r="C31" s="667" t="str">
        <f t="shared" ca="1" si="6"/>
        <v/>
      </c>
      <c r="D31" s="674">
        <f t="shared" ca="1" si="8"/>
        <v>0</v>
      </c>
      <c r="E31" s="674">
        <f t="shared" ref="E31:S31" ca="1" si="11">INDIRECT(E$1&amp;"!"&amp;VLOOKUP($C$3,mdr,2,0)&amp;$A31)</f>
        <v>0</v>
      </c>
      <c r="F31" s="674">
        <f t="shared" ca="1" si="11"/>
        <v>0</v>
      </c>
      <c r="G31" s="674">
        <f t="shared" ca="1" si="11"/>
        <v>0</v>
      </c>
      <c r="H31" s="674">
        <f t="shared" ca="1" si="11"/>
        <v>0</v>
      </c>
      <c r="I31" s="674">
        <f t="shared" ca="1" si="11"/>
        <v>0</v>
      </c>
      <c r="J31" s="674">
        <f t="shared" ca="1" si="11"/>
        <v>0</v>
      </c>
      <c r="K31" s="674">
        <f t="shared" ca="1" si="11"/>
        <v>0</v>
      </c>
      <c r="L31" s="674">
        <f t="shared" ca="1" si="11"/>
        <v>0</v>
      </c>
      <c r="M31" s="674">
        <f t="shared" ca="1" si="11"/>
        <v>0</v>
      </c>
      <c r="N31" s="674">
        <f t="shared" ca="1" si="11"/>
        <v>0</v>
      </c>
      <c r="O31" s="674">
        <f t="shared" ca="1" si="11"/>
        <v>0</v>
      </c>
      <c r="P31" s="674">
        <f t="shared" ca="1" si="11"/>
        <v>0</v>
      </c>
      <c r="Q31" s="674">
        <f t="shared" ca="1" si="11"/>
        <v>0</v>
      </c>
      <c r="R31" s="674">
        <f t="shared" ca="1" si="11"/>
        <v>0</v>
      </c>
      <c r="S31" s="674">
        <f t="shared" ca="1" si="11"/>
        <v>0</v>
      </c>
      <c r="T31" s="803">
        <f t="shared" ca="1" si="5"/>
        <v>0</v>
      </c>
      <c r="U31" s="492"/>
      <c r="V31" s="493"/>
    </row>
    <row r="32" spans="1:22">
      <c r="A32" s="336">
        <f t="shared" si="10"/>
        <v>73</v>
      </c>
      <c r="B32" s="615">
        <f>B31+1</f>
        <v>21</v>
      </c>
      <c r="C32" s="668" t="str">
        <f t="shared" ca="1" si="6"/>
        <v/>
      </c>
      <c r="D32" s="675">
        <f t="shared" ca="1" si="8"/>
        <v>0</v>
      </c>
      <c r="E32" s="675">
        <f t="shared" ca="1" si="9"/>
        <v>0</v>
      </c>
      <c r="F32" s="675">
        <f t="shared" ca="1" si="9"/>
        <v>0</v>
      </c>
      <c r="G32" s="675">
        <f t="shared" ca="1" si="9"/>
        <v>0</v>
      </c>
      <c r="H32" s="675">
        <f t="shared" ca="1" si="9"/>
        <v>0</v>
      </c>
      <c r="I32" s="675">
        <f t="shared" ca="1" si="9"/>
        <v>0</v>
      </c>
      <c r="J32" s="675">
        <f t="shared" ca="1" si="9"/>
        <v>0</v>
      </c>
      <c r="K32" s="675">
        <f t="shared" ca="1" si="9"/>
        <v>0</v>
      </c>
      <c r="L32" s="675">
        <f t="shared" ca="1" si="9"/>
        <v>0</v>
      </c>
      <c r="M32" s="675">
        <f t="shared" ca="1" si="9"/>
        <v>0</v>
      </c>
      <c r="N32" s="675">
        <f t="shared" ca="1" si="9"/>
        <v>0</v>
      </c>
      <c r="O32" s="675">
        <f t="shared" ca="1" si="9"/>
        <v>0</v>
      </c>
      <c r="P32" s="675">
        <f t="shared" ca="1" si="9"/>
        <v>0</v>
      </c>
      <c r="Q32" s="675">
        <f t="shared" ca="1" si="9"/>
        <v>0</v>
      </c>
      <c r="R32" s="675">
        <f t="shared" ca="1" si="9"/>
        <v>0</v>
      </c>
      <c r="S32" s="675">
        <f t="shared" ca="1" si="9"/>
        <v>0</v>
      </c>
      <c r="T32" s="804">
        <f t="shared" ca="1" si="5"/>
        <v>0</v>
      </c>
      <c r="U32" s="490"/>
      <c r="V32" s="491"/>
    </row>
    <row r="33" spans="1:22">
      <c r="A33" s="336">
        <f t="shared" si="10"/>
        <v>74</v>
      </c>
      <c r="B33" s="611">
        <f t="shared" si="10"/>
        <v>22</v>
      </c>
      <c r="C33" s="667" t="str">
        <f t="shared" ca="1" si="6"/>
        <v/>
      </c>
      <c r="D33" s="674">
        <f t="shared" ca="1" si="8"/>
        <v>0</v>
      </c>
      <c r="E33" s="674">
        <f t="shared" ca="1" si="9"/>
        <v>0</v>
      </c>
      <c r="F33" s="674">
        <f t="shared" ca="1" si="9"/>
        <v>0</v>
      </c>
      <c r="G33" s="674">
        <f t="shared" ca="1" si="9"/>
        <v>0</v>
      </c>
      <c r="H33" s="674">
        <f t="shared" ca="1" si="9"/>
        <v>0</v>
      </c>
      <c r="I33" s="674">
        <f t="shared" ca="1" si="9"/>
        <v>0</v>
      </c>
      <c r="J33" s="674">
        <f t="shared" ca="1" si="9"/>
        <v>0</v>
      </c>
      <c r="K33" s="674">
        <f t="shared" ca="1" si="9"/>
        <v>0</v>
      </c>
      <c r="L33" s="674">
        <f t="shared" ca="1" si="9"/>
        <v>0</v>
      </c>
      <c r="M33" s="674">
        <f t="shared" ca="1" si="9"/>
        <v>0</v>
      </c>
      <c r="N33" s="674">
        <f t="shared" ca="1" si="9"/>
        <v>0</v>
      </c>
      <c r="O33" s="674">
        <f t="shared" ca="1" si="9"/>
        <v>0</v>
      </c>
      <c r="P33" s="674">
        <f t="shared" ca="1" si="9"/>
        <v>0</v>
      </c>
      <c r="Q33" s="674">
        <f t="shared" ca="1" si="9"/>
        <v>0</v>
      </c>
      <c r="R33" s="674">
        <f t="shared" ca="1" si="9"/>
        <v>0</v>
      </c>
      <c r="S33" s="674">
        <f t="shared" ca="1" si="9"/>
        <v>0</v>
      </c>
      <c r="T33" s="803">
        <f t="shared" ca="1" si="5"/>
        <v>0</v>
      </c>
      <c r="U33" s="492"/>
      <c r="V33" s="493"/>
    </row>
    <row r="34" spans="1:22">
      <c r="A34" s="336">
        <f t="shared" si="10"/>
        <v>75</v>
      </c>
      <c r="B34" s="615">
        <f t="shared" si="10"/>
        <v>23</v>
      </c>
      <c r="C34" s="668" t="str">
        <f t="shared" ca="1" si="6"/>
        <v/>
      </c>
      <c r="D34" s="675">
        <f t="shared" ca="1" si="8"/>
        <v>0</v>
      </c>
      <c r="E34" s="675">
        <f t="shared" ca="1" si="9"/>
        <v>0</v>
      </c>
      <c r="F34" s="675">
        <f t="shared" ca="1" si="9"/>
        <v>0</v>
      </c>
      <c r="G34" s="675">
        <f t="shared" ca="1" si="9"/>
        <v>0</v>
      </c>
      <c r="H34" s="675">
        <f t="shared" ca="1" si="9"/>
        <v>0</v>
      </c>
      <c r="I34" s="675">
        <f t="shared" ca="1" si="9"/>
        <v>0</v>
      </c>
      <c r="J34" s="675">
        <f t="shared" ca="1" si="9"/>
        <v>0</v>
      </c>
      <c r="K34" s="675">
        <f t="shared" ca="1" si="9"/>
        <v>0</v>
      </c>
      <c r="L34" s="675">
        <f t="shared" ca="1" si="9"/>
        <v>0</v>
      </c>
      <c r="M34" s="675">
        <f t="shared" ca="1" si="9"/>
        <v>0</v>
      </c>
      <c r="N34" s="675">
        <f t="shared" ca="1" si="9"/>
        <v>0</v>
      </c>
      <c r="O34" s="675">
        <f t="shared" ca="1" si="9"/>
        <v>0</v>
      </c>
      <c r="P34" s="675">
        <f t="shared" ca="1" si="9"/>
        <v>0</v>
      </c>
      <c r="Q34" s="675">
        <f t="shared" ca="1" si="9"/>
        <v>0</v>
      </c>
      <c r="R34" s="675">
        <f t="shared" ca="1" si="9"/>
        <v>0</v>
      </c>
      <c r="S34" s="675">
        <f t="shared" ca="1" si="9"/>
        <v>0</v>
      </c>
      <c r="T34" s="804">
        <f t="shared" ca="1" si="5"/>
        <v>0</v>
      </c>
      <c r="U34" s="490"/>
      <c r="V34" s="491"/>
    </row>
    <row r="35" spans="1:22">
      <c r="A35" s="336">
        <f t="shared" si="10"/>
        <v>76</v>
      </c>
      <c r="B35" s="611">
        <f t="shared" si="10"/>
        <v>24</v>
      </c>
      <c r="C35" s="667" t="str">
        <f t="shared" ca="1" si="6"/>
        <v/>
      </c>
      <c r="D35" s="674">
        <f t="shared" ca="1" si="8"/>
        <v>0</v>
      </c>
      <c r="E35" s="674">
        <f t="shared" ca="1" si="9"/>
        <v>0</v>
      </c>
      <c r="F35" s="674">
        <f t="shared" ca="1" si="9"/>
        <v>0</v>
      </c>
      <c r="G35" s="674">
        <f t="shared" ca="1" si="9"/>
        <v>0</v>
      </c>
      <c r="H35" s="674">
        <f t="shared" ca="1" si="9"/>
        <v>0</v>
      </c>
      <c r="I35" s="674">
        <f t="shared" ca="1" si="9"/>
        <v>0</v>
      </c>
      <c r="J35" s="674">
        <f t="shared" ca="1" si="9"/>
        <v>0</v>
      </c>
      <c r="K35" s="674">
        <f t="shared" ca="1" si="9"/>
        <v>0</v>
      </c>
      <c r="L35" s="674">
        <f t="shared" ca="1" si="9"/>
        <v>0</v>
      </c>
      <c r="M35" s="674">
        <f t="shared" ca="1" si="9"/>
        <v>0</v>
      </c>
      <c r="N35" s="674">
        <f t="shared" ca="1" si="9"/>
        <v>0</v>
      </c>
      <c r="O35" s="674">
        <f t="shared" ca="1" si="9"/>
        <v>0</v>
      </c>
      <c r="P35" s="674">
        <f t="shared" ca="1" si="9"/>
        <v>0</v>
      </c>
      <c r="Q35" s="674">
        <f t="shared" ca="1" si="9"/>
        <v>0</v>
      </c>
      <c r="R35" s="674">
        <f t="shared" ca="1" si="9"/>
        <v>0</v>
      </c>
      <c r="S35" s="674">
        <f t="shared" ca="1" si="9"/>
        <v>0</v>
      </c>
      <c r="T35" s="803">
        <f t="shared" ca="1" si="5"/>
        <v>0</v>
      </c>
      <c r="U35" s="492"/>
      <c r="V35" s="493"/>
    </row>
    <row r="36" spans="1:22">
      <c r="A36" s="336">
        <f t="shared" ref="A36" si="12">A35+1</f>
        <v>77</v>
      </c>
      <c r="B36" s="615">
        <f t="shared" si="10"/>
        <v>25</v>
      </c>
      <c r="C36" s="668" t="str">
        <f t="shared" ca="1" si="6"/>
        <v/>
      </c>
      <c r="D36" s="675">
        <f t="shared" ca="1" si="8"/>
        <v>0</v>
      </c>
      <c r="E36" s="675">
        <f t="shared" ca="1" si="9"/>
        <v>0</v>
      </c>
      <c r="F36" s="675">
        <f t="shared" ca="1" si="9"/>
        <v>0</v>
      </c>
      <c r="G36" s="675">
        <f t="shared" ca="1" si="9"/>
        <v>0</v>
      </c>
      <c r="H36" s="675">
        <f t="shared" ca="1" si="9"/>
        <v>0</v>
      </c>
      <c r="I36" s="675">
        <f t="shared" ca="1" si="9"/>
        <v>0</v>
      </c>
      <c r="J36" s="675">
        <f t="shared" ca="1" si="9"/>
        <v>0</v>
      </c>
      <c r="K36" s="675">
        <f t="shared" ca="1" si="9"/>
        <v>0</v>
      </c>
      <c r="L36" s="675">
        <f t="shared" ca="1" si="9"/>
        <v>0</v>
      </c>
      <c r="M36" s="675">
        <f t="shared" ca="1" si="9"/>
        <v>0</v>
      </c>
      <c r="N36" s="675">
        <f t="shared" ca="1" si="9"/>
        <v>0</v>
      </c>
      <c r="O36" s="675">
        <f t="shared" ca="1" si="9"/>
        <v>0</v>
      </c>
      <c r="P36" s="675">
        <f t="shared" ca="1" si="9"/>
        <v>0</v>
      </c>
      <c r="Q36" s="675">
        <f t="shared" ca="1" si="9"/>
        <v>0</v>
      </c>
      <c r="R36" s="675">
        <f t="shared" ca="1" si="9"/>
        <v>0</v>
      </c>
      <c r="S36" s="675">
        <f t="shared" ca="1" si="9"/>
        <v>0</v>
      </c>
      <c r="T36" s="804">
        <f t="shared" ca="1" si="5"/>
        <v>0</v>
      </c>
      <c r="U36" s="490"/>
      <c r="V36" s="491"/>
    </row>
    <row r="37" spans="1:22">
      <c r="A37" s="336">
        <f t="shared" ref="A37" si="13">A36+1</f>
        <v>78</v>
      </c>
      <c r="B37" s="611">
        <f t="shared" si="10"/>
        <v>26</v>
      </c>
      <c r="C37" s="667" t="str">
        <f t="shared" ca="1" si="6"/>
        <v/>
      </c>
      <c r="D37" s="674">
        <f t="shared" ref="D37:S50" ca="1" si="14">INDIRECT(D$1&amp;"!"&amp;VLOOKUP($C$3,mdr,2,0)&amp;$A37)</f>
        <v>0</v>
      </c>
      <c r="E37" s="674">
        <f t="shared" ca="1" si="9"/>
        <v>0</v>
      </c>
      <c r="F37" s="674">
        <f t="shared" ca="1" si="9"/>
        <v>0</v>
      </c>
      <c r="G37" s="674">
        <f t="shared" ca="1" si="9"/>
        <v>0</v>
      </c>
      <c r="H37" s="674">
        <f t="shared" ca="1" si="9"/>
        <v>0</v>
      </c>
      <c r="I37" s="674">
        <f t="shared" ca="1" si="9"/>
        <v>0</v>
      </c>
      <c r="J37" s="674">
        <f t="shared" ca="1" si="9"/>
        <v>0</v>
      </c>
      <c r="K37" s="674">
        <f t="shared" ca="1" si="9"/>
        <v>0</v>
      </c>
      <c r="L37" s="674">
        <f t="shared" ca="1" si="9"/>
        <v>0</v>
      </c>
      <c r="M37" s="674">
        <f t="shared" ca="1" si="9"/>
        <v>0</v>
      </c>
      <c r="N37" s="674">
        <f t="shared" ca="1" si="9"/>
        <v>0</v>
      </c>
      <c r="O37" s="674">
        <f t="shared" ca="1" si="9"/>
        <v>0</v>
      </c>
      <c r="P37" s="674">
        <f t="shared" ca="1" si="9"/>
        <v>0</v>
      </c>
      <c r="Q37" s="674">
        <f t="shared" ca="1" si="9"/>
        <v>0</v>
      </c>
      <c r="R37" s="674">
        <f t="shared" ca="1" si="9"/>
        <v>0</v>
      </c>
      <c r="S37" s="674">
        <f t="shared" ca="1" si="9"/>
        <v>0</v>
      </c>
      <c r="T37" s="803">
        <f t="shared" ca="1" si="5"/>
        <v>0</v>
      </c>
      <c r="U37" s="492"/>
      <c r="V37" s="493"/>
    </row>
    <row r="38" spans="1:22">
      <c r="A38" s="336">
        <f t="shared" ref="A38" si="15">A37+1</f>
        <v>79</v>
      </c>
      <c r="B38" s="615">
        <f t="shared" si="10"/>
        <v>27</v>
      </c>
      <c r="C38" s="668" t="str">
        <f t="shared" ca="1" si="6"/>
        <v/>
      </c>
      <c r="D38" s="675">
        <f t="shared" ca="1" si="14"/>
        <v>0</v>
      </c>
      <c r="E38" s="675">
        <f t="shared" ca="1" si="9"/>
        <v>0</v>
      </c>
      <c r="F38" s="675">
        <f t="shared" ca="1" si="9"/>
        <v>0</v>
      </c>
      <c r="G38" s="675">
        <f t="shared" ca="1" si="9"/>
        <v>0</v>
      </c>
      <c r="H38" s="675">
        <f t="shared" ca="1" si="9"/>
        <v>0</v>
      </c>
      <c r="I38" s="675">
        <f t="shared" ca="1" si="9"/>
        <v>0</v>
      </c>
      <c r="J38" s="675">
        <f t="shared" ca="1" si="9"/>
        <v>0</v>
      </c>
      <c r="K38" s="675">
        <f t="shared" ca="1" si="9"/>
        <v>0</v>
      </c>
      <c r="L38" s="675">
        <f t="shared" ca="1" si="9"/>
        <v>0</v>
      </c>
      <c r="M38" s="675">
        <f t="shared" ca="1" si="9"/>
        <v>0</v>
      </c>
      <c r="N38" s="675">
        <f t="shared" ca="1" si="9"/>
        <v>0</v>
      </c>
      <c r="O38" s="675">
        <f t="shared" ca="1" si="9"/>
        <v>0</v>
      </c>
      <c r="P38" s="675">
        <f t="shared" ca="1" si="9"/>
        <v>0</v>
      </c>
      <c r="Q38" s="675">
        <f t="shared" ca="1" si="9"/>
        <v>0</v>
      </c>
      <c r="R38" s="675">
        <f t="shared" ca="1" si="9"/>
        <v>0</v>
      </c>
      <c r="S38" s="675">
        <f t="shared" ca="1" si="9"/>
        <v>0</v>
      </c>
      <c r="T38" s="804">
        <f t="shared" ca="1" si="5"/>
        <v>0</v>
      </c>
      <c r="U38" s="490"/>
      <c r="V38" s="491"/>
    </row>
    <row r="39" spans="1:22">
      <c r="A39" s="336">
        <f t="shared" ref="A39" si="16">A38+1</f>
        <v>80</v>
      </c>
      <c r="B39" s="611">
        <f t="shared" si="10"/>
        <v>28</v>
      </c>
      <c r="C39" s="667" t="str">
        <f t="shared" ca="1" si="6"/>
        <v/>
      </c>
      <c r="D39" s="674">
        <f t="shared" ca="1" si="14"/>
        <v>0</v>
      </c>
      <c r="E39" s="674">
        <f t="shared" ca="1" si="9"/>
        <v>0</v>
      </c>
      <c r="F39" s="674">
        <f t="shared" ca="1" si="9"/>
        <v>0</v>
      </c>
      <c r="G39" s="674">
        <f t="shared" ca="1" si="9"/>
        <v>0</v>
      </c>
      <c r="H39" s="674">
        <f t="shared" ca="1" si="9"/>
        <v>0</v>
      </c>
      <c r="I39" s="674">
        <f t="shared" ca="1" si="9"/>
        <v>0</v>
      </c>
      <c r="J39" s="674">
        <f t="shared" ca="1" si="9"/>
        <v>0</v>
      </c>
      <c r="K39" s="674">
        <f t="shared" ca="1" si="9"/>
        <v>0</v>
      </c>
      <c r="L39" s="674">
        <f t="shared" ca="1" si="9"/>
        <v>0</v>
      </c>
      <c r="M39" s="674">
        <f t="shared" ca="1" si="9"/>
        <v>0</v>
      </c>
      <c r="N39" s="674">
        <f t="shared" ca="1" si="9"/>
        <v>0</v>
      </c>
      <c r="O39" s="674">
        <f t="shared" ca="1" si="9"/>
        <v>0</v>
      </c>
      <c r="P39" s="674">
        <f t="shared" ca="1" si="9"/>
        <v>0</v>
      </c>
      <c r="Q39" s="674">
        <f t="shared" ca="1" si="9"/>
        <v>0</v>
      </c>
      <c r="R39" s="674">
        <f t="shared" ca="1" si="9"/>
        <v>0</v>
      </c>
      <c r="S39" s="674">
        <f t="shared" ca="1" si="9"/>
        <v>0</v>
      </c>
      <c r="T39" s="803">
        <f t="shared" ca="1" si="5"/>
        <v>0</v>
      </c>
      <c r="U39" s="492"/>
      <c r="V39" s="493"/>
    </row>
    <row r="40" spans="1:22">
      <c r="A40" s="336">
        <f t="shared" ref="A40" si="17">A39+1</f>
        <v>81</v>
      </c>
      <c r="B40" s="759">
        <f t="shared" si="10"/>
        <v>29</v>
      </c>
      <c r="C40" s="668" t="str">
        <f t="shared" ca="1" si="6"/>
        <v/>
      </c>
      <c r="D40" s="772">
        <f t="shared" ca="1" si="14"/>
        <v>0</v>
      </c>
      <c r="E40" s="772">
        <f t="shared" ca="1" si="14"/>
        <v>0</v>
      </c>
      <c r="F40" s="772">
        <f t="shared" ca="1" si="14"/>
        <v>0</v>
      </c>
      <c r="G40" s="772">
        <f t="shared" ca="1" si="14"/>
        <v>0</v>
      </c>
      <c r="H40" s="772">
        <f t="shared" ca="1" si="14"/>
        <v>0</v>
      </c>
      <c r="I40" s="772">
        <f t="shared" ca="1" si="14"/>
        <v>0</v>
      </c>
      <c r="J40" s="772">
        <f t="shared" ca="1" si="14"/>
        <v>0</v>
      </c>
      <c r="K40" s="772">
        <f t="shared" ca="1" si="14"/>
        <v>0</v>
      </c>
      <c r="L40" s="772">
        <f t="shared" ca="1" si="14"/>
        <v>0</v>
      </c>
      <c r="M40" s="772">
        <f t="shared" ca="1" si="14"/>
        <v>0</v>
      </c>
      <c r="N40" s="772">
        <f t="shared" ca="1" si="14"/>
        <v>0</v>
      </c>
      <c r="O40" s="772">
        <f t="shared" ca="1" si="14"/>
        <v>0</v>
      </c>
      <c r="P40" s="772">
        <f t="shared" ca="1" si="14"/>
        <v>0</v>
      </c>
      <c r="Q40" s="772">
        <f t="shared" ca="1" si="14"/>
        <v>0</v>
      </c>
      <c r="R40" s="772">
        <f t="shared" ca="1" si="14"/>
        <v>0</v>
      </c>
      <c r="S40" s="772">
        <f t="shared" ca="1" si="14"/>
        <v>0</v>
      </c>
      <c r="T40" s="805">
        <f t="shared" ca="1" si="5"/>
        <v>0</v>
      </c>
      <c r="U40" s="492"/>
      <c r="V40" s="493"/>
    </row>
    <row r="41" spans="1:22">
      <c r="A41" s="336">
        <f t="shared" ref="A41" si="18">A40+1</f>
        <v>82</v>
      </c>
      <c r="B41" s="611">
        <f t="shared" si="10"/>
        <v>30</v>
      </c>
      <c r="C41" s="667" t="str">
        <f t="shared" ca="1" si="6"/>
        <v/>
      </c>
      <c r="D41" s="674">
        <f t="shared" ca="1" si="14"/>
        <v>0</v>
      </c>
      <c r="E41" s="674">
        <f t="shared" ca="1" si="9"/>
        <v>0</v>
      </c>
      <c r="F41" s="674">
        <f t="shared" ca="1" si="9"/>
        <v>0</v>
      </c>
      <c r="G41" s="674">
        <f t="shared" ca="1" si="9"/>
        <v>0</v>
      </c>
      <c r="H41" s="674">
        <f t="shared" ca="1" si="9"/>
        <v>0</v>
      </c>
      <c r="I41" s="674">
        <f t="shared" ca="1" si="9"/>
        <v>0</v>
      </c>
      <c r="J41" s="674">
        <f t="shared" ca="1" si="9"/>
        <v>0</v>
      </c>
      <c r="K41" s="674">
        <f t="shared" ca="1" si="9"/>
        <v>0</v>
      </c>
      <c r="L41" s="674">
        <f t="shared" ca="1" si="9"/>
        <v>0</v>
      </c>
      <c r="M41" s="674">
        <f t="shared" ca="1" si="9"/>
        <v>0</v>
      </c>
      <c r="N41" s="674">
        <f t="shared" ca="1" si="9"/>
        <v>0</v>
      </c>
      <c r="O41" s="674">
        <f t="shared" ca="1" si="9"/>
        <v>0</v>
      </c>
      <c r="P41" s="674">
        <f t="shared" ca="1" si="9"/>
        <v>0</v>
      </c>
      <c r="Q41" s="674">
        <f t="shared" ca="1" si="9"/>
        <v>0</v>
      </c>
      <c r="R41" s="674">
        <f t="shared" ca="1" si="9"/>
        <v>0</v>
      </c>
      <c r="S41" s="674">
        <f t="shared" ca="1" si="9"/>
        <v>0</v>
      </c>
      <c r="T41" s="803">
        <f t="shared" ca="1" si="5"/>
        <v>0</v>
      </c>
      <c r="U41" s="492"/>
      <c r="V41" s="493"/>
    </row>
    <row r="42" spans="1:22">
      <c r="A42" s="336">
        <f t="shared" ref="A42" si="19">A41+1</f>
        <v>83</v>
      </c>
      <c r="B42" s="615">
        <f t="shared" si="10"/>
        <v>31</v>
      </c>
      <c r="C42" s="668" t="str">
        <f t="shared" ca="1" si="6"/>
        <v/>
      </c>
      <c r="D42" s="675">
        <f t="shared" ca="1" si="14"/>
        <v>0</v>
      </c>
      <c r="E42" s="675">
        <f t="shared" ca="1" si="9"/>
        <v>0</v>
      </c>
      <c r="F42" s="675">
        <f t="shared" ca="1" si="9"/>
        <v>0</v>
      </c>
      <c r="G42" s="675">
        <f t="shared" ca="1" si="9"/>
        <v>0</v>
      </c>
      <c r="H42" s="675">
        <f t="shared" ca="1" si="9"/>
        <v>0</v>
      </c>
      <c r="I42" s="675">
        <f t="shared" ca="1" si="9"/>
        <v>0</v>
      </c>
      <c r="J42" s="675">
        <f t="shared" ca="1" si="9"/>
        <v>0</v>
      </c>
      <c r="K42" s="675">
        <f t="shared" ca="1" si="9"/>
        <v>0</v>
      </c>
      <c r="L42" s="675">
        <f t="shared" ca="1" si="9"/>
        <v>0</v>
      </c>
      <c r="M42" s="675">
        <f t="shared" ca="1" si="9"/>
        <v>0</v>
      </c>
      <c r="N42" s="675">
        <f t="shared" ca="1" si="9"/>
        <v>0</v>
      </c>
      <c r="O42" s="675">
        <f t="shared" ca="1" si="9"/>
        <v>0</v>
      </c>
      <c r="P42" s="675">
        <f t="shared" ca="1" si="9"/>
        <v>0</v>
      </c>
      <c r="Q42" s="675">
        <f t="shared" ca="1" si="9"/>
        <v>0</v>
      </c>
      <c r="R42" s="675">
        <f t="shared" ca="1" si="9"/>
        <v>0</v>
      </c>
      <c r="S42" s="675">
        <f t="shared" ca="1" si="9"/>
        <v>0</v>
      </c>
      <c r="T42" s="804">
        <f t="shared" ca="1" si="5"/>
        <v>0</v>
      </c>
      <c r="U42" s="490"/>
      <c r="V42" s="491"/>
    </row>
    <row r="43" spans="1:22">
      <c r="A43" s="336">
        <f t="shared" ref="A43" si="20">A42+1</f>
        <v>84</v>
      </c>
      <c r="B43" s="611">
        <f t="shared" si="10"/>
        <v>32</v>
      </c>
      <c r="C43" s="667" t="str">
        <f t="shared" ca="1" si="6"/>
        <v/>
      </c>
      <c r="D43" s="674">
        <f t="shared" ref="D43:S44" ca="1" si="21">IF(ISNUMBER(INDIRECT(D$1&amp;"!"&amp;VLOOKUP($C$3,mdr,2,0)&amp;$A43)),INDIRECT(D$1&amp;"!"&amp;VLOOKUP($C$3,mdr,2,0)&amp;$A43),"")</f>
        <v>0</v>
      </c>
      <c r="E43" s="674">
        <f t="shared" ca="1" si="21"/>
        <v>0</v>
      </c>
      <c r="F43" s="674">
        <f t="shared" ca="1" si="21"/>
        <v>0</v>
      </c>
      <c r="G43" s="674">
        <f t="shared" ca="1" si="21"/>
        <v>0</v>
      </c>
      <c r="H43" s="674">
        <f t="shared" ca="1" si="21"/>
        <v>0</v>
      </c>
      <c r="I43" s="674">
        <f t="shared" ca="1" si="21"/>
        <v>0</v>
      </c>
      <c r="J43" s="674">
        <f t="shared" ca="1" si="21"/>
        <v>0</v>
      </c>
      <c r="K43" s="674">
        <f t="shared" ca="1" si="21"/>
        <v>0</v>
      </c>
      <c r="L43" s="674">
        <f t="shared" ca="1" si="21"/>
        <v>0</v>
      </c>
      <c r="M43" s="674">
        <f t="shared" ca="1" si="21"/>
        <v>0</v>
      </c>
      <c r="N43" s="674">
        <f t="shared" ca="1" si="21"/>
        <v>0</v>
      </c>
      <c r="O43" s="674">
        <f t="shared" ca="1" si="21"/>
        <v>0</v>
      </c>
      <c r="P43" s="674">
        <f t="shared" ca="1" si="21"/>
        <v>0</v>
      </c>
      <c r="Q43" s="674">
        <f t="shared" ca="1" si="21"/>
        <v>0</v>
      </c>
      <c r="R43" s="674">
        <f t="shared" ca="1" si="21"/>
        <v>0</v>
      </c>
      <c r="S43" s="674">
        <f t="shared" ca="1" si="21"/>
        <v>0</v>
      </c>
      <c r="T43" s="803">
        <f t="shared" ca="1" si="5"/>
        <v>0</v>
      </c>
      <c r="U43" s="492"/>
      <c r="V43" s="493"/>
    </row>
    <row r="44" spans="1:22">
      <c r="A44" s="336">
        <f t="shared" ref="A44:A52" si="22">A43+1</f>
        <v>85</v>
      </c>
      <c r="B44" s="615">
        <f t="shared" si="10"/>
        <v>33</v>
      </c>
      <c r="C44" s="668" t="str">
        <f t="shared" ca="1" si="6"/>
        <v/>
      </c>
      <c r="D44" s="772">
        <f t="shared" ca="1" si="21"/>
        <v>0</v>
      </c>
      <c r="E44" s="772">
        <f t="shared" ca="1" si="21"/>
        <v>0</v>
      </c>
      <c r="F44" s="772">
        <f t="shared" ca="1" si="21"/>
        <v>0</v>
      </c>
      <c r="G44" s="772">
        <f t="shared" ca="1" si="21"/>
        <v>0</v>
      </c>
      <c r="H44" s="772">
        <f t="shared" ca="1" si="21"/>
        <v>0</v>
      </c>
      <c r="I44" s="772">
        <f t="shared" ca="1" si="21"/>
        <v>0</v>
      </c>
      <c r="J44" s="772">
        <f t="shared" ca="1" si="21"/>
        <v>0</v>
      </c>
      <c r="K44" s="772">
        <f t="shared" ca="1" si="21"/>
        <v>0</v>
      </c>
      <c r="L44" s="772">
        <f t="shared" ca="1" si="21"/>
        <v>0</v>
      </c>
      <c r="M44" s="772">
        <f t="shared" ca="1" si="21"/>
        <v>0</v>
      </c>
      <c r="N44" s="772">
        <f t="shared" ca="1" si="21"/>
        <v>0</v>
      </c>
      <c r="O44" s="772">
        <f t="shared" ca="1" si="21"/>
        <v>0</v>
      </c>
      <c r="P44" s="772">
        <f t="shared" ca="1" si="21"/>
        <v>0</v>
      </c>
      <c r="Q44" s="772">
        <f t="shared" ca="1" si="21"/>
        <v>0</v>
      </c>
      <c r="R44" s="772">
        <f t="shared" ca="1" si="21"/>
        <v>0</v>
      </c>
      <c r="S44" s="772">
        <f t="shared" ca="1" si="21"/>
        <v>0</v>
      </c>
      <c r="T44" s="804">
        <f t="shared" ca="1" si="5"/>
        <v>0</v>
      </c>
      <c r="U44" s="490"/>
      <c r="V44" s="491"/>
    </row>
    <row r="45" spans="1:22">
      <c r="A45" s="336">
        <f t="shared" si="22"/>
        <v>86</v>
      </c>
      <c r="B45" s="611">
        <f t="shared" si="10"/>
        <v>34</v>
      </c>
      <c r="C45" s="667" t="str">
        <f t="shared" ca="1" si="6"/>
        <v/>
      </c>
      <c r="D45" s="674">
        <f t="shared" ca="1" si="14"/>
        <v>0</v>
      </c>
      <c r="E45" s="674">
        <f t="shared" ca="1" si="9"/>
        <v>0</v>
      </c>
      <c r="F45" s="674">
        <f t="shared" ca="1" si="9"/>
        <v>0</v>
      </c>
      <c r="G45" s="674">
        <f t="shared" ca="1" si="9"/>
        <v>0</v>
      </c>
      <c r="H45" s="674">
        <f t="shared" ca="1" si="9"/>
        <v>0</v>
      </c>
      <c r="I45" s="674">
        <f t="shared" ca="1" si="9"/>
        <v>0</v>
      </c>
      <c r="J45" s="674">
        <f t="shared" ca="1" si="9"/>
        <v>0</v>
      </c>
      <c r="K45" s="674">
        <f t="shared" ca="1" si="9"/>
        <v>0</v>
      </c>
      <c r="L45" s="674">
        <f t="shared" ca="1" si="9"/>
        <v>0</v>
      </c>
      <c r="M45" s="674">
        <f t="shared" ca="1" si="9"/>
        <v>0</v>
      </c>
      <c r="N45" s="674">
        <f t="shared" ca="1" si="9"/>
        <v>0</v>
      </c>
      <c r="O45" s="674">
        <f t="shared" ca="1" si="9"/>
        <v>0</v>
      </c>
      <c r="P45" s="674">
        <f t="shared" ca="1" si="9"/>
        <v>0</v>
      </c>
      <c r="Q45" s="674">
        <f t="shared" ca="1" si="9"/>
        <v>0</v>
      </c>
      <c r="R45" s="674">
        <f t="shared" ca="1" si="9"/>
        <v>0</v>
      </c>
      <c r="S45" s="674">
        <f t="shared" ca="1" si="9"/>
        <v>0</v>
      </c>
      <c r="T45" s="803">
        <f t="shared" ca="1" si="5"/>
        <v>0</v>
      </c>
      <c r="U45" s="492"/>
      <c r="V45" s="493"/>
    </row>
    <row r="46" spans="1:22">
      <c r="A46" s="336">
        <f t="shared" si="22"/>
        <v>87</v>
      </c>
      <c r="B46" s="615">
        <f t="shared" ref="B46:B89" si="23">B45+1</f>
        <v>35</v>
      </c>
      <c r="C46" s="668" t="str">
        <f t="shared" ca="1" si="6"/>
        <v/>
      </c>
      <c r="D46" s="675">
        <f t="shared" ca="1" si="14"/>
        <v>0</v>
      </c>
      <c r="E46" s="675">
        <f t="shared" ref="E46:S59" ca="1" si="24">INDIRECT(E$1&amp;"!"&amp;VLOOKUP($C$3,mdr,2,0)&amp;$A46)</f>
        <v>0</v>
      </c>
      <c r="F46" s="675">
        <f t="shared" ca="1" si="24"/>
        <v>0</v>
      </c>
      <c r="G46" s="675">
        <f t="shared" ca="1" si="24"/>
        <v>0</v>
      </c>
      <c r="H46" s="675">
        <f t="shared" ca="1" si="24"/>
        <v>0</v>
      </c>
      <c r="I46" s="675">
        <f t="shared" ca="1" si="24"/>
        <v>0</v>
      </c>
      <c r="J46" s="675">
        <f t="shared" ca="1" si="24"/>
        <v>0</v>
      </c>
      <c r="K46" s="675">
        <f t="shared" ca="1" si="24"/>
        <v>0</v>
      </c>
      <c r="L46" s="675">
        <f t="shared" ca="1" si="24"/>
        <v>0</v>
      </c>
      <c r="M46" s="675">
        <f t="shared" ca="1" si="24"/>
        <v>0</v>
      </c>
      <c r="N46" s="675">
        <f t="shared" ca="1" si="24"/>
        <v>0</v>
      </c>
      <c r="O46" s="675">
        <f t="shared" ca="1" si="24"/>
        <v>0</v>
      </c>
      <c r="P46" s="675">
        <f t="shared" ca="1" si="24"/>
        <v>0</v>
      </c>
      <c r="Q46" s="675">
        <f t="shared" ca="1" si="24"/>
        <v>0</v>
      </c>
      <c r="R46" s="675">
        <f t="shared" ca="1" si="24"/>
        <v>0</v>
      </c>
      <c r="S46" s="675">
        <f t="shared" ca="1" si="24"/>
        <v>0</v>
      </c>
      <c r="T46" s="804">
        <f t="shared" ca="1" si="5"/>
        <v>0</v>
      </c>
      <c r="U46" s="490"/>
      <c r="V46" s="491"/>
    </row>
    <row r="47" spans="1:22">
      <c r="A47" s="336">
        <f t="shared" si="22"/>
        <v>88</v>
      </c>
      <c r="B47" s="1076">
        <f t="shared" si="23"/>
        <v>36</v>
      </c>
      <c r="C47" s="1086" t="str">
        <f t="shared" ca="1" si="6"/>
        <v/>
      </c>
      <c r="D47" s="1087">
        <f t="shared" ca="1" si="14"/>
        <v>0</v>
      </c>
      <c r="E47" s="1087">
        <f t="shared" ca="1" si="24"/>
        <v>0</v>
      </c>
      <c r="F47" s="1087">
        <f t="shared" ca="1" si="24"/>
        <v>0</v>
      </c>
      <c r="G47" s="1087">
        <f t="shared" ca="1" si="24"/>
        <v>0</v>
      </c>
      <c r="H47" s="1087">
        <f t="shared" ca="1" si="24"/>
        <v>0</v>
      </c>
      <c r="I47" s="1087">
        <f t="shared" ca="1" si="24"/>
        <v>0</v>
      </c>
      <c r="J47" s="1087">
        <f t="shared" ca="1" si="24"/>
        <v>0</v>
      </c>
      <c r="K47" s="1087">
        <f t="shared" ca="1" si="24"/>
        <v>0</v>
      </c>
      <c r="L47" s="1087">
        <f t="shared" ca="1" si="24"/>
        <v>0</v>
      </c>
      <c r="M47" s="1087">
        <f t="shared" ca="1" si="24"/>
        <v>0</v>
      </c>
      <c r="N47" s="1087">
        <f t="shared" ca="1" si="24"/>
        <v>0</v>
      </c>
      <c r="O47" s="1087">
        <f t="shared" ca="1" si="24"/>
        <v>0</v>
      </c>
      <c r="P47" s="1087">
        <f t="shared" ca="1" si="24"/>
        <v>0</v>
      </c>
      <c r="Q47" s="1087">
        <f t="shared" ca="1" si="24"/>
        <v>0</v>
      </c>
      <c r="R47" s="1087">
        <f t="shared" ca="1" si="24"/>
        <v>0</v>
      </c>
      <c r="S47" s="1087">
        <f t="shared" ca="1" si="24"/>
        <v>0</v>
      </c>
      <c r="T47" s="1088">
        <f t="shared" ca="1" si="5"/>
        <v>0</v>
      </c>
      <c r="U47" s="492"/>
      <c r="V47" s="493"/>
    </row>
    <row r="48" spans="1:22" ht="14" thickBot="1">
      <c r="A48" s="336">
        <f t="shared" si="22"/>
        <v>89</v>
      </c>
      <c r="B48" s="1081">
        <f t="shared" si="23"/>
        <v>37</v>
      </c>
      <c r="C48" s="1082" t="str">
        <f t="shared" ca="1" si="6"/>
        <v/>
      </c>
      <c r="D48" s="1083">
        <f t="shared" ca="1" si="14"/>
        <v>0</v>
      </c>
      <c r="E48" s="1084">
        <f t="shared" ca="1" si="24"/>
        <v>0</v>
      </c>
      <c r="F48" s="1084">
        <f t="shared" ca="1" si="24"/>
        <v>0</v>
      </c>
      <c r="G48" s="1084">
        <f t="shared" ca="1" si="24"/>
        <v>0</v>
      </c>
      <c r="H48" s="1084">
        <f t="shared" ca="1" si="24"/>
        <v>0</v>
      </c>
      <c r="I48" s="1084">
        <f t="shared" ca="1" si="24"/>
        <v>0</v>
      </c>
      <c r="J48" s="1084">
        <f t="shared" ca="1" si="24"/>
        <v>0</v>
      </c>
      <c r="K48" s="1084">
        <f t="shared" ca="1" si="24"/>
        <v>0</v>
      </c>
      <c r="L48" s="1084">
        <f t="shared" ca="1" si="24"/>
        <v>0</v>
      </c>
      <c r="M48" s="1084">
        <f t="shared" ca="1" si="24"/>
        <v>0</v>
      </c>
      <c r="N48" s="1084">
        <f t="shared" ca="1" si="24"/>
        <v>0</v>
      </c>
      <c r="O48" s="1084">
        <f t="shared" ca="1" si="24"/>
        <v>0</v>
      </c>
      <c r="P48" s="1084">
        <f t="shared" ca="1" si="24"/>
        <v>0</v>
      </c>
      <c r="Q48" s="1084">
        <f t="shared" ca="1" si="24"/>
        <v>0</v>
      </c>
      <c r="R48" s="1084">
        <f t="shared" ca="1" si="24"/>
        <v>0</v>
      </c>
      <c r="S48" s="1084">
        <f t="shared" ca="1" si="24"/>
        <v>0</v>
      </c>
      <c r="T48" s="1085">
        <f t="shared" ca="1" si="5"/>
        <v>0</v>
      </c>
      <c r="U48" s="490"/>
      <c r="V48" s="491"/>
    </row>
    <row r="49" spans="1:22" ht="14" thickTop="1">
      <c r="A49" s="336">
        <f t="shared" si="22"/>
        <v>90</v>
      </c>
      <c r="B49" s="968">
        <f t="shared" si="23"/>
        <v>38</v>
      </c>
      <c r="C49" s="1077" t="str">
        <f t="shared" ca="1" si="6"/>
        <v/>
      </c>
      <c r="D49" s="1078">
        <f t="shared" ca="1" si="14"/>
        <v>0</v>
      </c>
      <c r="E49" s="1079">
        <f t="shared" ca="1" si="24"/>
        <v>0</v>
      </c>
      <c r="F49" s="1079">
        <f t="shared" ca="1" si="24"/>
        <v>0</v>
      </c>
      <c r="G49" s="1079">
        <f t="shared" ca="1" si="24"/>
        <v>0</v>
      </c>
      <c r="H49" s="1079">
        <f t="shared" ca="1" si="24"/>
        <v>0</v>
      </c>
      <c r="I49" s="1079">
        <f t="shared" ca="1" si="24"/>
        <v>0</v>
      </c>
      <c r="J49" s="1079">
        <f t="shared" ca="1" si="24"/>
        <v>0</v>
      </c>
      <c r="K49" s="1079">
        <f t="shared" ca="1" si="24"/>
        <v>0</v>
      </c>
      <c r="L49" s="1079">
        <f t="shared" ca="1" si="24"/>
        <v>0</v>
      </c>
      <c r="M49" s="1079">
        <f t="shared" ca="1" si="24"/>
        <v>0</v>
      </c>
      <c r="N49" s="1079">
        <f t="shared" ca="1" si="24"/>
        <v>0</v>
      </c>
      <c r="O49" s="1079">
        <f t="shared" ca="1" si="24"/>
        <v>0</v>
      </c>
      <c r="P49" s="1079">
        <f t="shared" ca="1" si="24"/>
        <v>0</v>
      </c>
      <c r="Q49" s="1079">
        <f t="shared" ca="1" si="24"/>
        <v>0</v>
      </c>
      <c r="R49" s="1079">
        <f t="shared" ca="1" si="24"/>
        <v>0</v>
      </c>
      <c r="S49" s="1079">
        <f t="shared" ca="1" si="24"/>
        <v>0</v>
      </c>
      <c r="T49" s="1080">
        <f t="shared" ca="1" si="5"/>
        <v>0</v>
      </c>
      <c r="U49" s="492"/>
      <c r="V49" s="493"/>
    </row>
    <row r="50" spans="1:22" s="870" customFormat="1" ht="14" thickBot="1">
      <c r="A50" s="336">
        <f t="shared" si="22"/>
        <v>91</v>
      </c>
      <c r="B50" s="967">
        <f t="shared" si="23"/>
        <v>39</v>
      </c>
      <c r="C50" s="670" t="str">
        <f t="shared" ca="1" si="6"/>
        <v/>
      </c>
      <c r="D50" s="677">
        <f t="shared" ca="1" si="14"/>
        <v>0</v>
      </c>
      <c r="E50" s="677">
        <f t="shared" ca="1" si="24"/>
        <v>0</v>
      </c>
      <c r="F50" s="677">
        <f t="shared" ca="1" si="24"/>
        <v>0</v>
      </c>
      <c r="G50" s="677">
        <f t="shared" ca="1" si="24"/>
        <v>0</v>
      </c>
      <c r="H50" s="677">
        <f t="shared" ca="1" si="24"/>
        <v>0</v>
      </c>
      <c r="I50" s="677">
        <f t="shared" ca="1" si="24"/>
        <v>0</v>
      </c>
      <c r="J50" s="677">
        <f t="shared" ca="1" si="24"/>
        <v>0</v>
      </c>
      <c r="K50" s="677">
        <f t="shared" ca="1" si="24"/>
        <v>0</v>
      </c>
      <c r="L50" s="677">
        <f t="shared" ca="1" si="24"/>
        <v>0</v>
      </c>
      <c r="M50" s="677">
        <f t="shared" ca="1" si="24"/>
        <v>0</v>
      </c>
      <c r="N50" s="677">
        <f t="shared" ca="1" si="24"/>
        <v>0</v>
      </c>
      <c r="O50" s="677">
        <f t="shared" ca="1" si="24"/>
        <v>0</v>
      </c>
      <c r="P50" s="677">
        <f t="shared" ca="1" si="24"/>
        <v>0</v>
      </c>
      <c r="Q50" s="677">
        <f t="shared" ca="1" si="24"/>
        <v>0</v>
      </c>
      <c r="R50" s="677">
        <f t="shared" ca="1" si="24"/>
        <v>0</v>
      </c>
      <c r="S50" s="677">
        <f t="shared" ca="1" si="24"/>
        <v>0</v>
      </c>
      <c r="T50" s="807">
        <f t="shared" ca="1" si="5"/>
        <v>0</v>
      </c>
      <c r="U50" s="868"/>
      <c r="V50" s="869"/>
    </row>
    <row r="51" spans="1:22">
      <c r="A51" s="336">
        <f t="shared" si="22"/>
        <v>92</v>
      </c>
      <c r="B51" s="761">
        <f t="shared" si="23"/>
        <v>40</v>
      </c>
      <c r="C51" s="669" t="str">
        <f t="shared" ca="1" si="6"/>
        <v/>
      </c>
      <c r="D51" s="676">
        <f t="shared" ref="D51:D66" ca="1" si="25">INDIRECT(D$1&amp;"!"&amp;VLOOKUP($C$3,mdr,2,0)&amp;$A51)</f>
        <v>0</v>
      </c>
      <c r="E51" s="676">
        <f t="shared" ca="1" si="24"/>
        <v>0</v>
      </c>
      <c r="F51" s="676">
        <f t="shared" ca="1" si="24"/>
        <v>0</v>
      </c>
      <c r="G51" s="676">
        <f t="shared" ca="1" si="24"/>
        <v>0</v>
      </c>
      <c r="H51" s="676">
        <f t="shared" ca="1" si="24"/>
        <v>0</v>
      </c>
      <c r="I51" s="676">
        <f t="shared" ca="1" si="24"/>
        <v>0</v>
      </c>
      <c r="J51" s="676">
        <f t="shared" ca="1" si="24"/>
        <v>0</v>
      </c>
      <c r="K51" s="676">
        <f t="shared" ca="1" si="24"/>
        <v>0</v>
      </c>
      <c r="L51" s="676">
        <f t="shared" ca="1" si="24"/>
        <v>0</v>
      </c>
      <c r="M51" s="676">
        <f t="shared" ca="1" si="24"/>
        <v>0</v>
      </c>
      <c r="N51" s="676">
        <f t="shared" ca="1" si="24"/>
        <v>0</v>
      </c>
      <c r="O51" s="676">
        <f t="shared" ca="1" si="24"/>
        <v>0</v>
      </c>
      <c r="P51" s="676">
        <f t="shared" ca="1" si="24"/>
        <v>0</v>
      </c>
      <c r="Q51" s="676">
        <f t="shared" ca="1" si="24"/>
        <v>0</v>
      </c>
      <c r="R51" s="676">
        <f t="shared" ca="1" si="24"/>
        <v>0</v>
      </c>
      <c r="S51" s="676">
        <f t="shared" ca="1" si="24"/>
        <v>0</v>
      </c>
      <c r="T51" s="806">
        <f t="shared" ca="1" si="5"/>
        <v>0</v>
      </c>
      <c r="U51" s="866"/>
      <c r="V51" s="867"/>
    </row>
    <row r="52" spans="1:22">
      <c r="A52" s="336">
        <f t="shared" si="22"/>
        <v>93</v>
      </c>
      <c r="B52" s="623">
        <f t="shared" si="23"/>
        <v>41</v>
      </c>
      <c r="C52" s="670" t="str">
        <f t="shared" ca="1" si="6"/>
        <v/>
      </c>
      <c r="D52" s="677">
        <f t="shared" ca="1" si="25"/>
        <v>0</v>
      </c>
      <c r="E52" s="677">
        <f t="shared" ca="1" si="24"/>
        <v>0</v>
      </c>
      <c r="F52" s="677">
        <f t="shared" ca="1" si="24"/>
        <v>0</v>
      </c>
      <c r="G52" s="677">
        <f t="shared" ca="1" si="24"/>
        <v>0</v>
      </c>
      <c r="H52" s="677">
        <f t="shared" ca="1" si="24"/>
        <v>0</v>
      </c>
      <c r="I52" s="677">
        <f t="shared" ca="1" si="24"/>
        <v>0</v>
      </c>
      <c r="J52" s="677">
        <f t="shared" ca="1" si="24"/>
        <v>0</v>
      </c>
      <c r="K52" s="677">
        <f t="shared" ca="1" si="24"/>
        <v>0</v>
      </c>
      <c r="L52" s="677">
        <f t="shared" ca="1" si="24"/>
        <v>0</v>
      </c>
      <c r="M52" s="677">
        <f t="shared" ca="1" si="24"/>
        <v>0</v>
      </c>
      <c r="N52" s="677">
        <f t="shared" ca="1" si="24"/>
        <v>0</v>
      </c>
      <c r="O52" s="677">
        <f t="shared" ca="1" si="24"/>
        <v>0</v>
      </c>
      <c r="P52" s="677">
        <f t="shared" ca="1" si="24"/>
        <v>0</v>
      </c>
      <c r="Q52" s="677">
        <f t="shared" ca="1" si="24"/>
        <v>0</v>
      </c>
      <c r="R52" s="677">
        <f t="shared" ca="1" si="24"/>
        <v>0</v>
      </c>
      <c r="S52" s="677">
        <f t="shared" ca="1" si="24"/>
        <v>0</v>
      </c>
      <c r="T52" s="807">
        <f t="shared" ca="1" si="5"/>
        <v>0</v>
      </c>
      <c r="U52" s="490"/>
      <c r="V52" s="491"/>
    </row>
    <row r="53" spans="1:22">
      <c r="A53" s="336">
        <f t="shared" ref="A53" si="26">A52+1</f>
        <v>94</v>
      </c>
      <c r="B53" s="619">
        <f t="shared" si="23"/>
        <v>42</v>
      </c>
      <c r="C53" s="669" t="str">
        <f t="shared" ca="1" si="6"/>
        <v/>
      </c>
      <c r="D53" s="676">
        <f t="shared" ca="1" si="25"/>
        <v>0</v>
      </c>
      <c r="E53" s="676">
        <f t="shared" ca="1" si="24"/>
        <v>0</v>
      </c>
      <c r="F53" s="676">
        <f t="shared" ca="1" si="24"/>
        <v>0</v>
      </c>
      <c r="G53" s="676">
        <f t="shared" ca="1" si="24"/>
        <v>0</v>
      </c>
      <c r="H53" s="676">
        <f t="shared" ca="1" si="24"/>
        <v>0</v>
      </c>
      <c r="I53" s="676">
        <f t="shared" ca="1" si="24"/>
        <v>0</v>
      </c>
      <c r="J53" s="676">
        <f t="shared" ca="1" si="24"/>
        <v>0</v>
      </c>
      <c r="K53" s="676">
        <f t="shared" ca="1" si="24"/>
        <v>0</v>
      </c>
      <c r="L53" s="676">
        <f t="shared" ca="1" si="24"/>
        <v>0</v>
      </c>
      <c r="M53" s="676">
        <f t="shared" ca="1" si="24"/>
        <v>0</v>
      </c>
      <c r="N53" s="676">
        <f t="shared" ca="1" si="24"/>
        <v>0</v>
      </c>
      <c r="O53" s="676">
        <f t="shared" ca="1" si="24"/>
        <v>0</v>
      </c>
      <c r="P53" s="676">
        <f t="shared" ca="1" si="24"/>
        <v>0</v>
      </c>
      <c r="Q53" s="676">
        <f t="shared" ca="1" si="24"/>
        <v>0</v>
      </c>
      <c r="R53" s="676">
        <f t="shared" ca="1" si="24"/>
        <v>0</v>
      </c>
      <c r="S53" s="676">
        <f t="shared" ca="1" si="24"/>
        <v>0</v>
      </c>
      <c r="T53" s="806">
        <f t="shared" ca="1" si="5"/>
        <v>0</v>
      </c>
      <c r="U53" s="492"/>
      <c r="V53" s="493"/>
    </row>
    <row r="54" spans="1:22">
      <c r="A54" s="336">
        <f t="shared" ref="A54:A57" si="27">A53+1</f>
        <v>95</v>
      </c>
      <c r="B54" s="623">
        <f t="shared" si="23"/>
        <v>43</v>
      </c>
      <c r="C54" s="670" t="str">
        <f t="shared" ca="1" si="6"/>
        <v/>
      </c>
      <c r="D54" s="677">
        <f t="shared" ca="1" si="25"/>
        <v>0</v>
      </c>
      <c r="E54" s="677">
        <f t="shared" ca="1" si="24"/>
        <v>0</v>
      </c>
      <c r="F54" s="677">
        <f t="shared" ca="1" si="24"/>
        <v>0</v>
      </c>
      <c r="G54" s="677">
        <f t="shared" ca="1" si="24"/>
        <v>0</v>
      </c>
      <c r="H54" s="677">
        <f t="shared" ca="1" si="24"/>
        <v>0</v>
      </c>
      <c r="I54" s="677">
        <f t="shared" ca="1" si="24"/>
        <v>0</v>
      </c>
      <c r="J54" s="677">
        <f t="shared" ca="1" si="24"/>
        <v>0</v>
      </c>
      <c r="K54" s="677">
        <f t="shared" ca="1" si="24"/>
        <v>0</v>
      </c>
      <c r="L54" s="677">
        <f t="shared" ca="1" si="24"/>
        <v>0</v>
      </c>
      <c r="M54" s="677">
        <f t="shared" ca="1" si="24"/>
        <v>0</v>
      </c>
      <c r="N54" s="677">
        <f t="shared" ca="1" si="24"/>
        <v>0</v>
      </c>
      <c r="O54" s="677">
        <f t="shared" ca="1" si="24"/>
        <v>0</v>
      </c>
      <c r="P54" s="677">
        <f t="shared" ca="1" si="24"/>
        <v>0</v>
      </c>
      <c r="Q54" s="677">
        <f t="shared" ca="1" si="24"/>
        <v>0</v>
      </c>
      <c r="R54" s="677">
        <f t="shared" ca="1" si="24"/>
        <v>0</v>
      </c>
      <c r="S54" s="677">
        <f t="shared" ca="1" si="24"/>
        <v>0</v>
      </c>
      <c r="T54" s="807">
        <f t="shared" ca="1" si="5"/>
        <v>0</v>
      </c>
      <c r="U54" s="490"/>
      <c r="V54" s="491"/>
    </row>
    <row r="55" spans="1:22">
      <c r="A55" s="336">
        <f t="shared" si="27"/>
        <v>96</v>
      </c>
      <c r="B55" s="619">
        <f t="shared" si="23"/>
        <v>44</v>
      </c>
      <c r="C55" s="669" t="str">
        <f t="shared" ca="1" si="6"/>
        <v/>
      </c>
      <c r="D55" s="676">
        <f t="shared" ca="1" si="25"/>
        <v>0</v>
      </c>
      <c r="E55" s="676">
        <f t="shared" ca="1" si="24"/>
        <v>0</v>
      </c>
      <c r="F55" s="676">
        <f t="shared" ca="1" si="24"/>
        <v>0</v>
      </c>
      <c r="G55" s="676">
        <f t="shared" ca="1" si="24"/>
        <v>0</v>
      </c>
      <c r="H55" s="676">
        <f t="shared" ca="1" si="24"/>
        <v>0</v>
      </c>
      <c r="I55" s="676">
        <f t="shared" ca="1" si="24"/>
        <v>0</v>
      </c>
      <c r="J55" s="676">
        <f t="shared" ca="1" si="24"/>
        <v>0</v>
      </c>
      <c r="K55" s="676">
        <f t="shared" ca="1" si="24"/>
        <v>0</v>
      </c>
      <c r="L55" s="676">
        <f t="shared" ca="1" si="24"/>
        <v>0</v>
      </c>
      <c r="M55" s="676">
        <f t="shared" ca="1" si="24"/>
        <v>0</v>
      </c>
      <c r="N55" s="676">
        <f t="shared" ca="1" si="24"/>
        <v>0</v>
      </c>
      <c r="O55" s="676">
        <f t="shared" ca="1" si="24"/>
        <v>0</v>
      </c>
      <c r="P55" s="676">
        <f t="shared" ca="1" si="24"/>
        <v>0</v>
      </c>
      <c r="Q55" s="676">
        <f t="shared" ca="1" si="24"/>
        <v>0</v>
      </c>
      <c r="R55" s="676">
        <f t="shared" ca="1" si="24"/>
        <v>0</v>
      </c>
      <c r="S55" s="676">
        <f t="shared" ca="1" si="24"/>
        <v>0</v>
      </c>
      <c r="T55" s="806">
        <f t="shared" ca="1" si="5"/>
        <v>0</v>
      </c>
      <c r="U55" s="492"/>
      <c r="V55" s="493"/>
    </row>
    <row r="56" spans="1:22">
      <c r="A56" s="336">
        <f t="shared" si="27"/>
        <v>97</v>
      </c>
      <c r="B56" s="623">
        <f t="shared" si="23"/>
        <v>45</v>
      </c>
      <c r="C56" s="670" t="str">
        <f t="shared" ca="1" si="6"/>
        <v/>
      </c>
      <c r="D56" s="677">
        <f t="shared" ca="1" si="25"/>
        <v>0</v>
      </c>
      <c r="E56" s="677">
        <f t="shared" ca="1" si="24"/>
        <v>0</v>
      </c>
      <c r="F56" s="677">
        <f t="shared" ca="1" si="24"/>
        <v>0</v>
      </c>
      <c r="G56" s="677">
        <f t="shared" ca="1" si="24"/>
        <v>0</v>
      </c>
      <c r="H56" s="677">
        <f t="shared" ca="1" si="24"/>
        <v>0</v>
      </c>
      <c r="I56" s="677">
        <f t="shared" ca="1" si="24"/>
        <v>0</v>
      </c>
      <c r="J56" s="677">
        <f t="shared" ca="1" si="24"/>
        <v>0</v>
      </c>
      <c r="K56" s="677">
        <f t="shared" ca="1" si="24"/>
        <v>0</v>
      </c>
      <c r="L56" s="677">
        <f t="shared" ca="1" si="24"/>
        <v>0</v>
      </c>
      <c r="M56" s="677">
        <f t="shared" ca="1" si="24"/>
        <v>0</v>
      </c>
      <c r="N56" s="677">
        <f t="shared" ca="1" si="24"/>
        <v>0</v>
      </c>
      <c r="O56" s="677">
        <f t="shared" ca="1" si="24"/>
        <v>0</v>
      </c>
      <c r="P56" s="677">
        <f t="shared" ca="1" si="24"/>
        <v>0</v>
      </c>
      <c r="Q56" s="677">
        <f t="shared" ca="1" si="24"/>
        <v>0</v>
      </c>
      <c r="R56" s="677">
        <f t="shared" ca="1" si="24"/>
        <v>0</v>
      </c>
      <c r="S56" s="677">
        <f t="shared" ca="1" si="24"/>
        <v>0</v>
      </c>
      <c r="T56" s="807">
        <f t="shared" ca="1" si="5"/>
        <v>0</v>
      </c>
      <c r="U56" s="490"/>
      <c r="V56" s="491"/>
    </row>
    <row r="57" spans="1:22">
      <c r="A57" s="336">
        <f t="shared" si="27"/>
        <v>98</v>
      </c>
      <c r="B57" s="619">
        <f t="shared" si="23"/>
        <v>46</v>
      </c>
      <c r="C57" s="669" t="str">
        <f t="shared" ca="1" si="6"/>
        <v/>
      </c>
      <c r="D57" s="676">
        <f t="shared" ca="1" si="25"/>
        <v>0</v>
      </c>
      <c r="E57" s="676">
        <f t="shared" ca="1" si="24"/>
        <v>0</v>
      </c>
      <c r="F57" s="676">
        <f t="shared" ca="1" si="24"/>
        <v>0</v>
      </c>
      <c r="G57" s="676">
        <f t="shared" ca="1" si="24"/>
        <v>0</v>
      </c>
      <c r="H57" s="676">
        <f t="shared" ca="1" si="24"/>
        <v>0</v>
      </c>
      <c r="I57" s="676">
        <f t="shared" ca="1" si="24"/>
        <v>0</v>
      </c>
      <c r="J57" s="676">
        <f t="shared" ca="1" si="24"/>
        <v>0</v>
      </c>
      <c r="K57" s="676">
        <f t="shared" ca="1" si="24"/>
        <v>0</v>
      </c>
      <c r="L57" s="676">
        <f t="shared" ca="1" si="24"/>
        <v>0</v>
      </c>
      <c r="M57" s="676">
        <f t="shared" ca="1" si="24"/>
        <v>0</v>
      </c>
      <c r="N57" s="676">
        <f t="shared" ca="1" si="24"/>
        <v>0</v>
      </c>
      <c r="O57" s="676">
        <f t="shared" ca="1" si="24"/>
        <v>0</v>
      </c>
      <c r="P57" s="676">
        <f t="shared" ca="1" si="24"/>
        <v>0</v>
      </c>
      <c r="Q57" s="676">
        <f t="shared" ca="1" si="24"/>
        <v>0</v>
      </c>
      <c r="R57" s="676">
        <f t="shared" ca="1" si="24"/>
        <v>0</v>
      </c>
      <c r="S57" s="676">
        <f t="shared" ca="1" si="24"/>
        <v>0</v>
      </c>
      <c r="T57" s="806">
        <f t="shared" ca="1" si="5"/>
        <v>0</v>
      </c>
      <c r="U57" s="492"/>
      <c r="V57" s="493"/>
    </row>
    <row r="58" spans="1:22">
      <c r="A58" s="336">
        <f t="shared" ref="A58:A64" si="28">A57+1</f>
        <v>99</v>
      </c>
      <c r="B58" s="623">
        <f t="shared" si="23"/>
        <v>47</v>
      </c>
      <c r="C58" s="670" t="str">
        <f t="shared" ca="1" si="6"/>
        <v/>
      </c>
      <c r="D58" s="677">
        <f t="shared" ca="1" si="25"/>
        <v>0</v>
      </c>
      <c r="E58" s="677">
        <f t="shared" ca="1" si="24"/>
        <v>0</v>
      </c>
      <c r="F58" s="677">
        <f t="shared" ca="1" si="24"/>
        <v>0</v>
      </c>
      <c r="G58" s="677">
        <f t="shared" ca="1" si="24"/>
        <v>0</v>
      </c>
      <c r="H58" s="677">
        <f t="shared" ca="1" si="24"/>
        <v>0</v>
      </c>
      <c r="I58" s="677">
        <f t="shared" ca="1" si="24"/>
        <v>0</v>
      </c>
      <c r="J58" s="677">
        <f t="shared" ca="1" si="24"/>
        <v>0</v>
      </c>
      <c r="K58" s="677">
        <f t="shared" ca="1" si="24"/>
        <v>0</v>
      </c>
      <c r="L58" s="677">
        <f t="shared" ca="1" si="24"/>
        <v>0</v>
      </c>
      <c r="M58" s="677">
        <f t="shared" ca="1" si="24"/>
        <v>0</v>
      </c>
      <c r="N58" s="677">
        <f t="shared" ca="1" si="24"/>
        <v>0</v>
      </c>
      <c r="O58" s="677">
        <f t="shared" ca="1" si="24"/>
        <v>0</v>
      </c>
      <c r="P58" s="677">
        <f t="shared" ca="1" si="24"/>
        <v>0</v>
      </c>
      <c r="Q58" s="677">
        <f t="shared" ca="1" si="24"/>
        <v>0</v>
      </c>
      <c r="R58" s="677">
        <f t="shared" ca="1" si="24"/>
        <v>0</v>
      </c>
      <c r="S58" s="677">
        <f t="shared" ca="1" si="24"/>
        <v>0</v>
      </c>
      <c r="T58" s="807">
        <f t="shared" ca="1" si="5"/>
        <v>0</v>
      </c>
      <c r="U58" s="490"/>
      <c r="V58" s="491"/>
    </row>
    <row r="59" spans="1:22">
      <c r="A59" s="336">
        <f t="shared" si="28"/>
        <v>100</v>
      </c>
      <c r="B59" s="619">
        <f t="shared" si="23"/>
        <v>48</v>
      </c>
      <c r="C59" s="669" t="str">
        <f t="shared" ca="1" si="6"/>
        <v/>
      </c>
      <c r="D59" s="676">
        <f t="shared" ca="1" si="25"/>
        <v>0</v>
      </c>
      <c r="E59" s="676">
        <f t="shared" ca="1" si="24"/>
        <v>0</v>
      </c>
      <c r="F59" s="676">
        <f t="shared" ca="1" si="24"/>
        <v>0</v>
      </c>
      <c r="G59" s="676">
        <f t="shared" ca="1" si="24"/>
        <v>0</v>
      </c>
      <c r="H59" s="676">
        <f t="shared" ca="1" si="24"/>
        <v>0</v>
      </c>
      <c r="I59" s="676">
        <f t="shared" ca="1" si="24"/>
        <v>0</v>
      </c>
      <c r="J59" s="676">
        <f t="shared" ca="1" si="24"/>
        <v>0</v>
      </c>
      <c r="K59" s="676">
        <f t="shared" ca="1" si="24"/>
        <v>0</v>
      </c>
      <c r="L59" s="676">
        <f t="shared" ca="1" si="24"/>
        <v>0</v>
      </c>
      <c r="M59" s="676">
        <f t="shared" ca="1" si="24"/>
        <v>0</v>
      </c>
      <c r="N59" s="676">
        <f t="shared" ca="1" si="24"/>
        <v>0</v>
      </c>
      <c r="O59" s="676">
        <f t="shared" ca="1" si="24"/>
        <v>0</v>
      </c>
      <c r="P59" s="676">
        <f t="shared" ca="1" si="24"/>
        <v>0</v>
      </c>
      <c r="Q59" s="676">
        <f t="shared" ca="1" si="24"/>
        <v>0</v>
      </c>
      <c r="R59" s="676">
        <f t="shared" ca="1" si="24"/>
        <v>0</v>
      </c>
      <c r="S59" s="676">
        <f t="shared" ca="1" si="24"/>
        <v>0</v>
      </c>
      <c r="T59" s="806">
        <f t="shared" ca="1" si="5"/>
        <v>0</v>
      </c>
      <c r="U59" s="492"/>
      <c r="V59" s="493"/>
    </row>
    <row r="60" spans="1:22">
      <c r="A60" s="336">
        <f t="shared" si="28"/>
        <v>101</v>
      </c>
      <c r="B60" s="623">
        <f t="shared" si="23"/>
        <v>49</v>
      </c>
      <c r="C60" s="670" t="str">
        <f t="shared" ca="1" si="6"/>
        <v/>
      </c>
      <c r="D60" s="677">
        <f t="shared" ca="1" si="25"/>
        <v>0</v>
      </c>
      <c r="E60" s="677">
        <f t="shared" ref="E60:S76" ca="1" si="29">INDIRECT(E$1&amp;"!"&amp;VLOOKUP($C$3,mdr,2,0)&amp;$A60)</f>
        <v>0</v>
      </c>
      <c r="F60" s="677">
        <f t="shared" ca="1" si="29"/>
        <v>0</v>
      </c>
      <c r="G60" s="677">
        <f t="shared" ca="1" si="29"/>
        <v>0</v>
      </c>
      <c r="H60" s="677">
        <f t="shared" ca="1" si="29"/>
        <v>0</v>
      </c>
      <c r="I60" s="677">
        <f t="shared" ca="1" si="29"/>
        <v>0</v>
      </c>
      <c r="J60" s="677">
        <f t="shared" ca="1" si="29"/>
        <v>0</v>
      </c>
      <c r="K60" s="677">
        <f t="shared" ca="1" si="29"/>
        <v>0</v>
      </c>
      <c r="L60" s="677">
        <f t="shared" ca="1" si="29"/>
        <v>0</v>
      </c>
      <c r="M60" s="677">
        <f t="shared" ca="1" si="29"/>
        <v>0</v>
      </c>
      <c r="N60" s="677">
        <f t="shared" ca="1" si="29"/>
        <v>0</v>
      </c>
      <c r="O60" s="677">
        <f t="shared" ca="1" si="29"/>
        <v>0</v>
      </c>
      <c r="P60" s="677">
        <f t="shared" ca="1" si="29"/>
        <v>0</v>
      </c>
      <c r="Q60" s="677">
        <f t="shared" ca="1" si="29"/>
        <v>0</v>
      </c>
      <c r="R60" s="677">
        <f t="shared" ca="1" si="29"/>
        <v>0</v>
      </c>
      <c r="S60" s="677">
        <f t="shared" ca="1" si="29"/>
        <v>0</v>
      </c>
      <c r="T60" s="807">
        <f t="shared" ca="1" si="5"/>
        <v>0</v>
      </c>
      <c r="U60" s="490"/>
      <c r="V60" s="491"/>
    </row>
    <row r="61" spans="1:22">
      <c r="A61" s="336">
        <f t="shared" si="28"/>
        <v>102</v>
      </c>
      <c r="B61" s="619">
        <f t="shared" si="23"/>
        <v>50</v>
      </c>
      <c r="C61" s="669" t="str">
        <f t="shared" ca="1" si="6"/>
        <v/>
      </c>
      <c r="D61" s="676">
        <f t="shared" ca="1" si="25"/>
        <v>0</v>
      </c>
      <c r="E61" s="676">
        <f t="shared" ca="1" si="29"/>
        <v>0</v>
      </c>
      <c r="F61" s="676">
        <f t="shared" ca="1" si="29"/>
        <v>0</v>
      </c>
      <c r="G61" s="676">
        <f t="shared" ca="1" si="29"/>
        <v>0</v>
      </c>
      <c r="H61" s="676">
        <f t="shared" ca="1" si="29"/>
        <v>0</v>
      </c>
      <c r="I61" s="676">
        <f t="shared" ca="1" si="29"/>
        <v>0</v>
      </c>
      <c r="J61" s="676">
        <f t="shared" ca="1" si="29"/>
        <v>0</v>
      </c>
      <c r="K61" s="676">
        <f t="shared" ca="1" si="29"/>
        <v>0</v>
      </c>
      <c r="L61" s="676">
        <f t="shared" ca="1" si="29"/>
        <v>0</v>
      </c>
      <c r="M61" s="676">
        <f t="shared" ca="1" si="29"/>
        <v>0</v>
      </c>
      <c r="N61" s="676">
        <f t="shared" ca="1" si="29"/>
        <v>0</v>
      </c>
      <c r="O61" s="676">
        <f t="shared" ca="1" si="29"/>
        <v>0</v>
      </c>
      <c r="P61" s="676">
        <f t="shared" ca="1" si="29"/>
        <v>0</v>
      </c>
      <c r="Q61" s="676">
        <f t="shared" ca="1" si="29"/>
        <v>0</v>
      </c>
      <c r="R61" s="676">
        <f t="shared" ca="1" si="29"/>
        <v>0</v>
      </c>
      <c r="S61" s="676">
        <f t="shared" ca="1" si="29"/>
        <v>0</v>
      </c>
      <c r="T61" s="806">
        <f t="shared" ca="1" si="5"/>
        <v>0</v>
      </c>
      <c r="U61" s="492"/>
      <c r="V61" s="493"/>
    </row>
    <row r="62" spans="1:22">
      <c r="A62" s="336">
        <f t="shared" si="28"/>
        <v>103</v>
      </c>
      <c r="B62" s="623">
        <f t="shared" si="23"/>
        <v>51</v>
      </c>
      <c r="C62" s="670" t="str">
        <f t="shared" ca="1" si="6"/>
        <v/>
      </c>
      <c r="D62" s="677">
        <f t="shared" ca="1" si="25"/>
        <v>0</v>
      </c>
      <c r="E62" s="677">
        <f t="shared" ca="1" si="29"/>
        <v>0</v>
      </c>
      <c r="F62" s="677">
        <f t="shared" ca="1" si="29"/>
        <v>0</v>
      </c>
      <c r="G62" s="677">
        <f t="shared" ca="1" si="29"/>
        <v>0</v>
      </c>
      <c r="H62" s="677">
        <f t="shared" ca="1" si="29"/>
        <v>0</v>
      </c>
      <c r="I62" s="677">
        <f t="shared" ca="1" si="29"/>
        <v>0</v>
      </c>
      <c r="J62" s="677">
        <f t="shared" ca="1" si="29"/>
        <v>0</v>
      </c>
      <c r="K62" s="677">
        <f t="shared" ca="1" si="29"/>
        <v>0</v>
      </c>
      <c r="L62" s="677">
        <f t="shared" ca="1" si="29"/>
        <v>0</v>
      </c>
      <c r="M62" s="677">
        <f t="shared" ca="1" si="29"/>
        <v>0</v>
      </c>
      <c r="N62" s="677">
        <f t="shared" ca="1" si="29"/>
        <v>0</v>
      </c>
      <c r="O62" s="677">
        <f t="shared" ca="1" si="29"/>
        <v>0</v>
      </c>
      <c r="P62" s="677">
        <f t="shared" ca="1" si="29"/>
        <v>0</v>
      </c>
      <c r="Q62" s="677">
        <f t="shared" ca="1" si="29"/>
        <v>0</v>
      </c>
      <c r="R62" s="677">
        <f t="shared" ca="1" si="29"/>
        <v>0</v>
      </c>
      <c r="S62" s="677">
        <f t="shared" ca="1" si="29"/>
        <v>0</v>
      </c>
      <c r="T62" s="807">
        <f t="shared" ca="1" si="5"/>
        <v>0</v>
      </c>
      <c r="U62" s="490"/>
      <c r="V62" s="491"/>
    </row>
    <row r="63" spans="1:22">
      <c r="A63" s="336">
        <f t="shared" si="28"/>
        <v>104</v>
      </c>
      <c r="B63" s="619">
        <f t="shared" si="23"/>
        <v>52</v>
      </c>
      <c r="C63" s="669" t="str">
        <f t="shared" ca="1" si="6"/>
        <v/>
      </c>
      <c r="D63" s="676">
        <f t="shared" ca="1" si="25"/>
        <v>0</v>
      </c>
      <c r="E63" s="676">
        <f t="shared" ca="1" si="29"/>
        <v>0</v>
      </c>
      <c r="F63" s="676">
        <f t="shared" ca="1" si="29"/>
        <v>0</v>
      </c>
      <c r="G63" s="676">
        <f t="shared" ca="1" si="29"/>
        <v>0</v>
      </c>
      <c r="H63" s="676">
        <f t="shared" ca="1" si="29"/>
        <v>0</v>
      </c>
      <c r="I63" s="676">
        <f t="shared" ca="1" si="29"/>
        <v>0</v>
      </c>
      <c r="J63" s="676">
        <f t="shared" ca="1" si="29"/>
        <v>0</v>
      </c>
      <c r="K63" s="676">
        <f t="shared" ca="1" si="29"/>
        <v>0</v>
      </c>
      <c r="L63" s="676">
        <f t="shared" ca="1" si="29"/>
        <v>0</v>
      </c>
      <c r="M63" s="676">
        <f t="shared" ca="1" si="29"/>
        <v>0</v>
      </c>
      <c r="N63" s="676">
        <f t="shared" ca="1" si="29"/>
        <v>0</v>
      </c>
      <c r="O63" s="676">
        <f t="shared" ca="1" si="29"/>
        <v>0</v>
      </c>
      <c r="P63" s="676">
        <f t="shared" ca="1" si="29"/>
        <v>0</v>
      </c>
      <c r="Q63" s="676">
        <f t="shared" ca="1" si="29"/>
        <v>0</v>
      </c>
      <c r="R63" s="676">
        <f t="shared" ca="1" si="29"/>
        <v>0</v>
      </c>
      <c r="S63" s="676">
        <f t="shared" ca="1" si="29"/>
        <v>0</v>
      </c>
      <c r="T63" s="806">
        <f t="shared" ca="1" si="5"/>
        <v>0</v>
      </c>
      <c r="U63" s="492"/>
      <c r="V63" s="493"/>
    </row>
    <row r="64" spans="1:22">
      <c r="A64" s="336">
        <f t="shared" si="28"/>
        <v>105</v>
      </c>
      <c r="B64" s="623">
        <f t="shared" si="23"/>
        <v>53</v>
      </c>
      <c r="C64" s="670" t="str">
        <f t="shared" ca="1" si="6"/>
        <v/>
      </c>
      <c r="D64" s="677">
        <f t="shared" ca="1" si="25"/>
        <v>0</v>
      </c>
      <c r="E64" s="677">
        <f t="shared" ca="1" si="29"/>
        <v>0</v>
      </c>
      <c r="F64" s="677">
        <f t="shared" ca="1" si="29"/>
        <v>0</v>
      </c>
      <c r="G64" s="677">
        <f t="shared" ca="1" si="29"/>
        <v>0</v>
      </c>
      <c r="H64" s="677">
        <f t="shared" ca="1" si="29"/>
        <v>0</v>
      </c>
      <c r="I64" s="677">
        <f t="shared" ca="1" si="29"/>
        <v>0</v>
      </c>
      <c r="J64" s="677">
        <f t="shared" ca="1" si="29"/>
        <v>0</v>
      </c>
      <c r="K64" s="677">
        <f t="shared" ca="1" si="29"/>
        <v>0</v>
      </c>
      <c r="L64" s="677">
        <f t="shared" ca="1" si="29"/>
        <v>0</v>
      </c>
      <c r="M64" s="677">
        <f t="shared" ca="1" si="29"/>
        <v>0</v>
      </c>
      <c r="N64" s="677">
        <f t="shared" ca="1" si="29"/>
        <v>0</v>
      </c>
      <c r="O64" s="677">
        <f t="shared" ca="1" si="29"/>
        <v>0</v>
      </c>
      <c r="P64" s="677">
        <f t="shared" ca="1" si="29"/>
        <v>0</v>
      </c>
      <c r="Q64" s="677">
        <f t="shared" ca="1" si="29"/>
        <v>0</v>
      </c>
      <c r="R64" s="677">
        <f t="shared" ca="1" si="29"/>
        <v>0</v>
      </c>
      <c r="S64" s="677">
        <f t="shared" ca="1" si="29"/>
        <v>0</v>
      </c>
      <c r="T64" s="807">
        <f t="shared" ca="1" si="5"/>
        <v>0</v>
      </c>
      <c r="U64" s="490"/>
      <c r="V64" s="491"/>
    </row>
    <row r="65" spans="1:22">
      <c r="A65" s="336">
        <f t="shared" ref="A65:A73" si="30">A64+1</f>
        <v>106</v>
      </c>
      <c r="B65" s="619">
        <f t="shared" si="23"/>
        <v>54</v>
      </c>
      <c r="C65" s="669" t="str">
        <f t="shared" ca="1" si="6"/>
        <v/>
      </c>
      <c r="D65" s="676">
        <f t="shared" ca="1" si="25"/>
        <v>0</v>
      </c>
      <c r="E65" s="676">
        <f t="shared" ca="1" si="29"/>
        <v>0</v>
      </c>
      <c r="F65" s="676">
        <f t="shared" ca="1" si="29"/>
        <v>0</v>
      </c>
      <c r="G65" s="676">
        <f t="shared" ca="1" si="29"/>
        <v>0</v>
      </c>
      <c r="H65" s="676">
        <f t="shared" ca="1" si="29"/>
        <v>0</v>
      </c>
      <c r="I65" s="676">
        <f t="shared" ca="1" si="29"/>
        <v>0</v>
      </c>
      <c r="J65" s="676">
        <f t="shared" ca="1" si="29"/>
        <v>0</v>
      </c>
      <c r="K65" s="676">
        <f t="shared" ca="1" si="29"/>
        <v>0</v>
      </c>
      <c r="L65" s="676">
        <f t="shared" ca="1" si="29"/>
        <v>0</v>
      </c>
      <c r="M65" s="676">
        <f t="shared" ca="1" si="29"/>
        <v>0</v>
      </c>
      <c r="N65" s="676">
        <f t="shared" ca="1" si="29"/>
        <v>0</v>
      </c>
      <c r="O65" s="676">
        <f t="shared" ca="1" si="29"/>
        <v>0</v>
      </c>
      <c r="P65" s="676">
        <f t="shared" ca="1" si="29"/>
        <v>0</v>
      </c>
      <c r="Q65" s="676">
        <f t="shared" ca="1" si="29"/>
        <v>0</v>
      </c>
      <c r="R65" s="676">
        <f t="shared" ca="1" si="29"/>
        <v>0</v>
      </c>
      <c r="S65" s="676">
        <f t="shared" ca="1" si="29"/>
        <v>0</v>
      </c>
      <c r="T65" s="806">
        <f t="shared" ca="1" si="5"/>
        <v>0</v>
      </c>
      <c r="U65" s="492"/>
      <c r="V65" s="493"/>
    </row>
    <row r="66" spans="1:22" ht="27" customHeight="1">
      <c r="A66" s="336">
        <f t="shared" si="30"/>
        <v>107</v>
      </c>
      <c r="B66" s="623">
        <f t="shared" si="23"/>
        <v>55</v>
      </c>
      <c r="C66" s="969" t="str">
        <f t="shared" ca="1" si="6"/>
        <v/>
      </c>
      <c r="D66" s="677">
        <f t="shared" ca="1" si="25"/>
        <v>0</v>
      </c>
      <c r="E66" s="677">
        <f t="shared" ca="1" si="29"/>
        <v>0</v>
      </c>
      <c r="F66" s="677">
        <f t="shared" ca="1" si="29"/>
        <v>0</v>
      </c>
      <c r="G66" s="677">
        <f t="shared" ca="1" si="29"/>
        <v>0</v>
      </c>
      <c r="H66" s="677">
        <f t="shared" ca="1" si="29"/>
        <v>0</v>
      </c>
      <c r="I66" s="677">
        <f t="shared" ca="1" si="29"/>
        <v>0</v>
      </c>
      <c r="J66" s="677">
        <f t="shared" ca="1" si="29"/>
        <v>0</v>
      </c>
      <c r="K66" s="677">
        <f t="shared" ca="1" si="29"/>
        <v>0</v>
      </c>
      <c r="L66" s="677">
        <f t="shared" ca="1" si="29"/>
        <v>0</v>
      </c>
      <c r="M66" s="677">
        <f t="shared" ca="1" si="29"/>
        <v>0</v>
      </c>
      <c r="N66" s="677">
        <f t="shared" ca="1" si="29"/>
        <v>0</v>
      </c>
      <c r="O66" s="677">
        <f t="shared" ca="1" si="29"/>
        <v>0</v>
      </c>
      <c r="P66" s="677">
        <f t="shared" ca="1" si="29"/>
        <v>0</v>
      </c>
      <c r="Q66" s="677">
        <f t="shared" ca="1" si="29"/>
        <v>0</v>
      </c>
      <c r="R66" s="677">
        <f t="shared" ca="1" si="29"/>
        <v>0</v>
      </c>
      <c r="S66" s="677">
        <f t="shared" ca="1" si="29"/>
        <v>0</v>
      </c>
      <c r="T66" s="807">
        <f t="shared" ca="1" si="5"/>
        <v>0</v>
      </c>
      <c r="U66" s="490"/>
      <c r="V66" s="491"/>
    </row>
    <row r="67" spans="1:22">
      <c r="A67" s="336">
        <f t="shared" si="30"/>
        <v>108</v>
      </c>
      <c r="B67" s="1094">
        <f t="shared" si="23"/>
        <v>56</v>
      </c>
      <c r="C67" s="1095" t="str">
        <f t="shared" ca="1" si="6"/>
        <v/>
      </c>
      <c r="D67" s="1096">
        <f t="shared" ref="D67:E83" ca="1" si="31">INDIRECT(D$1&amp;"!"&amp;VLOOKUP($C$3,mdr,2,0)&amp;$A67)</f>
        <v>0</v>
      </c>
      <c r="E67" s="1096">
        <f t="shared" ca="1" si="29"/>
        <v>0</v>
      </c>
      <c r="F67" s="1096">
        <f t="shared" ca="1" si="29"/>
        <v>0</v>
      </c>
      <c r="G67" s="1096">
        <f t="shared" ca="1" si="29"/>
        <v>0</v>
      </c>
      <c r="H67" s="1096">
        <f t="shared" ca="1" si="29"/>
        <v>0</v>
      </c>
      <c r="I67" s="1096">
        <f t="shared" ca="1" si="29"/>
        <v>0</v>
      </c>
      <c r="J67" s="1096">
        <f t="shared" ca="1" si="29"/>
        <v>0</v>
      </c>
      <c r="K67" s="1096">
        <f t="shared" ca="1" si="29"/>
        <v>0</v>
      </c>
      <c r="L67" s="1096">
        <f t="shared" ca="1" si="29"/>
        <v>0</v>
      </c>
      <c r="M67" s="1096">
        <f t="shared" ca="1" si="29"/>
        <v>0</v>
      </c>
      <c r="N67" s="1096">
        <f t="shared" ca="1" si="29"/>
        <v>0</v>
      </c>
      <c r="O67" s="1096">
        <f t="shared" ca="1" si="29"/>
        <v>0</v>
      </c>
      <c r="P67" s="1096">
        <f t="shared" ca="1" si="29"/>
        <v>0</v>
      </c>
      <c r="Q67" s="1096">
        <f t="shared" ca="1" si="29"/>
        <v>0</v>
      </c>
      <c r="R67" s="1096">
        <f t="shared" ca="1" si="29"/>
        <v>0</v>
      </c>
      <c r="S67" s="1096">
        <f t="shared" ca="1" si="29"/>
        <v>0</v>
      </c>
      <c r="T67" s="1093">
        <f t="shared" ca="1" si="5"/>
        <v>0</v>
      </c>
      <c r="U67" s="492"/>
      <c r="V67" s="493"/>
    </row>
    <row r="68" spans="1:22">
      <c r="A68" s="336">
        <f t="shared" si="30"/>
        <v>109</v>
      </c>
      <c r="B68" s="1097">
        <f t="shared" si="23"/>
        <v>57</v>
      </c>
      <c r="C68" s="1098" t="str">
        <f t="shared" ca="1" si="6"/>
        <v/>
      </c>
      <c r="D68" s="1099">
        <f t="shared" ca="1" si="31"/>
        <v>0</v>
      </c>
      <c r="E68" s="1099">
        <f t="shared" ca="1" si="29"/>
        <v>0</v>
      </c>
      <c r="F68" s="1099">
        <f t="shared" ca="1" si="29"/>
        <v>0</v>
      </c>
      <c r="G68" s="1099">
        <f t="shared" ca="1" si="29"/>
        <v>0</v>
      </c>
      <c r="H68" s="1099">
        <f t="shared" ca="1" si="29"/>
        <v>0</v>
      </c>
      <c r="I68" s="1099">
        <f t="shared" ca="1" si="29"/>
        <v>0</v>
      </c>
      <c r="J68" s="1099">
        <f t="shared" ca="1" si="29"/>
        <v>0</v>
      </c>
      <c r="K68" s="1099">
        <f t="shared" ca="1" si="29"/>
        <v>0</v>
      </c>
      <c r="L68" s="1099">
        <f t="shared" ca="1" si="29"/>
        <v>0</v>
      </c>
      <c r="M68" s="1099">
        <f t="shared" ca="1" si="29"/>
        <v>0</v>
      </c>
      <c r="N68" s="1099">
        <f t="shared" ca="1" si="29"/>
        <v>0</v>
      </c>
      <c r="O68" s="1099">
        <f t="shared" ca="1" si="29"/>
        <v>0</v>
      </c>
      <c r="P68" s="1099">
        <f t="shared" ca="1" si="29"/>
        <v>0</v>
      </c>
      <c r="Q68" s="1099">
        <f t="shared" ca="1" si="29"/>
        <v>0</v>
      </c>
      <c r="R68" s="1099">
        <f t="shared" ca="1" si="29"/>
        <v>0</v>
      </c>
      <c r="S68" s="1099">
        <f t="shared" ca="1" si="29"/>
        <v>0</v>
      </c>
      <c r="T68" s="1100"/>
      <c r="U68" s="490"/>
      <c r="V68" s="491"/>
    </row>
    <row r="69" spans="1:22" ht="14" thickBot="1">
      <c r="A69" s="336">
        <f t="shared" si="30"/>
        <v>110</v>
      </c>
      <c r="B69" s="1089">
        <f t="shared" si="23"/>
        <v>58</v>
      </c>
      <c r="C69" s="1090" t="str">
        <f t="shared" ca="1" si="6"/>
        <v/>
      </c>
      <c r="D69" s="1091">
        <f t="shared" ca="1" si="31"/>
        <v>0</v>
      </c>
      <c r="E69" s="1091">
        <f t="shared" ca="1" si="29"/>
        <v>0</v>
      </c>
      <c r="F69" s="1091">
        <f t="shared" ca="1" si="29"/>
        <v>0</v>
      </c>
      <c r="G69" s="1091">
        <f t="shared" ca="1" si="29"/>
        <v>0</v>
      </c>
      <c r="H69" s="1091">
        <f t="shared" ca="1" si="29"/>
        <v>0</v>
      </c>
      <c r="I69" s="1091">
        <f t="shared" ca="1" si="29"/>
        <v>0</v>
      </c>
      <c r="J69" s="1091">
        <f t="shared" ca="1" si="29"/>
        <v>0</v>
      </c>
      <c r="K69" s="1091">
        <f t="shared" ca="1" si="29"/>
        <v>0</v>
      </c>
      <c r="L69" s="1091">
        <f t="shared" ca="1" si="29"/>
        <v>0</v>
      </c>
      <c r="M69" s="1091">
        <f t="shared" ca="1" si="29"/>
        <v>0</v>
      </c>
      <c r="N69" s="1091">
        <f t="shared" ca="1" si="29"/>
        <v>0</v>
      </c>
      <c r="O69" s="1091">
        <f t="shared" ca="1" si="29"/>
        <v>0</v>
      </c>
      <c r="P69" s="1091">
        <f t="shared" ca="1" si="29"/>
        <v>0</v>
      </c>
      <c r="Q69" s="1091">
        <f t="shared" ca="1" si="29"/>
        <v>0</v>
      </c>
      <c r="R69" s="1091">
        <f t="shared" ca="1" si="29"/>
        <v>0</v>
      </c>
      <c r="S69" s="1091">
        <f t="shared" ca="1" si="29"/>
        <v>0</v>
      </c>
      <c r="T69" s="1092"/>
      <c r="U69" s="492"/>
      <c r="V69" s="493"/>
    </row>
    <row r="70" spans="1:22" ht="14" thickTop="1">
      <c r="A70" s="336">
        <f t="shared" si="30"/>
        <v>111</v>
      </c>
      <c r="B70" s="758">
        <f t="shared" si="23"/>
        <v>59</v>
      </c>
      <c r="C70" s="770" t="str">
        <f t="shared" ca="1" si="6"/>
        <v/>
      </c>
      <c r="D70" s="771">
        <f t="shared" ca="1" si="31"/>
        <v>0</v>
      </c>
      <c r="E70" s="771">
        <f t="shared" ca="1" si="29"/>
        <v>0</v>
      </c>
      <c r="F70" s="771">
        <f t="shared" ca="1" si="29"/>
        <v>0</v>
      </c>
      <c r="G70" s="771">
        <f t="shared" ca="1" si="29"/>
        <v>0</v>
      </c>
      <c r="H70" s="771">
        <f t="shared" ca="1" si="29"/>
        <v>0</v>
      </c>
      <c r="I70" s="771">
        <f t="shared" ca="1" si="29"/>
        <v>0</v>
      </c>
      <c r="J70" s="771">
        <f t="shared" ca="1" si="29"/>
        <v>0</v>
      </c>
      <c r="K70" s="771">
        <f t="shared" ca="1" si="29"/>
        <v>0</v>
      </c>
      <c r="L70" s="771">
        <f t="shared" ca="1" si="29"/>
        <v>0</v>
      </c>
      <c r="M70" s="771">
        <f t="shared" ca="1" si="29"/>
        <v>0</v>
      </c>
      <c r="N70" s="771">
        <f t="shared" ca="1" si="29"/>
        <v>0</v>
      </c>
      <c r="O70" s="771">
        <f t="shared" ca="1" si="29"/>
        <v>0</v>
      </c>
      <c r="P70" s="771">
        <f t="shared" ca="1" si="29"/>
        <v>0</v>
      </c>
      <c r="Q70" s="771">
        <f t="shared" ca="1" si="29"/>
        <v>0</v>
      </c>
      <c r="R70" s="771">
        <f t="shared" ca="1" si="29"/>
        <v>0</v>
      </c>
      <c r="S70" s="771">
        <f t="shared" ca="1" si="29"/>
        <v>0</v>
      </c>
      <c r="T70" s="808"/>
      <c r="U70" s="490"/>
      <c r="V70" s="491"/>
    </row>
    <row r="71" spans="1:22">
      <c r="A71" s="336">
        <f t="shared" si="30"/>
        <v>112</v>
      </c>
      <c r="B71" s="627">
        <f t="shared" si="23"/>
        <v>60</v>
      </c>
      <c r="C71" s="662" t="str">
        <f ca="1">IF(ABS(SUM(D71:S71))&gt;0.1,INDIRECT($D$1&amp;"!f"&amp;A71),"")</f>
        <v/>
      </c>
      <c r="D71" s="672">
        <f t="shared" ca="1" si="31"/>
        <v>0</v>
      </c>
      <c r="E71" s="672">
        <f t="shared" ca="1" si="29"/>
        <v>0</v>
      </c>
      <c r="F71" s="672">
        <f t="shared" ca="1" si="29"/>
        <v>0</v>
      </c>
      <c r="G71" s="672">
        <f t="shared" ca="1" si="29"/>
        <v>0</v>
      </c>
      <c r="H71" s="672">
        <f t="shared" ca="1" si="29"/>
        <v>0</v>
      </c>
      <c r="I71" s="672">
        <f t="shared" ca="1" si="29"/>
        <v>0</v>
      </c>
      <c r="J71" s="672">
        <f t="shared" ca="1" si="29"/>
        <v>0</v>
      </c>
      <c r="K71" s="672">
        <f t="shared" ca="1" si="29"/>
        <v>0</v>
      </c>
      <c r="L71" s="672">
        <f t="shared" ca="1" si="29"/>
        <v>0</v>
      </c>
      <c r="M71" s="672">
        <f t="shared" ca="1" si="29"/>
        <v>0</v>
      </c>
      <c r="N71" s="672">
        <f t="shared" ca="1" si="29"/>
        <v>0</v>
      </c>
      <c r="O71" s="672">
        <f t="shared" ca="1" si="29"/>
        <v>0</v>
      </c>
      <c r="P71" s="672">
        <f t="shared" ca="1" si="29"/>
        <v>0</v>
      </c>
      <c r="Q71" s="672">
        <f t="shared" ca="1" si="29"/>
        <v>0</v>
      </c>
      <c r="R71" s="672">
        <f t="shared" ca="1" si="29"/>
        <v>0</v>
      </c>
      <c r="S71" s="672">
        <f t="shared" ca="1" si="29"/>
        <v>0</v>
      </c>
      <c r="T71" s="809"/>
      <c r="U71" s="492"/>
      <c r="V71" s="493"/>
    </row>
    <row r="72" spans="1:22">
      <c r="A72" s="336">
        <f t="shared" si="30"/>
        <v>113</v>
      </c>
      <c r="B72" s="631">
        <f t="shared" si="23"/>
        <v>61</v>
      </c>
      <c r="C72" s="663" t="str">
        <f t="shared" ca="1" si="6"/>
        <v/>
      </c>
      <c r="D72" s="812">
        <f t="shared" ca="1" si="31"/>
        <v>0</v>
      </c>
      <c r="E72" s="813">
        <f t="shared" ca="1" si="29"/>
        <v>0</v>
      </c>
      <c r="F72" s="813">
        <f t="shared" ca="1" si="29"/>
        <v>0</v>
      </c>
      <c r="G72" s="813">
        <f t="shared" ca="1" si="29"/>
        <v>0</v>
      </c>
      <c r="H72" s="813">
        <f t="shared" ca="1" si="29"/>
        <v>0</v>
      </c>
      <c r="I72" s="813">
        <f t="shared" ca="1" si="29"/>
        <v>0</v>
      </c>
      <c r="J72" s="813">
        <f t="shared" ca="1" si="29"/>
        <v>0</v>
      </c>
      <c r="K72" s="813">
        <f t="shared" ca="1" si="29"/>
        <v>0</v>
      </c>
      <c r="L72" s="813">
        <f t="shared" ca="1" si="29"/>
        <v>0</v>
      </c>
      <c r="M72" s="813">
        <f t="shared" ca="1" si="29"/>
        <v>0</v>
      </c>
      <c r="N72" s="813">
        <f t="shared" ca="1" si="29"/>
        <v>0</v>
      </c>
      <c r="O72" s="813">
        <f t="shared" ca="1" si="29"/>
        <v>0</v>
      </c>
      <c r="P72" s="813">
        <f t="shared" ca="1" si="29"/>
        <v>0</v>
      </c>
      <c r="Q72" s="813">
        <f t="shared" ca="1" si="29"/>
        <v>0</v>
      </c>
      <c r="R72" s="813">
        <f t="shared" ca="1" si="29"/>
        <v>0</v>
      </c>
      <c r="S72" s="813">
        <f t="shared" ca="1" si="29"/>
        <v>0</v>
      </c>
      <c r="T72" s="814"/>
      <c r="U72" s="490"/>
      <c r="V72" s="491"/>
    </row>
    <row r="73" spans="1:22">
      <c r="A73" s="757">
        <f t="shared" si="30"/>
        <v>114</v>
      </c>
      <c r="B73" s="627">
        <f t="shared" si="23"/>
        <v>62</v>
      </c>
      <c r="C73" s="662" t="str">
        <f t="shared" ca="1" si="6"/>
        <v/>
      </c>
      <c r="D73" s="1069">
        <f t="shared" ca="1" si="31"/>
        <v>0</v>
      </c>
      <c r="E73" s="965">
        <f t="shared" ca="1" si="29"/>
        <v>0</v>
      </c>
      <c r="F73" s="965">
        <f t="shared" ca="1" si="29"/>
        <v>0</v>
      </c>
      <c r="G73" s="965">
        <f t="shared" ca="1" si="29"/>
        <v>0</v>
      </c>
      <c r="H73" s="965">
        <f t="shared" ca="1" si="29"/>
        <v>0</v>
      </c>
      <c r="I73" s="965">
        <f t="shared" ca="1" si="29"/>
        <v>0</v>
      </c>
      <c r="J73" s="965">
        <f t="shared" ca="1" si="29"/>
        <v>0</v>
      </c>
      <c r="K73" s="965">
        <f t="shared" ca="1" si="29"/>
        <v>0</v>
      </c>
      <c r="L73" s="965">
        <f t="shared" ca="1" si="29"/>
        <v>0</v>
      </c>
      <c r="M73" s="965">
        <f t="shared" ca="1" si="29"/>
        <v>0</v>
      </c>
      <c r="N73" s="965">
        <f t="shared" ca="1" si="29"/>
        <v>0</v>
      </c>
      <c r="O73" s="965">
        <f t="shared" ca="1" si="29"/>
        <v>0</v>
      </c>
      <c r="P73" s="965">
        <f t="shared" ca="1" si="29"/>
        <v>0</v>
      </c>
      <c r="Q73" s="965">
        <f t="shared" ca="1" si="29"/>
        <v>0</v>
      </c>
      <c r="R73" s="965">
        <f t="shared" ca="1" si="29"/>
        <v>0</v>
      </c>
      <c r="S73" s="965">
        <f t="shared" ca="1" si="29"/>
        <v>0</v>
      </c>
      <c r="T73" s="815"/>
      <c r="U73" s="492"/>
      <c r="V73" s="493"/>
    </row>
    <row r="74" spans="1:22">
      <c r="A74" s="757">
        <v>29</v>
      </c>
      <c r="B74" s="631">
        <f t="shared" si="23"/>
        <v>63</v>
      </c>
      <c r="C74" s="663" t="str">
        <f t="shared" ca="1" si="6"/>
        <v/>
      </c>
      <c r="D74" s="966">
        <f t="shared" ca="1" si="31"/>
        <v>0</v>
      </c>
      <c r="E74" s="966">
        <f t="shared" ca="1" si="31"/>
        <v>0</v>
      </c>
      <c r="F74" s="966">
        <f t="shared" ca="1" si="29"/>
        <v>0</v>
      </c>
      <c r="G74" s="966">
        <f t="shared" ca="1" si="29"/>
        <v>0</v>
      </c>
      <c r="H74" s="966">
        <f t="shared" ca="1" si="29"/>
        <v>0</v>
      </c>
      <c r="I74" s="966">
        <f t="shared" ca="1" si="29"/>
        <v>0</v>
      </c>
      <c r="J74" s="966">
        <f t="shared" ca="1" si="29"/>
        <v>0</v>
      </c>
      <c r="K74" s="966">
        <f t="shared" ca="1" si="29"/>
        <v>0</v>
      </c>
      <c r="L74" s="966">
        <f t="shared" ca="1" si="29"/>
        <v>0</v>
      </c>
      <c r="M74" s="966">
        <f t="shared" ca="1" si="29"/>
        <v>0</v>
      </c>
      <c r="N74" s="966">
        <f t="shared" ca="1" si="29"/>
        <v>0</v>
      </c>
      <c r="O74" s="966">
        <f t="shared" ca="1" si="29"/>
        <v>0</v>
      </c>
      <c r="P74" s="966">
        <f t="shared" ca="1" si="29"/>
        <v>0</v>
      </c>
      <c r="Q74" s="966">
        <f t="shared" ca="1" si="29"/>
        <v>0</v>
      </c>
      <c r="R74" s="966">
        <f t="shared" ca="1" si="29"/>
        <v>0</v>
      </c>
      <c r="S74" s="966">
        <f t="shared" ca="1" si="29"/>
        <v>0</v>
      </c>
      <c r="T74" s="810"/>
      <c r="U74" s="490"/>
      <c r="V74" s="491"/>
    </row>
    <row r="75" spans="1:22">
      <c r="A75" s="757">
        <v>30</v>
      </c>
      <c r="B75" s="627">
        <f t="shared" si="23"/>
        <v>64</v>
      </c>
      <c r="C75" s="662" t="str">
        <f t="shared" ca="1" si="6"/>
        <v/>
      </c>
      <c r="D75" s="1070">
        <f t="shared" ca="1" si="31"/>
        <v>0</v>
      </c>
      <c r="E75" s="672">
        <f t="shared" ca="1" si="29"/>
        <v>0</v>
      </c>
      <c r="F75" s="672">
        <f t="shared" ca="1" si="29"/>
        <v>0</v>
      </c>
      <c r="G75" s="672">
        <f t="shared" ca="1" si="29"/>
        <v>0</v>
      </c>
      <c r="H75" s="672">
        <f t="shared" ca="1" si="29"/>
        <v>0</v>
      </c>
      <c r="I75" s="672">
        <f t="shared" ca="1" si="29"/>
        <v>0</v>
      </c>
      <c r="J75" s="672">
        <f t="shared" ca="1" si="29"/>
        <v>0</v>
      </c>
      <c r="K75" s="672">
        <f t="shared" ca="1" si="29"/>
        <v>0</v>
      </c>
      <c r="L75" s="672">
        <f t="shared" ca="1" si="29"/>
        <v>0</v>
      </c>
      <c r="M75" s="672">
        <f t="shared" ca="1" si="29"/>
        <v>0</v>
      </c>
      <c r="N75" s="672">
        <f t="shared" ca="1" si="29"/>
        <v>0</v>
      </c>
      <c r="O75" s="672">
        <f t="shared" ca="1" si="29"/>
        <v>0</v>
      </c>
      <c r="P75" s="672">
        <f t="shared" ca="1" si="29"/>
        <v>0</v>
      </c>
      <c r="Q75" s="672">
        <f t="shared" ca="1" si="29"/>
        <v>0</v>
      </c>
      <c r="R75" s="672">
        <f t="shared" ca="1" si="29"/>
        <v>0</v>
      </c>
      <c r="S75" s="672">
        <f t="shared" ca="1" si="29"/>
        <v>0</v>
      </c>
      <c r="T75" s="809">
        <f t="shared" ca="1" si="5"/>
        <v>0</v>
      </c>
      <c r="U75" s="492"/>
      <c r="V75" s="493"/>
    </row>
    <row r="76" spans="1:22">
      <c r="A76" s="757">
        <f>A73+1</f>
        <v>115</v>
      </c>
      <c r="B76" s="631">
        <f t="shared" si="23"/>
        <v>65</v>
      </c>
      <c r="C76" s="663" t="str">
        <f t="shared" ca="1" si="6"/>
        <v/>
      </c>
      <c r="D76" s="671">
        <f t="shared" ca="1" si="31"/>
        <v>0</v>
      </c>
      <c r="E76" s="671">
        <f t="shared" ca="1" si="29"/>
        <v>0</v>
      </c>
      <c r="F76" s="671">
        <f t="shared" ca="1" si="29"/>
        <v>0</v>
      </c>
      <c r="G76" s="671">
        <f t="shared" ca="1" si="29"/>
        <v>0</v>
      </c>
      <c r="H76" s="671">
        <f t="shared" ca="1" si="29"/>
        <v>0</v>
      </c>
      <c r="I76" s="671">
        <f t="shared" ca="1" si="29"/>
        <v>0</v>
      </c>
      <c r="J76" s="671">
        <f t="shared" ca="1" si="29"/>
        <v>0</v>
      </c>
      <c r="K76" s="671">
        <f t="shared" ca="1" si="29"/>
        <v>0</v>
      </c>
      <c r="L76" s="671">
        <f t="shared" ca="1" si="29"/>
        <v>0</v>
      </c>
      <c r="M76" s="671">
        <f t="shared" ca="1" si="29"/>
        <v>0</v>
      </c>
      <c r="N76" s="671">
        <f t="shared" ca="1" si="29"/>
        <v>0</v>
      </c>
      <c r="O76" s="671">
        <f t="shared" ca="1" si="29"/>
        <v>0</v>
      </c>
      <c r="P76" s="671">
        <f t="shared" ca="1" si="29"/>
        <v>0</v>
      </c>
      <c r="Q76" s="671">
        <f t="shared" ca="1" si="29"/>
        <v>0</v>
      </c>
      <c r="R76" s="671">
        <f t="shared" ca="1" si="29"/>
        <v>0</v>
      </c>
      <c r="S76" s="671">
        <f t="shared" ca="1" si="29"/>
        <v>0</v>
      </c>
      <c r="T76" s="810">
        <f t="shared" ca="1" si="5"/>
        <v>0</v>
      </c>
      <c r="U76" s="490"/>
      <c r="V76" s="491"/>
    </row>
    <row r="77" spans="1:22">
      <c r="A77" s="757">
        <f t="shared" ref="A77:A86" si="32">A76+1</f>
        <v>116</v>
      </c>
      <c r="B77" s="627">
        <f t="shared" si="23"/>
        <v>66</v>
      </c>
      <c r="C77" s="662" t="str">
        <f t="shared" ca="1" si="6"/>
        <v/>
      </c>
      <c r="D77" s="672">
        <f t="shared" ca="1" si="31"/>
        <v>0</v>
      </c>
      <c r="E77" s="672">
        <f t="shared" ref="E77:S83" ca="1" si="33">INDIRECT(E$1&amp;"!"&amp;VLOOKUP($C$3,mdr,2,0)&amp;$A77)</f>
        <v>0</v>
      </c>
      <c r="F77" s="672">
        <f t="shared" ca="1" si="33"/>
        <v>0</v>
      </c>
      <c r="G77" s="672">
        <f t="shared" ca="1" si="33"/>
        <v>0</v>
      </c>
      <c r="H77" s="672">
        <f t="shared" ca="1" si="33"/>
        <v>0</v>
      </c>
      <c r="I77" s="672">
        <f t="shared" ca="1" si="33"/>
        <v>0</v>
      </c>
      <c r="J77" s="672">
        <f t="shared" ca="1" si="33"/>
        <v>0</v>
      </c>
      <c r="K77" s="672">
        <f t="shared" ca="1" si="33"/>
        <v>0</v>
      </c>
      <c r="L77" s="672">
        <f t="shared" ca="1" si="33"/>
        <v>0</v>
      </c>
      <c r="M77" s="672">
        <f t="shared" ca="1" si="33"/>
        <v>0</v>
      </c>
      <c r="N77" s="672">
        <f t="shared" ca="1" si="33"/>
        <v>0</v>
      </c>
      <c r="O77" s="672">
        <f t="shared" ca="1" si="33"/>
        <v>0</v>
      </c>
      <c r="P77" s="672">
        <f t="shared" ca="1" si="33"/>
        <v>0</v>
      </c>
      <c r="Q77" s="672">
        <f t="shared" ca="1" si="33"/>
        <v>0</v>
      </c>
      <c r="R77" s="672">
        <f t="shared" ca="1" si="33"/>
        <v>0</v>
      </c>
      <c r="S77" s="672">
        <f t="shared" ca="1" si="33"/>
        <v>0</v>
      </c>
      <c r="T77" s="809">
        <f t="shared" ref="T77:T87" ca="1" si="34">SUM(D77:S77)</f>
        <v>0</v>
      </c>
      <c r="U77" s="492"/>
      <c r="V77" s="493"/>
    </row>
    <row r="78" spans="1:22">
      <c r="A78" s="757">
        <f t="shared" si="32"/>
        <v>117</v>
      </c>
      <c r="B78" s="631">
        <f t="shared" si="23"/>
        <v>67</v>
      </c>
      <c r="C78" s="663" t="str">
        <f t="shared" ref="C78:C87" ca="1" si="35">IF(ABS(SUM(D78:S78))&gt;0.1,INDIRECT($D$1&amp;"!f"&amp;A78),"")</f>
        <v/>
      </c>
      <c r="D78" s="671">
        <f t="shared" ca="1" si="31"/>
        <v>0</v>
      </c>
      <c r="E78" s="671">
        <f t="shared" ca="1" si="33"/>
        <v>0</v>
      </c>
      <c r="F78" s="671">
        <f t="shared" ca="1" si="33"/>
        <v>0</v>
      </c>
      <c r="G78" s="671">
        <f t="shared" ca="1" si="33"/>
        <v>0</v>
      </c>
      <c r="H78" s="671">
        <f t="shared" ca="1" si="33"/>
        <v>0</v>
      </c>
      <c r="I78" s="671">
        <f t="shared" ca="1" si="33"/>
        <v>0</v>
      </c>
      <c r="J78" s="671">
        <f t="shared" ca="1" si="33"/>
        <v>0</v>
      </c>
      <c r="K78" s="671">
        <f t="shared" ca="1" si="33"/>
        <v>0</v>
      </c>
      <c r="L78" s="671">
        <f t="shared" ca="1" si="33"/>
        <v>0</v>
      </c>
      <c r="M78" s="671">
        <f t="shared" ca="1" si="33"/>
        <v>0</v>
      </c>
      <c r="N78" s="671">
        <f t="shared" ca="1" si="33"/>
        <v>0</v>
      </c>
      <c r="O78" s="671">
        <f t="shared" ca="1" si="33"/>
        <v>0</v>
      </c>
      <c r="P78" s="671">
        <f t="shared" ca="1" si="33"/>
        <v>0</v>
      </c>
      <c r="Q78" s="671">
        <f t="shared" ca="1" si="33"/>
        <v>0</v>
      </c>
      <c r="R78" s="671">
        <f t="shared" ca="1" si="33"/>
        <v>0</v>
      </c>
      <c r="S78" s="671">
        <f t="shared" ca="1" si="33"/>
        <v>0</v>
      </c>
      <c r="T78" s="810">
        <f t="shared" ca="1" si="34"/>
        <v>0</v>
      </c>
      <c r="U78" s="490"/>
      <c r="V78" s="491"/>
    </row>
    <row r="79" spans="1:22">
      <c r="A79" s="757">
        <f t="shared" si="32"/>
        <v>118</v>
      </c>
      <c r="B79" s="763">
        <f t="shared" si="23"/>
        <v>68</v>
      </c>
      <c r="C79" s="768" t="str">
        <f t="shared" ca="1" si="35"/>
        <v/>
      </c>
      <c r="D79" s="769">
        <f t="shared" ca="1" si="31"/>
        <v>0</v>
      </c>
      <c r="E79" s="769">
        <f t="shared" ca="1" si="33"/>
        <v>0</v>
      </c>
      <c r="F79" s="769">
        <f t="shared" ca="1" si="33"/>
        <v>0</v>
      </c>
      <c r="G79" s="769">
        <f t="shared" ca="1" si="33"/>
        <v>0</v>
      </c>
      <c r="H79" s="769">
        <f t="shared" ca="1" si="33"/>
        <v>0</v>
      </c>
      <c r="I79" s="769">
        <f t="shared" ca="1" si="33"/>
        <v>0</v>
      </c>
      <c r="J79" s="769">
        <f t="shared" ca="1" si="33"/>
        <v>0</v>
      </c>
      <c r="K79" s="769">
        <f t="shared" ca="1" si="33"/>
        <v>0</v>
      </c>
      <c r="L79" s="769">
        <f t="shared" ca="1" si="33"/>
        <v>0</v>
      </c>
      <c r="M79" s="769">
        <f t="shared" ca="1" si="33"/>
        <v>0</v>
      </c>
      <c r="N79" s="769">
        <f t="shared" ca="1" si="33"/>
        <v>0</v>
      </c>
      <c r="O79" s="769">
        <f t="shared" ca="1" si="33"/>
        <v>0</v>
      </c>
      <c r="P79" s="769">
        <f t="shared" ca="1" si="33"/>
        <v>0</v>
      </c>
      <c r="Q79" s="769">
        <f t="shared" ca="1" si="33"/>
        <v>0</v>
      </c>
      <c r="R79" s="769">
        <f t="shared" ca="1" si="33"/>
        <v>0</v>
      </c>
      <c r="S79" s="769">
        <f t="shared" ca="1" si="33"/>
        <v>0</v>
      </c>
      <c r="T79" s="811">
        <f t="shared" ca="1" si="34"/>
        <v>0</v>
      </c>
      <c r="U79" s="492"/>
      <c r="V79" s="493"/>
    </row>
    <row r="80" spans="1:22">
      <c r="A80" s="757">
        <f t="shared" si="32"/>
        <v>119</v>
      </c>
      <c r="B80" s="631">
        <f t="shared" si="23"/>
        <v>69</v>
      </c>
      <c r="C80" s="663" t="str">
        <f t="shared" ca="1" si="35"/>
        <v/>
      </c>
      <c r="D80" s="671">
        <f t="shared" ca="1" si="31"/>
        <v>0</v>
      </c>
      <c r="E80" s="671">
        <f t="shared" ca="1" si="33"/>
        <v>0</v>
      </c>
      <c r="F80" s="671">
        <f t="shared" ca="1" si="33"/>
        <v>0</v>
      </c>
      <c r="G80" s="671">
        <f t="shared" ca="1" si="33"/>
        <v>0</v>
      </c>
      <c r="H80" s="671">
        <f t="shared" ca="1" si="33"/>
        <v>0</v>
      </c>
      <c r="I80" s="671">
        <f t="shared" ca="1" si="33"/>
        <v>0</v>
      </c>
      <c r="J80" s="671">
        <f t="shared" ca="1" si="33"/>
        <v>0</v>
      </c>
      <c r="K80" s="671">
        <f t="shared" ca="1" si="33"/>
        <v>0</v>
      </c>
      <c r="L80" s="671">
        <f t="shared" ca="1" si="33"/>
        <v>0</v>
      </c>
      <c r="M80" s="671">
        <f t="shared" ca="1" si="33"/>
        <v>0</v>
      </c>
      <c r="N80" s="671">
        <f t="shared" ca="1" si="33"/>
        <v>0</v>
      </c>
      <c r="O80" s="671">
        <f t="shared" ca="1" si="33"/>
        <v>0</v>
      </c>
      <c r="P80" s="671">
        <f t="shared" ca="1" si="33"/>
        <v>0</v>
      </c>
      <c r="Q80" s="671">
        <f t="shared" ca="1" si="33"/>
        <v>0</v>
      </c>
      <c r="R80" s="671">
        <f t="shared" ca="1" si="33"/>
        <v>0</v>
      </c>
      <c r="S80" s="671">
        <f t="shared" ca="1" si="33"/>
        <v>0</v>
      </c>
      <c r="T80" s="810">
        <f t="shared" ca="1" si="34"/>
        <v>0</v>
      </c>
      <c r="U80" s="490"/>
      <c r="V80" s="491"/>
    </row>
    <row r="81" spans="1:22">
      <c r="A81" s="757">
        <f t="shared" si="32"/>
        <v>120</v>
      </c>
      <c r="B81" s="627">
        <f t="shared" si="23"/>
        <v>70</v>
      </c>
      <c r="C81" s="662" t="str">
        <f t="shared" ca="1" si="35"/>
        <v/>
      </c>
      <c r="D81" s="672">
        <f t="shared" ca="1" si="31"/>
        <v>0</v>
      </c>
      <c r="E81" s="672">
        <f t="shared" ca="1" si="33"/>
        <v>0</v>
      </c>
      <c r="F81" s="672">
        <f t="shared" ca="1" si="33"/>
        <v>0</v>
      </c>
      <c r="G81" s="672">
        <f t="shared" ca="1" si="33"/>
        <v>0</v>
      </c>
      <c r="H81" s="672">
        <f t="shared" ca="1" si="33"/>
        <v>0</v>
      </c>
      <c r="I81" s="672">
        <f t="shared" ca="1" si="33"/>
        <v>0</v>
      </c>
      <c r="J81" s="672">
        <f t="shared" ca="1" si="33"/>
        <v>0</v>
      </c>
      <c r="K81" s="672">
        <f t="shared" ca="1" si="33"/>
        <v>0</v>
      </c>
      <c r="L81" s="672">
        <f t="shared" ca="1" si="33"/>
        <v>0</v>
      </c>
      <c r="M81" s="672">
        <f t="shared" ca="1" si="33"/>
        <v>0</v>
      </c>
      <c r="N81" s="672">
        <f t="shared" ca="1" si="33"/>
        <v>0</v>
      </c>
      <c r="O81" s="672">
        <f t="shared" ca="1" si="33"/>
        <v>0</v>
      </c>
      <c r="P81" s="672">
        <f t="shared" ca="1" si="33"/>
        <v>0</v>
      </c>
      <c r="Q81" s="672">
        <f t="shared" ca="1" si="33"/>
        <v>0</v>
      </c>
      <c r="R81" s="672">
        <f t="shared" ca="1" si="33"/>
        <v>0</v>
      </c>
      <c r="S81" s="672">
        <f t="shared" ca="1" si="33"/>
        <v>0</v>
      </c>
      <c r="T81" s="809">
        <f t="shared" ca="1" si="34"/>
        <v>0</v>
      </c>
      <c r="U81" s="492"/>
      <c r="V81" s="493"/>
    </row>
    <row r="82" spans="1:22">
      <c r="A82" s="757">
        <f t="shared" si="32"/>
        <v>121</v>
      </c>
      <c r="B82" s="631">
        <f t="shared" si="23"/>
        <v>71</v>
      </c>
      <c r="C82" s="663" t="str">
        <f t="shared" ca="1" si="35"/>
        <v/>
      </c>
      <c r="D82" s="671">
        <f t="shared" ca="1" si="31"/>
        <v>0</v>
      </c>
      <c r="E82" s="671">
        <f t="shared" ca="1" si="33"/>
        <v>0</v>
      </c>
      <c r="F82" s="671">
        <f t="shared" ca="1" si="33"/>
        <v>0</v>
      </c>
      <c r="G82" s="671">
        <f t="shared" ca="1" si="33"/>
        <v>0</v>
      </c>
      <c r="H82" s="671">
        <f t="shared" ca="1" si="33"/>
        <v>0</v>
      </c>
      <c r="I82" s="671">
        <f t="shared" ca="1" si="33"/>
        <v>0</v>
      </c>
      <c r="J82" s="671">
        <f t="shared" ca="1" si="33"/>
        <v>0</v>
      </c>
      <c r="K82" s="671">
        <f t="shared" ca="1" si="33"/>
        <v>0</v>
      </c>
      <c r="L82" s="671">
        <f t="shared" ca="1" si="33"/>
        <v>0</v>
      </c>
      <c r="M82" s="671">
        <f t="shared" ca="1" si="33"/>
        <v>0</v>
      </c>
      <c r="N82" s="671">
        <f t="shared" ca="1" si="33"/>
        <v>0</v>
      </c>
      <c r="O82" s="671">
        <f t="shared" ca="1" si="33"/>
        <v>0</v>
      </c>
      <c r="P82" s="671">
        <f t="shared" ca="1" si="33"/>
        <v>0</v>
      </c>
      <c r="Q82" s="671">
        <f t="shared" ca="1" si="33"/>
        <v>0</v>
      </c>
      <c r="R82" s="671">
        <f t="shared" ca="1" si="33"/>
        <v>0</v>
      </c>
      <c r="S82" s="671">
        <f t="shared" ca="1" si="33"/>
        <v>0</v>
      </c>
      <c r="T82" s="810">
        <f t="shared" ca="1" si="34"/>
        <v>0</v>
      </c>
      <c r="U82" s="490"/>
      <c r="V82" s="491"/>
    </row>
    <row r="83" spans="1:22">
      <c r="A83" s="757">
        <f t="shared" si="32"/>
        <v>122</v>
      </c>
      <c r="B83" s="627">
        <f t="shared" si="23"/>
        <v>72</v>
      </c>
      <c r="C83" s="662" t="str">
        <f t="shared" ca="1" si="35"/>
        <v/>
      </c>
      <c r="D83" s="672">
        <f t="shared" ca="1" si="31"/>
        <v>0</v>
      </c>
      <c r="E83" s="672">
        <f t="shared" ca="1" si="33"/>
        <v>0</v>
      </c>
      <c r="F83" s="672">
        <f t="shared" ca="1" si="33"/>
        <v>0</v>
      </c>
      <c r="G83" s="672">
        <f t="shared" ca="1" si="33"/>
        <v>0</v>
      </c>
      <c r="H83" s="672">
        <f t="shared" ca="1" si="33"/>
        <v>0</v>
      </c>
      <c r="I83" s="672">
        <f t="shared" ca="1" si="33"/>
        <v>0</v>
      </c>
      <c r="J83" s="672">
        <f t="shared" ca="1" si="33"/>
        <v>0</v>
      </c>
      <c r="K83" s="672">
        <f t="shared" ca="1" si="33"/>
        <v>0</v>
      </c>
      <c r="L83" s="672">
        <f t="shared" ca="1" si="33"/>
        <v>0</v>
      </c>
      <c r="M83" s="672">
        <f t="shared" ca="1" si="33"/>
        <v>0</v>
      </c>
      <c r="N83" s="672">
        <f t="shared" ca="1" si="33"/>
        <v>0</v>
      </c>
      <c r="O83" s="672">
        <f t="shared" ca="1" si="33"/>
        <v>0</v>
      </c>
      <c r="P83" s="672">
        <f t="shared" ca="1" si="33"/>
        <v>0</v>
      </c>
      <c r="Q83" s="672">
        <f t="shared" ca="1" si="33"/>
        <v>0</v>
      </c>
      <c r="R83" s="672">
        <f t="shared" ca="1" si="33"/>
        <v>0</v>
      </c>
      <c r="S83" s="672">
        <f t="shared" ca="1" si="33"/>
        <v>0</v>
      </c>
      <c r="T83" s="809">
        <f t="shared" ca="1" si="34"/>
        <v>0</v>
      </c>
      <c r="U83" s="492"/>
      <c r="V83" s="493"/>
    </row>
    <row r="84" spans="1:22">
      <c r="A84" s="757">
        <f t="shared" si="32"/>
        <v>123</v>
      </c>
      <c r="B84" s="631">
        <f t="shared" si="23"/>
        <v>73</v>
      </c>
      <c r="C84" s="663" t="str">
        <f t="shared" ca="1" si="35"/>
        <v/>
      </c>
      <c r="D84" s="671">
        <f t="shared" ref="D84:S90" ca="1" si="36">INDIRECT(D$1&amp;"!"&amp;VLOOKUP($C$3,mdr,2,0)&amp;$A84)</f>
        <v>0</v>
      </c>
      <c r="E84" s="671">
        <f t="shared" ca="1" si="36"/>
        <v>0</v>
      </c>
      <c r="F84" s="671">
        <f t="shared" ca="1" si="36"/>
        <v>0</v>
      </c>
      <c r="G84" s="671">
        <f t="shared" ca="1" si="36"/>
        <v>0</v>
      </c>
      <c r="H84" s="671">
        <f t="shared" ca="1" si="36"/>
        <v>0</v>
      </c>
      <c r="I84" s="671">
        <f t="shared" ca="1" si="36"/>
        <v>0</v>
      </c>
      <c r="J84" s="671">
        <f t="shared" ca="1" si="36"/>
        <v>0</v>
      </c>
      <c r="K84" s="671">
        <f t="shared" ca="1" si="36"/>
        <v>0</v>
      </c>
      <c r="L84" s="671">
        <f t="shared" ca="1" si="36"/>
        <v>0</v>
      </c>
      <c r="M84" s="671">
        <f t="shared" ca="1" si="36"/>
        <v>0</v>
      </c>
      <c r="N84" s="671">
        <f t="shared" ca="1" si="36"/>
        <v>0</v>
      </c>
      <c r="O84" s="671">
        <f t="shared" ca="1" si="36"/>
        <v>0</v>
      </c>
      <c r="P84" s="671">
        <f t="shared" ca="1" si="36"/>
        <v>0</v>
      </c>
      <c r="Q84" s="671">
        <f t="shared" ca="1" si="36"/>
        <v>0</v>
      </c>
      <c r="R84" s="671">
        <f t="shared" ca="1" si="36"/>
        <v>0</v>
      </c>
      <c r="S84" s="671">
        <f t="shared" ca="1" si="36"/>
        <v>0</v>
      </c>
      <c r="T84" s="810">
        <f t="shared" ca="1" si="34"/>
        <v>0</v>
      </c>
      <c r="U84" s="490"/>
      <c r="V84" s="491"/>
    </row>
    <row r="85" spans="1:22">
      <c r="A85" s="757">
        <f t="shared" si="32"/>
        <v>124</v>
      </c>
      <c r="B85" s="762">
        <f t="shared" si="23"/>
        <v>74</v>
      </c>
      <c r="C85" s="766" t="str">
        <f t="shared" ca="1" si="35"/>
        <v/>
      </c>
      <c r="D85" s="767">
        <f t="shared" ref="D85:D90" ca="1" si="37">INDIRECT(D$1&amp;"!"&amp;VLOOKUP($C$3,mdr,2,0)&amp;$A85)</f>
        <v>0</v>
      </c>
      <c r="E85" s="767">
        <f t="shared" ca="1" si="36"/>
        <v>0</v>
      </c>
      <c r="F85" s="767">
        <f t="shared" ca="1" si="36"/>
        <v>0</v>
      </c>
      <c r="G85" s="767">
        <f t="shared" ca="1" si="36"/>
        <v>0</v>
      </c>
      <c r="H85" s="767">
        <f t="shared" ca="1" si="36"/>
        <v>0</v>
      </c>
      <c r="I85" s="767">
        <f t="shared" ca="1" si="36"/>
        <v>0</v>
      </c>
      <c r="J85" s="767">
        <f t="shared" ca="1" si="36"/>
        <v>0</v>
      </c>
      <c r="K85" s="767">
        <f t="shared" ca="1" si="36"/>
        <v>0</v>
      </c>
      <c r="L85" s="767">
        <f t="shared" ca="1" si="36"/>
        <v>0</v>
      </c>
      <c r="M85" s="767">
        <f t="shared" ca="1" si="36"/>
        <v>0</v>
      </c>
      <c r="N85" s="767">
        <f t="shared" ca="1" si="36"/>
        <v>0</v>
      </c>
      <c r="O85" s="767">
        <f t="shared" ca="1" si="36"/>
        <v>0</v>
      </c>
      <c r="P85" s="767">
        <f t="shared" ca="1" si="36"/>
        <v>0</v>
      </c>
      <c r="Q85" s="767">
        <f t="shared" ca="1" si="36"/>
        <v>0</v>
      </c>
      <c r="R85" s="767">
        <f t="shared" ca="1" si="36"/>
        <v>0</v>
      </c>
      <c r="S85" s="672">
        <f t="shared" ca="1" si="36"/>
        <v>0</v>
      </c>
      <c r="T85" s="809">
        <f t="shared" ca="1" si="34"/>
        <v>0</v>
      </c>
      <c r="U85" s="492"/>
      <c r="V85" s="493"/>
    </row>
    <row r="86" spans="1:22">
      <c r="A86" s="757">
        <f t="shared" si="32"/>
        <v>125</v>
      </c>
      <c r="B86" s="765">
        <f t="shared" si="23"/>
        <v>75</v>
      </c>
      <c r="C86" s="830" t="str">
        <f t="shared" ca="1" si="35"/>
        <v/>
      </c>
      <c r="D86" s="831">
        <f t="shared" ca="1" si="37"/>
        <v>0</v>
      </c>
      <c r="E86" s="831">
        <f ca="1">INDIRECT(E$1&amp;"!"&amp;VLOOKUP($C$3,mdr,2,0)&amp;$A86)</f>
        <v>0</v>
      </c>
      <c r="F86" s="831">
        <f t="shared" ca="1" si="36"/>
        <v>0</v>
      </c>
      <c r="G86" s="831">
        <f t="shared" ca="1" si="36"/>
        <v>0</v>
      </c>
      <c r="H86" s="831">
        <f t="shared" ca="1" si="36"/>
        <v>0</v>
      </c>
      <c r="I86" s="831">
        <f t="shared" ca="1" si="36"/>
        <v>0</v>
      </c>
      <c r="J86" s="831">
        <f t="shared" ca="1" si="36"/>
        <v>0</v>
      </c>
      <c r="K86" s="831">
        <f t="shared" ca="1" si="36"/>
        <v>0</v>
      </c>
      <c r="L86" s="831">
        <f t="shared" ca="1" si="36"/>
        <v>0</v>
      </c>
      <c r="M86" s="831">
        <f t="shared" ca="1" si="36"/>
        <v>0</v>
      </c>
      <c r="N86" s="831">
        <f t="shared" ca="1" si="36"/>
        <v>0</v>
      </c>
      <c r="O86" s="831">
        <f t="shared" ca="1" si="36"/>
        <v>0</v>
      </c>
      <c r="P86" s="831">
        <f t="shared" ca="1" si="36"/>
        <v>0</v>
      </c>
      <c r="Q86" s="831">
        <f t="shared" ca="1" si="36"/>
        <v>0</v>
      </c>
      <c r="R86" s="831">
        <f t="shared" ca="1" si="36"/>
        <v>0</v>
      </c>
      <c r="S86" s="828">
        <f t="shared" ca="1" si="36"/>
        <v>0</v>
      </c>
      <c r="T86" s="832">
        <f t="shared" ca="1" si="34"/>
        <v>0</v>
      </c>
      <c r="U86" s="492"/>
      <c r="V86" s="493"/>
    </row>
    <row r="87" spans="1:22">
      <c r="A87" s="757">
        <v>51</v>
      </c>
      <c r="B87" s="762">
        <f t="shared" si="23"/>
        <v>76</v>
      </c>
      <c r="C87" s="766" t="str">
        <f t="shared" ca="1" si="35"/>
        <v/>
      </c>
      <c r="D87" s="767">
        <f t="shared" ca="1" si="37"/>
        <v>0</v>
      </c>
      <c r="E87" s="767">
        <f ca="1">INDIRECT(E$1&amp;"!"&amp;VLOOKUP($C$3,mdr,2,0)&amp;$A87)</f>
        <v>0</v>
      </c>
      <c r="F87" s="767">
        <f t="shared" ca="1" si="36"/>
        <v>0</v>
      </c>
      <c r="G87" s="767">
        <f t="shared" ca="1" si="36"/>
        <v>0</v>
      </c>
      <c r="H87" s="767">
        <f t="shared" ca="1" si="36"/>
        <v>0</v>
      </c>
      <c r="I87" s="767">
        <f t="shared" ca="1" si="36"/>
        <v>0</v>
      </c>
      <c r="J87" s="767">
        <f t="shared" ca="1" si="36"/>
        <v>0</v>
      </c>
      <c r="K87" s="767">
        <f t="shared" ca="1" si="36"/>
        <v>0</v>
      </c>
      <c r="L87" s="767">
        <f t="shared" ca="1" si="36"/>
        <v>0</v>
      </c>
      <c r="M87" s="767">
        <f t="shared" ca="1" si="36"/>
        <v>0</v>
      </c>
      <c r="N87" s="767">
        <f t="shared" ca="1" si="36"/>
        <v>0</v>
      </c>
      <c r="O87" s="767">
        <f t="shared" ca="1" si="36"/>
        <v>0</v>
      </c>
      <c r="P87" s="767">
        <f t="shared" ca="1" si="36"/>
        <v>0</v>
      </c>
      <c r="Q87" s="767">
        <f t="shared" ca="1" si="36"/>
        <v>0</v>
      </c>
      <c r="R87" s="767">
        <f t="shared" ca="1" si="36"/>
        <v>0</v>
      </c>
      <c r="S87" s="672">
        <f t="shared" ca="1" si="36"/>
        <v>0</v>
      </c>
      <c r="T87" s="809">
        <f t="shared" ca="1" si="34"/>
        <v>0</v>
      </c>
      <c r="U87" s="492"/>
      <c r="V87" s="493"/>
    </row>
    <row r="88" spans="1:22">
      <c r="A88" s="757">
        <v>49</v>
      </c>
      <c r="B88" s="764">
        <f t="shared" si="23"/>
        <v>77</v>
      </c>
      <c r="C88" s="1107" t="str">
        <f t="shared" ref="C88:C90" ca="1" si="38">IF(ABS(SUM(D88:S88))&gt;0.1,INDIRECT($D$1&amp;"!f"&amp;A88),"")</f>
        <v/>
      </c>
      <c r="D88" s="1108">
        <f t="shared" ca="1" si="37"/>
        <v>0</v>
      </c>
      <c r="E88" s="1108"/>
      <c r="F88" s="1108"/>
      <c r="G88" s="1108"/>
      <c r="H88" s="1108"/>
      <c r="I88" s="1108"/>
      <c r="J88" s="1108"/>
      <c r="K88" s="1108"/>
      <c r="L88" s="1108"/>
      <c r="M88" s="1108"/>
      <c r="N88" s="1108"/>
      <c r="O88" s="1108"/>
      <c r="P88" s="1108"/>
      <c r="Q88" s="1108"/>
      <c r="R88" s="1108"/>
      <c r="S88" s="671"/>
      <c r="T88" s="1109"/>
      <c r="U88" s="492"/>
      <c r="V88" s="493"/>
    </row>
    <row r="89" spans="1:22">
      <c r="A89" s="757">
        <v>50</v>
      </c>
      <c r="B89" s="1104">
        <f t="shared" si="23"/>
        <v>78</v>
      </c>
      <c r="C89" s="1105" t="str">
        <f t="shared" ca="1" si="38"/>
        <v/>
      </c>
      <c r="D89" s="1106">
        <f t="shared" ca="1" si="37"/>
        <v>0</v>
      </c>
      <c r="E89" s="1066"/>
      <c r="F89" s="1066"/>
      <c r="G89" s="1066"/>
      <c r="H89" s="1066"/>
      <c r="I89" s="1066"/>
      <c r="J89" s="1066"/>
      <c r="K89" s="1066"/>
      <c r="L89" s="1066"/>
      <c r="M89" s="1066"/>
      <c r="N89" s="1066"/>
      <c r="O89" s="1066"/>
      <c r="P89" s="1066"/>
      <c r="Q89" s="1066"/>
      <c r="R89" s="1066"/>
      <c r="S89" s="1067"/>
      <c r="T89" s="1068"/>
      <c r="U89" s="492"/>
      <c r="V89" s="493"/>
    </row>
    <row r="90" spans="1:22" ht="14" thickBot="1">
      <c r="A90" s="757">
        <v>126</v>
      </c>
      <c r="B90" s="1101">
        <f>B89+1</f>
        <v>79</v>
      </c>
      <c r="C90" s="1102" t="str">
        <f t="shared" ca="1" si="38"/>
        <v/>
      </c>
      <c r="D90" s="1103">
        <f t="shared" ca="1" si="37"/>
        <v>0</v>
      </c>
      <c r="E90" s="955">
        <f ca="1">INDIRECT(E$1&amp;"!"&amp;VLOOKUP($C$3,mdr,2,0)&amp;$A90)</f>
        <v>0</v>
      </c>
      <c r="F90" s="955">
        <f t="shared" ca="1" si="36"/>
        <v>0</v>
      </c>
      <c r="G90" s="955">
        <f t="shared" ca="1" si="36"/>
        <v>0</v>
      </c>
      <c r="H90" s="955">
        <f t="shared" ca="1" si="36"/>
        <v>0</v>
      </c>
      <c r="I90" s="955">
        <f t="shared" ca="1" si="36"/>
        <v>0</v>
      </c>
      <c r="J90" s="955">
        <f t="shared" ca="1" si="36"/>
        <v>0</v>
      </c>
      <c r="K90" s="955">
        <f t="shared" ca="1" si="36"/>
        <v>0</v>
      </c>
      <c r="L90" s="955">
        <f t="shared" ca="1" si="36"/>
        <v>0</v>
      </c>
      <c r="M90" s="955">
        <f t="shared" ca="1" si="36"/>
        <v>0</v>
      </c>
      <c r="N90" s="955">
        <f t="shared" ca="1" si="36"/>
        <v>0</v>
      </c>
      <c r="O90" s="955">
        <f t="shared" ca="1" si="36"/>
        <v>0</v>
      </c>
      <c r="P90" s="955">
        <f t="shared" ca="1" si="36"/>
        <v>0</v>
      </c>
      <c r="Q90" s="955">
        <f t="shared" ca="1" si="36"/>
        <v>0</v>
      </c>
      <c r="R90" s="955">
        <f t="shared" ca="1" si="36"/>
        <v>0</v>
      </c>
      <c r="S90" s="955">
        <f t="shared" ca="1" si="36"/>
        <v>0</v>
      </c>
      <c r="T90" s="956">
        <f ca="1">SUM(D90:S90)</f>
        <v>0</v>
      </c>
      <c r="U90" s="492"/>
      <c r="V90" s="493"/>
    </row>
    <row r="91" spans="1:22" ht="14" thickTop="1">
      <c r="B91" s="425" t="str">
        <f ca="1">IF(LEN(CONCATENATE($C$37,$C$38,$C$39))&gt;0,"*)","")</f>
        <v/>
      </c>
      <c r="C91" s="426" t="str">
        <f ca="1">IF(LEN(CONCATENATE($C$37,$C$38,$C$39))&gt;0,"Taksten beregnes som 1/1924 af alle faste månedsløndele (v. 100% BG) x 12 (bortset fra Gruppelivstillæg)","")</f>
        <v/>
      </c>
      <c r="U91" s="664"/>
      <c r="V91" s="491"/>
    </row>
    <row r="92" spans="1:22">
      <c r="A92" s="433"/>
      <c r="B92" s="559" t="str">
        <f ca="1">IF(LEN(CONCATENATE(C62,C63))&gt;0,"**)","")</f>
        <v/>
      </c>
      <c r="C92" s="1177" t="str">
        <f ca="1">IF(LEN(CONCATENATE(C62,C63))&gt;0,"(Der indbetales18% af summen af de 'pensionsgivende løndele', der overstiger skalatrin 33 (bhkl.ledere) eller 42 (lærere) - også selv om der ikke er aftalt supplerende pension.)","")</f>
        <v/>
      </c>
      <c r="D92" s="1177"/>
      <c r="E92" s="1178"/>
      <c r="U92" s="665"/>
      <c r="V92" s="493"/>
    </row>
    <row r="93" spans="1:22">
      <c r="A93" s="490"/>
      <c r="B93" s="490"/>
      <c r="C93" s="490"/>
      <c r="D93" s="494"/>
      <c r="E93" s="494"/>
      <c r="F93" s="490"/>
      <c r="G93" s="490"/>
      <c r="H93" s="490"/>
      <c r="I93" s="490"/>
      <c r="J93" s="494"/>
      <c r="K93" s="494"/>
      <c r="L93" s="490"/>
      <c r="M93" s="490"/>
      <c r="N93" s="490"/>
      <c r="O93" s="490"/>
      <c r="P93" s="494"/>
      <c r="Q93" s="494"/>
      <c r="R93" s="490"/>
      <c r="S93" s="494"/>
      <c r="T93" s="490"/>
      <c r="U93" s="664"/>
      <c r="V93" s="491"/>
    </row>
    <row r="94" spans="1:22">
      <c r="A94" s="492"/>
      <c r="B94" s="492"/>
      <c r="C94" s="492"/>
      <c r="D94" s="495"/>
      <c r="E94" s="495"/>
      <c r="F94" s="492"/>
      <c r="G94" s="492"/>
      <c r="H94" s="492"/>
      <c r="I94" s="492"/>
      <c r="J94" s="495"/>
      <c r="K94" s="495"/>
      <c r="L94" s="492"/>
      <c r="M94" s="492"/>
      <c r="N94" s="492"/>
      <c r="O94" s="492"/>
      <c r="P94" s="495"/>
      <c r="Q94" s="495"/>
      <c r="R94" s="492"/>
      <c r="S94" s="495"/>
      <c r="T94" s="492"/>
      <c r="U94" s="665"/>
      <c r="V94" s="493"/>
    </row>
    <row r="95" spans="1:22">
      <c r="A95" s="490"/>
      <c r="B95" s="490"/>
      <c r="C95" s="490"/>
      <c r="D95" s="494"/>
      <c r="E95" s="494"/>
      <c r="F95" s="490"/>
      <c r="G95" s="490"/>
      <c r="H95" s="490"/>
      <c r="I95" s="490"/>
      <c r="J95" s="494"/>
      <c r="K95" s="494"/>
      <c r="L95" s="490"/>
      <c r="M95" s="490"/>
      <c r="N95" s="490"/>
      <c r="O95" s="490"/>
      <c r="P95" s="494"/>
      <c r="Q95" s="494"/>
      <c r="R95" s="490"/>
      <c r="S95" s="494"/>
      <c r="T95" s="490"/>
      <c r="U95" s="664"/>
      <c r="V95" s="491"/>
    </row>
    <row r="100" ht="12" customHeight="1"/>
  </sheetData>
  <sheetProtection sheet="1" formatCells="0" formatColumns="0" formatRows="0"/>
  <mergeCells count="1">
    <mergeCell ref="C92:E92"/>
  </mergeCells>
  <phoneticPr fontId="12" type="noConversion"/>
  <printOptions horizontalCentered="1" verticalCentered="1"/>
  <pageMargins left="0.35629921259842523" right="0.35629921259842523" top="1" bottom="1" header="0.5" footer="0.5"/>
  <pageSetup paperSize="9" scale="73"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2" r:id="rId3" name="Button 1">
              <controlPr locked="0" defaultSize="0" print="0" autoFill="0" autoPict="0">
                <anchor moveWithCells="1" sizeWithCells="1">
                  <from>
                    <xdr:col>19</xdr:col>
                    <xdr:colOff>50800</xdr:colOff>
                    <xdr:row>0</xdr:row>
                    <xdr:rowOff>0</xdr:rowOff>
                  </from>
                  <to>
                    <xdr:col>19</xdr:col>
                    <xdr:colOff>850900</xdr:colOff>
                    <xdr:row>2</xdr:row>
                    <xdr:rowOff>139700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8">
    <tabColor theme="5" tint="0.59999389629810485"/>
    <pageSetUpPr fitToPage="1"/>
  </sheetPr>
  <dimension ref="A1:K96"/>
  <sheetViews>
    <sheetView showZeros="0" topLeftCell="A7" zoomScale="125" zoomScaleNormal="150" zoomScalePageLayoutView="150" workbookViewId="0">
      <selection activeCell="E29" sqref="E29"/>
    </sheetView>
  </sheetViews>
  <sheetFormatPr baseColWidth="10" defaultColWidth="10.7109375" defaultRowHeight="13"/>
  <cols>
    <col min="1" max="1" width="6" style="90" customWidth="1"/>
    <col min="2" max="2" width="3.42578125" style="90" customWidth="1"/>
    <col min="3" max="3" width="32" style="90" customWidth="1"/>
    <col min="4" max="4" width="46.5703125" style="90" customWidth="1"/>
    <col min="5" max="5" width="11.28515625" style="90" bestFit="1" customWidth="1"/>
    <col min="6" max="7" width="10.7109375" style="90"/>
    <col min="8" max="8" width="32.5703125" style="90" bestFit="1" customWidth="1"/>
    <col min="9" max="9" width="11.42578125" style="90" customWidth="1"/>
    <col min="10" max="10" width="5.140625" style="90" customWidth="1"/>
    <col min="11" max="16384" width="10.7109375" style="90"/>
  </cols>
  <sheetData>
    <row r="1" spans="1:10">
      <c r="A1" s="90" t="s">
        <v>268</v>
      </c>
      <c r="C1" s="635" t="s">
        <v>269</v>
      </c>
      <c r="D1" s="90" t="s">
        <v>481</v>
      </c>
      <c r="F1" s="335" t="s">
        <v>491</v>
      </c>
      <c r="G1" s="335"/>
    </row>
    <row r="2" spans="1:10">
      <c r="A2" s="90" t="s">
        <v>270</v>
      </c>
      <c r="B2" s="430"/>
      <c r="C2" s="458" t="s">
        <v>654</v>
      </c>
      <c r="D2" s="90" t="s">
        <v>495</v>
      </c>
      <c r="F2" s="335" t="s">
        <v>493</v>
      </c>
      <c r="G2" s="335"/>
    </row>
    <row r="3" spans="1:10">
      <c r="F3" s="335" t="s">
        <v>494</v>
      </c>
      <c r="G3" s="335"/>
    </row>
    <row r="4" spans="1:10" ht="15">
      <c r="A4" s="336">
        <v>1</v>
      </c>
      <c r="B4" s="261"/>
      <c r="C4" s="261" t="s">
        <v>272</v>
      </c>
      <c r="D4" s="262" t="str">
        <f t="shared" ref="D4:D9" ca="1" si="0">INDIRECT($C$1&amp;"!"&amp;VLOOKUP($C$2,mdr,2,0)&amp;A4)</f>
        <v xml:space="preserve">A </v>
      </c>
      <c r="F4" s="1158"/>
      <c r="G4" s="1159"/>
    </row>
    <row r="5" spans="1:10" ht="14">
      <c r="A5" s="336">
        <v>2</v>
      </c>
      <c r="B5" s="263"/>
      <c r="C5" s="263" t="s">
        <v>273</v>
      </c>
      <c r="D5" s="264" t="str">
        <f t="shared" ca="1" si="0"/>
        <v>AUG 25</v>
      </c>
      <c r="F5" s="1160"/>
      <c r="G5" s="1161"/>
      <c r="I5" s="413" t="s">
        <v>278</v>
      </c>
      <c r="J5" s="414" t="s">
        <v>297</v>
      </c>
    </row>
    <row r="6" spans="1:10" ht="14">
      <c r="A6" s="336">
        <v>11</v>
      </c>
      <c r="B6" s="265"/>
      <c r="C6" s="265" t="s">
        <v>274</v>
      </c>
      <c r="D6" s="266">
        <f t="shared" ca="1" si="0"/>
        <v>0</v>
      </c>
      <c r="F6" s="1162"/>
      <c r="G6" s="1159"/>
      <c r="I6" s="415" t="s">
        <v>292</v>
      </c>
      <c r="J6" s="416" t="s">
        <v>299</v>
      </c>
    </row>
    <row r="7" spans="1:10" ht="14">
      <c r="A7" s="336">
        <v>3</v>
      </c>
      <c r="B7" s="263"/>
      <c r="C7" s="263" t="s">
        <v>275</v>
      </c>
      <c r="D7" s="427">
        <f t="shared" ca="1" si="0"/>
        <v>1</v>
      </c>
      <c r="F7" s="1160"/>
      <c r="G7" s="1161"/>
      <c r="I7" s="415" t="s">
        <v>294</v>
      </c>
      <c r="J7" s="416" t="s">
        <v>301</v>
      </c>
    </row>
    <row r="8" spans="1:10" ht="14">
      <c r="A8" s="336">
        <v>7</v>
      </c>
      <c r="B8" s="265"/>
      <c r="C8" s="265" t="s">
        <v>416</v>
      </c>
      <c r="D8" s="418">
        <f t="shared" ca="1" si="0"/>
        <v>0</v>
      </c>
      <c r="F8" s="1158"/>
      <c r="G8" s="1159"/>
      <c r="I8" s="415" t="s">
        <v>296</v>
      </c>
      <c r="J8" s="416" t="s">
        <v>303</v>
      </c>
    </row>
    <row r="9" spans="1:10" ht="14">
      <c r="A9" s="336">
        <v>12</v>
      </c>
      <c r="B9" s="263"/>
      <c r="C9" s="263" t="s">
        <v>417</v>
      </c>
      <c r="D9" s="429">
        <f t="shared" ca="1" si="0"/>
        <v>0</v>
      </c>
      <c r="F9" s="1160"/>
      <c r="G9" s="1161"/>
      <c r="I9" s="415" t="s">
        <v>298</v>
      </c>
      <c r="J9" s="416" t="s">
        <v>305</v>
      </c>
    </row>
    <row r="10" spans="1:10" ht="14">
      <c r="A10" s="419">
        <v>4</v>
      </c>
      <c r="B10" s="265"/>
      <c r="C10" s="265" t="s">
        <v>427</v>
      </c>
      <c r="D10" s="418" t="str">
        <f ca="1">INDIRECT($C$1&amp;"!"&amp;VLOOKUP($C$2,mdr,2,0)&amp;A10)&amp;"; "&amp;IF(LEFT(INDIRECT($C$1&amp;"!G5"))="L","LP","Tjenestemand, trin "&amp;RIGHT(INDIRECT($C$1&amp;"!G5"),2))</f>
        <v>Læ1; LP</v>
      </c>
      <c r="F10" s="1158"/>
      <c r="G10" s="1159"/>
      <c r="I10" s="415" t="s">
        <v>300</v>
      </c>
      <c r="J10" s="416" t="s">
        <v>307</v>
      </c>
    </row>
    <row r="11" spans="1:10" ht="14">
      <c r="A11" s="336"/>
      <c r="B11" s="661" t="s">
        <v>545</v>
      </c>
      <c r="C11" s="637" t="str">
        <f>"'Tomme' linjer kan være skjult i udskriften"</f>
        <v>'Tomme' linjer kan være skjult i udskriften</v>
      </c>
      <c r="D11" s="431"/>
      <c r="E11" s="432"/>
      <c r="F11" s="1160"/>
      <c r="G11" s="1161"/>
      <c r="I11" s="415" t="s">
        <v>302</v>
      </c>
      <c r="J11" s="416" t="s">
        <v>309</v>
      </c>
    </row>
    <row r="12" spans="1:10" ht="14">
      <c r="A12" s="336">
        <v>53</v>
      </c>
      <c r="B12" s="608">
        <v>1</v>
      </c>
      <c r="C12" s="609" t="str">
        <f t="shared" ref="C12:C86" ca="1" si="1">IF(E12&lt;&gt;0,INDIRECT($C$1&amp;"!f"&amp;A12),"")</f>
        <v/>
      </c>
      <c r="D12" s="617" t="str">
        <f t="shared" ref="D12:D32" ca="1" si="2">IF(E12&lt;&gt;0,INDIRECT($C$1&amp;"!"&amp;VLOOKUP($C$2,mdr,2,0)&amp;A12+114),"")</f>
        <v/>
      </c>
      <c r="E12" s="610">
        <f t="shared" ref="E12:E60" ca="1" si="3">INDIRECT($C$1&amp;"!"&amp;VLOOKUP($C$2,mdr,2,0)&amp;A12)</f>
        <v>0</v>
      </c>
      <c r="F12" s="1158"/>
      <c r="G12" s="1159"/>
      <c r="H12" s="688" t="str">
        <f ca="1">INDIRECT($C$1&amp;"!f"&amp;A12)</f>
        <v>Basisløn</v>
      </c>
      <c r="I12" s="415" t="s">
        <v>304</v>
      </c>
      <c r="J12" s="416" t="s">
        <v>311</v>
      </c>
    </row>
    <row r="13" spans="1:10" ht="14">
      <c r="A13" s="336">
        <f>A12+1</f>
        <v>54</v>
      </c>
      <c r="B13" s="611">
        <f>B12+1</f>
        <v>2</v>
      </c>
      <c r="C13" s="612" t="str">
        <f t="shared" ca="1" si="1"/>
        <v/>
      </c>
      <c r="D13" s="613" t="str">
        <f t="shared" ca="1" si="2"/>
        <v/>
      </c>
      <c r="E13" s="614">
        <f t="shared" ca="1" si="3"/>
        <v>0</v>
      </c>
      <c r="F13" s="1158"/>
      <c r="G13" s="1161"/>
      <c r="H13" s="688" t="str">
        <f t="shared" ref="H13:H77" ca="1" si="4">INDIRECT($C$1&amp;"!f"&amp;A13)</f>
        <v>Områdetillæg</v>
      </c>
      <c r="I13" s="415" t="s">
        <v>306</v>
      </c>
      <c r="J13" s="416" t="s">
        <v>313</v>
      </c>
    </row>
    <row r="14" spans="1:10" ht="18" customHeight="1">
      <c r="A14" s="336">
        <f t="shared" ref="A14:A73" si="5">A13+1</f>
        <v>55</v>
      </c>
      <c r="B14" s="615">
        <f t="shared" ref="B14:B27" si="6">B13+1</f>
        <v>3</v>
      </c>
      <c r="C14" s="616" t="str">
        <f t="shared" ca="1" si="1"/>
        <v/>
      </c>
      <c r="D14" s="617" t="str">
        <f t="shared" ca="1" si="2"/>
        <v/>
      </c>
      <c r="E14" s="618">
        <f t="shared" ca="1" si="3"/>
        <v>0</v>
      </c>
      <c r="F14" s="1158"/>
      <c r="G14" s="1159"/>
      <c r="H14" s="688" t="str">
        <f t="shared" ca="1" si="4"/>
        <v>Undervisningstillæg</v>
      </c>
      <c r="I14" s="415" t="s">
        <v>308</v>
      </c>
      <c r="J14" s="416" t="s">
        <v>405</v>
      </c>
    </row>
    <row r="15" spans="1:10" ht="14">
      <c r="A15" s="336">
        <f t="shared" si="5"/>
        <v>56</v>
      </c>
      <c r="B15" s="611">
        <f t="shared" si="6"/>
        <v>4</v>
      </c>
      <c r="C15" s="612" t="str">
        <f t="shared" ca="1" si="1"/>
        <v/>
      </c>
      <c r="D15" s="613" t="str">
        <f t="shared" ca="1" si="2"/>
        <v/>
      </c>
      <c r="E15" s="614">
        <f t="shared" ca="1" si="3"/>
        <v>0</v>
      </c>
      <c r="F15" s="1158"/>
      <c r="G15" s="1161"/>
      <c r="H15" s="688" t="str">
        <f t="shared" ca="1" si="4"/>
        <v>Souscheftillæg</v>
      </c>
      <c r="I15" s="415" t="s">
        <v>310</v>
      </c>
      <c r="J15" s="416" t="s">
        <v>406</v>
      </c>
    </row>
    <row r="16" spans="1:10" ht="14">
      <c r="A16" s="336">
        <f t="shared" si="5"/>
        <v>57</v>
      </c>
      <c r="B16" s="615">
        <f t="shared" si="6"/>
        <v>5</v>
      </c>
      <c r="C16" s="616" t="str">
        <f t="shared" ca="1" si="1"/>
        <v/>
      </c>
      <c r="D16" s="617" t="str">
        <f t="shared" ca="1" si="2"/>
        <v/>
      </c>
      <c r="E16" s="618">
        <f t="shared" ca="1" si="3"/>
        <v>0</v>
      </c>
      <c r="F16" s="1158"/>
      <c r="G16" s="1159">
        <f>F16*18%</f>
        <v>0</v>
      </c>
      <c r="H16" s="688" t="str">
        <f t="shared" ca="1" si="4"/>
        <v>Funktionstillæg 1</v>
      </c>
      <c r="I16" s="422" t="s">
        <v>312</v>
      </c>
      <c r="J16" s="423" t="s">
        <v>407</v>
      </c>
    </row>
    <row r="17" spans="1:11" ht="14">
      <c r="A17" s="336">
        <f t="shared" si="5"/>
        <v>58</v>
      </c>
      <c r="B17" s="611">
        <f t="shared" si="6"/>
        <v>6</v>
      </c>
      <c r="C17" s="612" t="str">
        <f t="shared" ca="1" si="1"/>
        <v/>
      </c>
      <c r="D17" s="613" t="str">
        <f t="shared" ca="1" si="2"/>
        <v/>
      </c>
      <c r="E17" s="614">
        <f t="shared" ca="1" si="3"/>
        <v>0</v>
      </c>
      <c r="F17" s="1158"/>
      <c r="G17" s="1161">
        <f>G16/3</f>
        <v>0</v>
      </c>
      <c r="H17" s="688" t="str">
        <f t="shared" ca="1" si="4"/>
        <v>Funktionstillæg 2</v>
      </c>
    </row>
    <row r="18" spans="1:11" ht="14">
      <c r="A18" s="336">
        <f t="shared" si="5"/>
        <v>59</v>
      </c>
      <c r="B18" s="615">
        <f t="shared" si="6"/>
        <v>7</v>
      </c>
      <c r="C18" s="616" t="str">
        <f t="shared" ca="1" si="1"/>
        <v/>
      </c>
      <c r="D18" s="617" t="str">
        <f t="shared" ca="1" si="2"/>
        <v/>
      </c>
      <c r="E18" s="618">
        <f t="shared" ca="1" si="3"/>
        <v>0</v>
      </c>
      <c r="F18" s="1158"/>
      <c r="G18" s="1159"/>
      <c r="H18" s="688" t="str">
        <f t="shared" ca="1" si="4"/>
        <v>Funktionstillæg 3</v>
      </c>
    </row>
    <row r="19" spans="1:11" ht="14">
      <c r="A19" s="336">
        <f t="shared" si="5"/>
        <v>60</v>
      </c>
      <c r="B19" s="611">
        <f t="shared" si="6"/>
        <v>8</v>
      </c>
      <c r="C19" s="612" t="str">
        <f t="shared" ca="1" si="1"/>
        <v/>
      </c>
      <c r="D19" s="613" t="str">
        <f t="shared" ca="1" si="2"/>
        <v/>
      </c>
      <c r="E19" s="614">
        <f t="shared" ca="1" si="3"/>
        <v>0</v>
      </c>
      <c r="F19" s="1158"/>
      <c r="G19" s="1161"/>
      <c r="H19" s="688" t="str">
        <f t="shared" ca="1" si="4"/>
        <v>Kvalifikationstillæg 1</v>
      </c>
    </row>
    <row r="20" spans="1:11" ht="14">
      <c r="A20" s="336">
        <f t="shared" si="5"/>
        <v>61</v>
      </c>
      <c r="B20" s="615">
        <f t="shared" si="6"/>
        <v>9</v>
      </c>
      <c r="C20" s="616" t="str">
        <f t="shared" ca="1" si="1"/>
        <v/>
      </c>
      <c r="D20" s="617" t="str">
        <f t="shared" ca="1" si="2"/>
        <v/>
      </c>
      <c r="E20" s="618">
        <f t="shared" ca="1" si="3"/>
        <v>0</v>
      </c>
      <c r="F20" s="1158"/>
      <c r="G20" s="1159"/>
      <c r="H20" s="688" t="str">
        <f t="shared" ca="1" si="4"/>
        <v>Kvalifikationstillæg 2</v>
      </c>
    </row>
    <row r="21" spans="1:11" ht="14">
      <c r="A21" s="336">
        <f t="shared" si="5"/>
        <v>62</v>
      </c>
      <c r="B21" s="611">
        <f t="shared" si="6"/>
        <v>10</v>
      </c>
      <c r="C21" s="612" t="str">
        <f t="shared" ca="1" si="1"/>
        <v/>
      </c>
      <c r="D21" s="613" t="str">
        <f t="shared" ca="1" si="2"/>
        <v/>
      </c>
      <c r="E21" s="614">
        <f t="shared" ca="1" si="3"/>
        <v>0</v>
      </c>
      <c r="F21" s="1158"/>
      <c r="G21" s="1161"/>
      <c r="H21" s="688" t="str">
        <f t="shared" ca="1" si="4"/>
        <v>Kvalifikationstillæg 3</v>
      </c>
    </row>
    <row r="22" spans="1:11" ht="14">
      <c r="A22" s="336">
        <f t="shared" si="5"/>
        <v>63</v>
      </c>
      <c r="B22" s="615">
        <f t="shared" si="6"/>
        <v>11</v>
      </c>
      <c r="C22" s="616" t="str">
        <f t="shared" ca="1" si="1"/>
        <v/>
      </c>
      <c r="D22" s="617" t="str">
        <f t="shared" ca="1" si="2"/>
        <v/>
      </c>
      <c r="E22" s="618">
        <f t="shared" ca="1" si="3"/>
        <v>0</v>
      </c>
      <c r="F22" s="1158"/>
      <c r="G22" s="1159"/>
      <c r="H22" s="688" t="str">
        <f t="shared" ca="1" si="4"/>
        <v>Trin 4-tillæg beregnet 1. aug 2013</v>
      </c>
    </row>
    <row r="23" spans="1:11" ht="14">
      <c r="A23" s="336">
        <f t="shared" si="5"/>
        <v>64</v>
      </c>
      <c r="B23" s="611">
        <f t="shared" si="6"/>
        <v>12</v>
      </c>
      <c r="C23" s="612" t="str">
        <f t="shared" ca="1" si="1"/>
        <v/>
      </c>
      <c r="D23" s="613" t="str">
        <f t="shared" ca="1" si="2"/>
        <v/>
      </c>
      <c r="E23" s="614">
        <f t="shared" ca="1" si="3"/>
        <v>0</v>
      </c>
      <c r="F23" s="1158"/>
      <c r="G23" s="1161"/>
      <c r="H23" s="688" t="str">
        <f t="shared" ca="1" si="4"/>
        <v>Udligningstillæg beregnet 1. aug 2004</v>
      </c>
    </row>
    <row r="24" spans="1:11" ht="14">
      <c r="A24" s="336">
        <f t="shared" si="5"/>
        <v>65</v>
      </c>
      <c r="B24" s="615">
        <f t="shared" si="6"/>
        <v>13</v>
      </c>
      <c r="C24" s="616" t="str">
        <f t="shared" ca="1" si="1"/>
        <v/>
      </c>
      <c r="D24" s="617" t="str">
        <f t="shared" ca="1" si="2"/>
        <v/>
      </c>
      <c r="E24" s="618">
        <f t="shared" ca="1" si="3"/>
        <v>0</v>
      </c>
      <c r="F24" s="1158"/>
      <c r="G24" s="1159">
        <f>F24/160.33</f>
        <v>0</v>
      </c>
      <c r="H24" s="688" t="str">
        <f t="shared" ca="1" si="4"/>
        <v>OK08-tillæg</v>
      </c>
    </row>
    <row r="25" spans="1:11" ht="14">
      <c r="A25" s="336">
        <f t="shared" si="5"/>
        <v>66</v>
      </c>
      <c r="B25" s="611">
        <f t="shared" si="6"/>
        <v>14</v>
      </c>
      <c r="C25" s="612" t="str">
        <f t="shared" ca="1" si="1"/>
        <v/>
      </c>
      <c r="D25" s="613" t="str">
        <f t="shared" ca="1" si="2"/>
        <v/>
      </c>
      <c r="E25" s="614">
        <f t="shared" ca="1" si="3"/>
        <v>0</v>
      </c>
      <c r="F25" s="1158"/>
      <c r="G25" s="1161"/>
      <c r="H25" s="688" t="str">
        <f t="shared" ca="1" si="4"/>
        <v>OK13-tillæg</v>
      </c>
    </row>
    <row r="26" spans="1:11" ht="14">
      <c r="A26" s="336">
        <f t="shared" si="5"/>
        <v>67</v>
      </c>
      <c r="B26" s="615">
        <f t="shared" si="6"/>
        <v>15</v>
      </c>
      <c r="C26" s="616" t="str">
        <f t="shared" ca="1" si="1"/>
        <v/>
      </c>
      <c r="D26" s="617" t="str">
        <f t="shared" ca="1" si="2"/>
        <v/>
      </c>
      <c r="E26" s="618">
        <f t="shared" ca="1" si="3"/>
        <v>0</v>
      </c>
      <c r="F26" s="1158"/>
      <c r="G26" s="1159"/>
      <c r="H26" s="688" t="str">
        <f t="shared" ca="1" si="4"/>
        <v>OK24-tillæg</v>
      </c>
    </row>
    <row r="27" spans="1:11" ht="14">
      <c r="A27" s="336">
        <f t="shared" si="5"/>
        <v>68</v>
      </c>
      <c r="B27" s="611">
        <f t="shared" si="6"/>
        <v>16</v>
      </c>
      <c r="C27" s="612" t="str">
        <f t="shared" ca="1" si="1"/>
        <v/>
      </c>
      <c r="D27" s="613" t="str">
        <f t="shared" ca="1" si="2"/>
        <v/>
      </c>
      <c r="E27" s="614">
        <f t="shared" ca="1" si="3"/>
        <v>0</v>
      </c>
      <c r="F27" s="1158"/>
      <c r="G27" s="1161"/>
      <c r="H27" s="522" t="str">
        <f t="shared" ca="1" si="4"/>
        <v>Fast lokalaftalt godtgørelse</v>
      </c>
    </row>
    <row r="28" spans="1:11" ht="14">
      <c r="A28" s="336">
        <f>A27+1</f>
        <v>69</v>
      </c>
      <c r="B28" s="615">
        <f>B27+1</f>
        <v>17</v>
      </c>
      <c r="C28" s="616" t="str">
        <f t="shared" ca="1" si="1"/>
        <v/>
      </c>
      <c r="D28" s="617" t="str">
        <f t="shared" ca="1" si="2"/>
        <v/>
      </c>
      <c r="E28" s="618">
        <f t="shared" ca="1" si="3"/>
        <v>0</v>
      </c>
      <c r="F28" s="1158"/>
      <c r="G28" s="1159"/>
      <c r="H28" s="522" t="str">
        <f t="shared" ca="1" si="4"/>
        <v>Gruppelivstillæg</v>
      </c>
    </row>
    <row r="29" spans="1:11" ht="14">
      <c r="A29" s="336">
        <f t="shared" si="5"/>
        <v>70</v>
      </c>
      <c r="B29" s="611">
        <f>B28+1</f>
        <v>18</v>
      </c>
      <c r="C29" s="1129" t="str">
        <f t="shared" ca="1" si="1"/>
        <v/>
      </c>
      <c r="D29" s="1063" t="str">
        <f t="shared" ca="1" si="2"/>
        <v/>
      </c>
      <c r="E29" s="760">
        <f ca="1">INDIRECT($C$1&amp;"!"&amp;VLOOKUP($C$2,mdr,2,0)&amp;A29)</f>
        <v>0</v>
      </c>
      <c r="F29" s="1158"/>
      <c r="G29" s="1161">
        <f>F29*18%</f>
        <v>0</v>
      </c>
      <c r="H29" s="522" t="str">
        <f t="shared" ca="1" si="4"/>
        <v>Lønfradrag for ikke optjent ferie mv. Pensionsgiv.</v>
      </c>
    </row>
    <row r="30" spans="1:11" ht="14">
      <c r="A30" s="336">
        <f t="shared" si="5"/>
        <v>71</v>
      </c>
      <c r="B30" s="615">
        <f>B29+1</f>
        <v>19</v>
      </c>
      <c r="C30" s="616" t="str">
        <f t="shared" ca="1" si="1"/>
        <v/>
      </c>
      <c r="D30" s="1064" t="str">
        <f t="shared" ca="1" si="2"/>
        <v/>
      </c>
      <c r="E30" s="618">
        <f t="shared" ca="1" si="3"/>
        <v>0</v>
      </c>
      <c r="F30" s="1158"/>
      <c r="G30" s="1158">
        <f>G29/3</f>
        <v>0</v>
      </c>
      <c r="H30" s="522" t="str">
        <f t="shared" ca="1" si="4"/>
        <v>Lønfradrag for ikke optjent ferie mv. ej pensionsg.</v>
      </c>
      <c r="K30" s="433"/>
    </row>
    <row r="31" spans="1:11" ht="15" customHeight="1">
      <c r="A31" s="336">
        <f t="shared" si="5"/>
        <v>72</v>
      </c>
      <c r="B31" s="611">
        <f>B30+1</f>
        <v>20</v>
      </c>
      <c r="C31" s="612" t="str">
        <f ca="1">IF(E31&lt;&gt;0,INDIRECT($C$1&amp;"!f"&amp;A31),"")</f>
        <v/>
      </c>
      <c r="D31" s="613" t="str">
        <f t="shared" ca="1" si="2"/>
        <v/>
      </c>
      <c r="E31" s="614">
        <f ca="1">INDIRECT($C$1&amp;"!"&amp;VLOOKUP($C$2,mdr,2,0)&amp;A31)</f>
        <v>0</v>
      </c>
      <c r="F31" s="1158"/>
      <c r="G31" s="1161"/>
      <c r="H31" s="522" t="str">
        <f t="shared" ca="1" si="4"/>
        <v>Feriedifference, pensionsgivende</v>
      </c>
    </row>
    <row r="32" spans="1:11" ht="14">
      <c r="A32" s="336">
        <f t="shared" si="5"/>
        <v>73</v>
      </c>
      <c r="B32" s="615">
        <f>B31+1</f>
        <v>21</v>
      </c>
      <c r="C32" s="616" t="str">
        <f t="shared" ca="1" si="1"/>
        <v/>
      </c>
      <c r="D32" s="855" t="str">
        <f t="shared" ca="1" si="2"/>
        <v/>
      </c>
      <c r="E32" s="618">
        <f t="shared" ca="1" si="3"/>
        <v>0</v>
      </c>
      <c r="F32" s="1158"/>
      <c r="G32" s="1159"/>
      <c r="H32" s="522" t="str">
        <f t="shared" ca="1" si="4"/>
        <v>Feriedifference, ikke pensionsgivende</v>
      </c>
    </row>
    <row r="33" spans="1:11" ht="14">
      <c r="A33" s="336">
        <f t="shared" si="5"/>
        <v>74</v>
      </c>
      <c r="B33" s="611">
        <f t="shared" ref="B33:B47" si="7">B32+1</f>
        <v>22</v>
      </c>
      <c r="C33" s="612" t="str">
        <f t="shared" ca="1" si="1"/>
        <v/>
      </c>
      <c r="D33" s="1072" t="str">
        <f ca="1">IF(E33&lt;&gt;0,INDIRECT($C$1&amp;"!"&amp;VLOOKUP($C$2,mdr,2,0)&amp;A33+114),"")</f>
        <v/>
      </c>
      <c r="E33" s="614">
        <f t="shared" ref="E33" ca="1" si="8">INDIRECT($C$1&amp;"!"&amp;VLOOKUP($C$2,mdr,2,0)&amp;A33)</f>
        <v>0</v>
      </c>
      <c r="F33" s="1158"/>
      <c r="G33" s="1161"/>
      <c r="H33" s="522"/>
    </row>
    <row r="34" spans="1:11" ht="14">
      <c r="A34" s="336">
        <f t="shared" si="5"/>
        <v>75</v>
      </c>
      <c r="B34" s="615">
        <f t="shared" si="7"/>
        <v>23</v>
      </c>
      <c r="C34" s="616" t="str">
        <f t="shared" ca="1" si="1"/>
        <v/>
      </c>
      <c r="D34" s="617" t="str">
        <f t="shared" ref="D34:D39" ca="1" si="9">IF(E34&lt;&gt;0,INDIRECT($C$1&amp;"!"&amp;VLOOKUP($C$2,mdr,2,0)&amp;A34+114),"")</f>
        <v/>
      </c>
      <c r="E34" s="618">
        <f t="shared" ca="1" si="3"/>
        <v>0</v>
      </c>
      <c r="F34" s="1158"/>
      <c r="G34" s="1161"/>
      <c r="H34" s="522" t="str">
        <f t="shared" ca="1" si="4"/>
        <v>Skattefri km.godtgørelse, høj sats</v>
      </c>
    </row>
    <row r="35" spans="1:11" ht="14">
      <c r="A35" s="336">
        <f t="shared" si="5"/>
        <v>76</v>
      </c>
      <c r="B35" s="611">
        <f t="shared" si="7"/>
        <v>24</v>
      </c>
      <c r="C35" s="612" t="str">
        <f t="shared" ca="1" si="1"/>
        <v/>
      </c>
      <c r="D35" s="613" t="str">
        <f t="shared" ca="1" si="9"/>
        <v/>
      </c>
      <c r="E35" s="614">
        <f t="shared" ca="1" si="3"/>
        <v>0</v>
      </c>
      <c r="F35" s="1158"/>
      <c r="G35" s="1159"/>
      <c r="H35" s="522" t="str">
        <f t="shared" ca="1" si="4"/>
        <v>Skattefri time/dagpenge</v>
      </c>
    </row>
    <row r="36" spans="1:11" ht="14">
      <c r="A36" s="336">
        <f t="shared" si="5"/>
        <v>77</v>
      </c>
      <c r="B36" s="615">
        <f t="shared" si="7"/>
        <v>25</v>
      </c>
      <c r="C36" s="616" t="str">
        <f t="shared" ca="1" si="1"/>
        <v/>
      </c>
      <c r="D36" s="617" t="str">
        <f t="shared" ca="1" si="9"/>
        <v/>
      </c>
      <c r="E36" s="618">
        <f t="shared" ref="E36:E42" ca="1" si="10">INDIRECT($C$1&amp;"!"&amp;VLOOKUP($C$2,mdr,2,0)&amp;A36)</f>
        <v>0</v>
      </c>
      <c r="F36" s="1158"/>
      <c r="G36" s="1161"/>
      <c r="H36" s="522" t="str">
        <f t="shared" ca="1" si="4"/>
        <v>Skattefri jubilæumsgratiale</v>
      </c>
    </row>
    <row r="37" spans="1:11" ht="14">
      <c r="A37" s="336">
        <f t="shared" si="5"/>
        <v>78</v>
      </c>
      <c r="B37" s="611">
        <f t="shared" si="7"/>
        <v>26</v>
      </c>
      <c r="C37" s="612" t="str">
        <f t="shared" ca="1" si="1"/>
        <v/>
      </c>
      <c r="D37" s="613" t="str">
        <f t="shared" ca="1" si="9"/>
        <v/>
      </c>
      <c r="E37" s="614">
        <f t="shared" ca="1" si="10"/>
        <v>0</v>
      </c>
      <c r="F37" s="1158"/>
      <c r="G37" s="1159"/>
      <c r="H37" s="522" t="str">
        <f t="shared" ca="1" si="4"/>
        <v>Lejrskoletillæg på hverdage</v>
      </c>
      <c r="I37" s="433"/>
    </row>
    <row r="38" spans="1:11" ht="14">
      <c r="A38" s="336">
        <f t="shared" si="5"/>
        <v>79</v>
      </c>
      <c r="B38" s="615">
        <f t="shared" si="7"/>
        <v>27</v>
      </c>
      <c r="C38" s="616" t="str">
        <f ca="1">IF(E38&lt;&gt;0,INDIRECT($C$1&amp;"!f"&amp;A38),"")</f>
        <v/>
      </c>
      <c r="D38" s="617" t="str">
        <f t="shared" ca="1" si="9"/>
        <v/>
      </c>
      <c r="E38" s="618">
        <f t="shared" ca="1" si="10"/>
        <v>0</v>
      </c>
      <c r="F38" s="1158"/>
      <c r="G38" s="1161"/>
      <c r="H38" s="522" t="str">
        <f t="shared" ca="1" si="4"/>
        <v>Lejrskoletillæg lørdage, søndage og helligdage</v>
      </c>
    </row>
    <row r="39" spans="1:11" ht="14">
      <c r="A39" s="336">
        <f t="shared" si="5"/>
        <v>80</v>
      </c>
      <c r="B39" s="611">
        <f t="shared" si="7"/>
        <v>28</v>
      </c>
      <c r="C39" s="612" t="str">
        <f t="shared" ca="1" si="1"/>
        <v/>
      </c>
      <c r="D39" s="613" t="str">
        <f t="shared" ca="1" si="9"/>
        <v/>
      </c>
      <c r="E39" s="614">
        <f t="shared" ca="1" si="10"/>
        <v>0</v>
      </c>
      <c r="F39" s="1158"/>
      <c r="G39" s="1159"/>
      <c r="H39" s="522" t="str">
        <f t="shared" ca="1" si="4"/>
        <v>SPS-tillæg og tillæg for uv. af 2-sprogede</v>
      </c>
    </row>
    <row r="40" spans="1:11" ht="14">
      <c r="A40" s="336">
        <f t="shared" si="5"/>
        <v>81</v>
      </c>
      <c r="B40" s="615">
        <f t="shared" si="7"/>
        <v>29</v>
      </c>
      <c r="C40" s="616" t="str">
        <f t="shared" ref="C40:C50" ca="1" si="11">IF(E40&lt;&gt;0,INDIRECT($C$1&amp;"!f"&amp;A40),"")</f>
        <v/>
      </c>
      <c r="D40" s="617" t="str">
        <f ca="1">IF(E40&lt;&gt;0,INDIRECT($C$1&amp;"!"&amp;VLOOKUP($C$2,mdr,2,0)&amp;A40+115),"")</f>
        <v/>
      </c>
      <c r="E40" s="618">
        <f t="shared" ca="1" si="10"/>
        <v>0</v>
      </c>
      <c r="F40" s="1158"/>
      <c r="G40" s="1161"/>
      <c r="H40" s="522" t="str">
        <f t="shared" ca="1" si="4"/>
        <v>25%-tillæg *)</v>
      </c>
    </row>
    <row r="41" spans="1:11" ht="14">
      <c r="A41" s="336">
        <f t="shared" si="5"/>
        <v>82</v>
      </c>
      <c r="B41" s="611">
        <f t="shared" si="7"/>
        <v>30</v>
      </c>
      <c r="C41" s="612" t="str">
        <f t="shared" ca="1" si="11"/>
        <v/>
      </c>
      <c r="D41" s="613" t="str">
        <f ca="1">IF(E41&lt;&gt;0,INDIRECT($C$1&amp;"!"&amp;VLOOKUP($C$2,mdr,2,0)&amp;A41+115),"")</f>
        <v/>
      </c>
      <c r="E41" s="614">
        <f t="shared" ca="1" si="10"/>
        <v>0</v>
      </c>
      <c r="F41" s="1158"/>
      <c r="G41" s="1161"/>
      <c r="H41" s="522"/>
    </row>
    <row r="42" spans="1:11" ht="14">
      <c r="A42" s="336">
        <f t="shared" si="5"/>
        <v>83</v>
      </c>
      <c r="B42" s="615">
        <f t="shared" si="7"/>
        <v>31</v>
      </c>
      <c r="C42" s="616" t="str">
        <f t="shared" ca="1" si="11"/>
        <v/>
      </c>
      <c r="D42" s="617" t="str">
        <f ca="1">IF(E42&lt;&gt;0,INDIRECT($C$1&amp;"!"&amp;VLOOKUP($C$2,mdr,2,0)&amp;A42+115),"")</f>
        <v/>
      </c>
      <c r="E42" s="1071">
        <f t="shared" ca="1" si="10"/>
        <v>0</v>
      </c>
      <c r="F42" s="1158"/>
      <c r="G42" s="1159" cm="1">
        <f t="array" aca="1" ref="G42" ca="1">SUM((E12:E28)+E47)/160.33</f>
        <v>0</v>
      </c>
      <c r="H42" s="522" t="str">
        <f t="shared" ca="1" si="4"/>
        <v>Weekendtimer til udbetaling *)</v>
      </c>
    </row>
    <row r="43" spans="1:11" ht="14">
      <c r="A43" s="336">
        <f t="shared" si="5"/>
        <v>84</v>
      </c>
      <c r="B43" s="611">
        <f t="shared" si="7"/>
        <v>32</v>
      </c>
      <c r="C43" s="612" t="str">
        <f t="shared" ca="1" si="11"/>
        <v/>
      </c>
      <c r="D43" s="613" t="str">
        <f ca="1">IF(E43&lt;&gt;0,INDIRECT($C$1&amp;"!"&amp;VLOOKUP($C$2,mdr,2,0)&amp;A43+111),"")</f>
        <v/>
      </c>
      <c r="E43" s="614">
        <f ca="1">INDIRECT($C$1&amp;"!"&amp;VLOOKUP($C$2,mdr,2,0)&amp;A43)</f>
        <v>0</v>
      </c>
      <c r="F43" s="1158">
        <f t="shared" ref="F43" ca="1" si="12">E43*17.3%/3</f>
        <v>0</v>
      </c>
      <c r="G43" s="1161">
        <f>G47/160.33</f>
        <v>0</v>
      </c>
      <c r="H43" s="522" t="str">
        <f t="shared" ca="1" si="4"/>
        <v>Eksaminator eller censor tillæg</v>
      </c>
    </row>
    <row r="44" spans="1:11" ht="14">
      <c r="A44" s="336">
        <f t="shared" si="5"/>
        <v>85</v>
      </c>
      <c r="B44" s="615">
        <f t="shared" si="7"/>
        <v>33</v>
      </c>
      <c r="C44" s="616" t="str">
        <f t="shared" ca="1" si="11"/>
        <v/>
      </c>
      <c r="D44" s="617"/>
      <c r="E44" s="618">
        <f ca="1">INDIRECT($C$1&amp;"!"&amp;VLOOKUP($C$2,mdr,2,0)&amp;A44)</f>
        <v>0</v>
      </c>
      <c r="F44" s="1158"/>
      <c r="G44" s="1159"/>
      <c r="H44" s="522" t="str">
        <f t="shared" ca="1" si="4"/>
        <v>Skattepligtig jubilæumsgratiale</v>
      </c>
    </row>
    <row r="45" spans="1:11" ht="14">
      <c r="A45" s="336">
        <f t="shared" si="5"/>
        <v>86</v>
      </c>
      <c r="B45" s="611">
        <f t="shared" si="7"/>
        <v>34</v>
      </c>
      <c r="C45" s="612" t="str">
        <f t="shared" ca="1" si="11"/>
        <v/>
      </c>
      <c r="D45" s="613"/>
      <c r="E45" s="614">
        <f ca="1">IF(ISNUMBER(INDIRECT($C$1&amp;"!"&amp;VLOOKUP($C$2,mdr,2,0)&amp;A45)),INDIRECT($C$1&amp;"!"&amp;VLOOKUP($C$2,mdr,2,0)&amp;A45),"")</f>
        <v>0</v>
      </c>
      <c r="F45" s="1158"/>
      <c r="G45" s="1161">
        <f ca="1">SUM(E12:E32)+E37+E38+E39+E40+E41+E42+E43+E46+E47</f>
        <v>0</v>
      </c>
      <c r="H45" s="522" t="str">
        <f t="shared" ca="1" si="4"/>
        <v>Ferietillæg</v>
      </c>
    </row>
    <row r="46" spans="1:11" ht="14">
      <c r="A46" s="336">
        <f t="shared" si="5"/>
        <v>87</v>
      </c>
      <c r="B46" s="615">
        <f t="shared" si="7"/>
        <v>35</v>
      </c>
      <c r="C46" s="616" t="str">
        <f t="shared" ca="1" si="11"/>
        <v/>
      </c>
      <c r="D46" s="617"/>
      <c r="E46" s="618">
        <f t="shared" ref="E46:E50" ca="1" si="13">INDIRECT($C$1&amp;"!"&amp;VLOOKUP($C$2,mdr,2,0)&amp;A46)</f>
        <v>0</v>
      </c>
      <c r="F46" s="1158"/>
      <c r="G46" s="1159"/>
      <c r="H46" s="522" t="str">
        <f t="shared" ca="1" si="4"/>
        <v>Andre engangsudbetalinger iflg. specifikation</v>
      </c>
      <c r="K46" s="433"/>
    </row>
    <row r="47" spans="1:11" ht="14">
      <c r="A47" s="336">
        <f t="shared" si="5"/>
        <v>88</v>
      </c>
      <c r="B47" s="611">
        <f t="shared" si="7"/>
        <v>36</v>
      </c>
      <c r="C47" s="612" t="str">
        <f ca="1">IF($E$47&lt;&gt;0,INDIRECT($C$1&amp;"!f"&amp;$A$47),"")</f>
        <v/>
      </c>
      <c r="D47" s="613"/>
      <c r="E47" s="614">
        <f t="shared" ca="1" si="13"/>
        <v>0</v>
      </c>
      <c r="F47" s="1158"/>
      <c r="G47" s="1161"/>
      <c r="H47" s="522" t="str">
        <f t="shared" ca="1" si="4"/>
        <v>Seniorbonus 0,8% af fastpåregnelige løndele - pensionsgivede</v>
      </c>
    </row>
    <row r="48" spans="1:11" ht="14">
      <c r="A48" s="336">
        <f t="shared" si="5"/>
        <v>89</v>
      </c>
      <c r="B48" s="941">
        <v>37</v>
      </c>
      <c r="C48" s="942" t="str">
        <f t="shared" ca="1" si="11"/>
        <v/>
      </c>
      <c r="D48" s="943"/>
      <c r="E48" s="944">
        <f t="shared" ca="1" si="13"/>
        <v>0</v>
      </c>
      <c r="F48" s="1158"/>
      <c r="G48" s="1159"/>
      <c r="H48" s="522" t="str">
        <f t="shared" ca="1" si="4"/>
        <v>Bruttoløn (ekskl. pensionstillæg og ATP)</v>
      </c>
      <c r="K48" s="433"/>
    </row>
    <row r="49" spans="1:11" ht="14">
      <c r="A49" s="336">
        <f t="shared" si="5"/>
        <v>90</v>
      </c>
      <c r="B49" s="619">
        <v>38</v>
      </c>
      <c r="C49" s="620" t="str">
        <f t="shared" ca="1" si="11"/>
        <v/>
      </c>
      <c r="D49" s="945" t="str">
        <f t="shared" ref="D49:D64" ca="1" si="14">IF(E49&lt;&gt;0,INDIRECT($C$1&amp;"!"&amp;VLOOKUP($C$2,mdr,2,0)&amp;A49+112),"")</f>
        <v/>
      </c>
      <c r="E49" s="622">
        <f t="shared" ca="1" si="13"/>
        <v>0</v>
      </c>
      <c r="F49" s="1160"/>
      <c r="G49" s="1161"/>
      <c r="H49" s="522" t="str">
        <f t="shared" ca="1" si="4"/>
        <v>Pensionstillæg basisløn</v>
      </c>
    </row>
    <row r="50" spans="1:11" ht="14">
      <c r="A50" s="336">
        <f t="shared" si="5"/>
        <v>91</v>
      </c>
      <c r="B50" s="946">
        <f>B49+1</f>
        <v>39</v>
      </c>
      <c r="C50" s="624" t="str">
        <f t="shared" ca="1" si="11"/>
        <v/>
      </c>
      <c r="D50" s="625" t="str">
        <f t="shared" ca="1" si="14"/>
        <v/>
      </c>
      <c r="E50" s="626">
        <f t="shared" ca="1" si="13"/>
        <v>0</v>
      </c>
      <c r="F50" s="1158"/>
      <c r="G50" s="1159"/>
      <c r="H50" s="522" t="str">
        <f t="shared" ca="1" si="4"/>
        <v>Pensionstillæg undervisningstillæg</v>
      </c>
    </row>
    <row r="51" spans="1:11" ht="14">
      <c r="A51" s="336">
        <f t="shared" si="5"/>
        <v>92</v>
      </c>
      <c r="B51" s="619">
        <f t="shared" ref="B51:B74" si="15">B50+1</f>
        <v>40</v>
      </c>
      <c r="C51" s="620" t="str">
        <f t="shared" ca="1" si="1"/>
        <v/>
      </c>
      <c r="D51" s="621" t="str">
        <f t="shared" ca="1" si="14"/>
        <v/>
      </c>
      <c r="E51" s="622">
        <f t="shared" ca="1" si="3"/>
        <v>0</v>
      </c>
      <c r="F51" s="1160"/>
      <c r="G51" s="1161"/>
      <c r="H51" s="522" t="str">
        <f t="shared" ca="1" si="4"/>
        <v>Pensionstillæg souscheftillæg</v>
      </c>
    </row>
    <row r="52" spans="1:11" ht="14">
      <c r="A52" s="336">
        <f t="shared" si="5"/>
        <v>93</v>
      </c>
      <c r="B52" s="623">
        <f t="shared" si="15"/>
        <v>41</v>
      </c>
      <c r="C52" s="624" t="str">
        <f t="shared" ca="1" si="1"/>
        <v/>
      </c>
      <c r="D52" s="625" t="str">
        <f t="shared" ca="1" si="14"/>
        <v/>
      </c>
      <c r="E52" s="626">
        <f t="shared" ca="1" si="3"/>
        <v>0</v>
      </c>
      <c r="F52" s="1158"/>
      <c r="G52" s="1159"/>
      <c r="H52" s="522" t="str">
        <f t="shared" ca="1" si="4"/>
        <v>Pensionstillæg Funktionstillæg 1</v>
      </c>
    </row>
    <row r="53" spans="1:11" ht="14">
      <c r="A53" s="336">
        <f t="shared" si="5"/>
        <v>94</v>
      </c>
      <c r="B53" s="619">
        <f t="shared" si="15"/>
        <v>42</v>
      </c>
      <c r="C53" s="620" t="str">
        <f t="shared" ca="1" si="1"/>
        <v/>
      </c>
      <c r="D53" s="621" t="str">
        <f t="shared" ca="1" si="14"/>
        <v/>
      </c>
      <c r="E53" s="622">
        <f t="shared" ca="1" si="3"/>
        <v>0</v>
      </c>
      <c r="F53" s="1160"/>
      <c r="G53" s="1161"/>
      <c r="H53" s="522" t="str">
        <f t="shared" ca="1" si="4"/>
        <v>Pensionstillæg Funktionstillæg 2</v>
      </c>
    </row>
    <row r="54" spans="1:11" ht="14">
      <c r="A54" s="336">
        <f t="shared" si="5"/>
        <v>95</v>
      </c>
      <c r="B54" s="623">
        <f t="shared" si="15"/>
        <v>43</v>
      </c>
      <c r="C54" s="624" t="str">
        <f t="shared" ca="1" si="1"/>
        <v/>
      </c>
      <c r="D54" s="625" t="str">
        <f t="shared" ca="1" si="14"/>
        <v/>
      </c>
      <c r="E54" s="626">
        <f t="shared" ca="1" si="3"/>
        <v>0</v>
      </c>
      <c r="F54" s="1158"/>
      <c r="G54" s="1159"/>
      <c r="H54" s="522" t="str">
        <f t="shared" ca="1" si="4"/>
        <v>Pensionstillæg Funktionstillæg 3</v>
      </c>
    </row>
    <row r="55" spans="1:11" ht="14">
      <c r="A55" s="336">
        <f t="shared" si="5"/>
        <v>96</v>
      </c>
      <c r="B55" s="619">
        <f t="shared" si="15"/>
        <v>44</v>
      </c>
      <c r="C55" s="620" t="str">
        <f t="shared" ca="1" si="1"/>
        <v/>
      </c>
      <c r="D55" s="621" t="str">
        <f t="shared" ca="1" si="14"/>
        <v/>
      </c>
      <c r="E55" s="622">
        <f t="shared" ca="1" si="3"/>
        <v>0</v>
      </c>
      <c r="F55" s="1160"/>
      <c r="G55" s="1161"/>
      <c r="H55" s="522" t="str">
        <f t="shared" ca="1" si="4"/>
        <v>Pensionstillæg Kvalifikationstillæg 1</v>
      </c>
      <c r="I55" s="433"/>
    </row>
    <row r="56" spans="1:11" ht="14">
      <c r="A56" s="336">
        <f t="shared" si="5"/>
        <v>97</v>
      </c>
      <c r="B56" s="623">
        <f t="shared" si="15"/>
        <v>45</v>
      </c>
      <c r="C56" s="624" t="str">
        <f t="shared" ca="1" si="1"/>
        <v/>
      </c>
      <c r="D56" s="625" t="str">
        <f t="shared" ca="1" si="14"/>
        <v/>
      </c>
      <c r="E56" s="626">
        <f t="shared" ca="1" si="3"/>
        <v>0</v>
      </c>
      <c r="F56" s="1158"/>
      <c r="G56" s="1159"/>
      <c r="H56" s="522" t="str">
        <f t="shared" ca="1" si="4"/>
        <v>Pensionstillæg Kvalifikationstillæg 2</v>
      </c>
    </row>
    <row r="57" spans="1:11" ht="14">
      <c r="A57" s="336">
        <f t="shared" si="5"/>
        <v>98</v>
      </c>
      <c r="B57" s="619">
        <f t="shared" si="15"/>
        <v>46</v>
      </c>
      <c r="C57" s="620" t="str">
        <f t="shared" ca="1" si="1"/>
        <v/>
      </c>
      <c r="D57" s="621" t="str">
        <f t="shared" ca="1" si="14"/>
        <v/>
      </c>
      <c r="E57" s="622">
        <f t="shared" ca="1" si="3"/>
        <v>0</v>
      </c>
      <c r="F57" s="1160"/>
      <c r="G57" s="1161"/>
      <c r="H57" s="522" t="str">
        <f t="shared" ca="1" si="4"/>
        <v>Pensionstillæg Kvalifikationstillæg 3</v>
      </c>
    </row>
    <row r="58" spans="1:11" ht="14">
      <c r="A58" s="336">
        <f t="shared" si="5"/>
        <v>99</v>
      </c>
      <c r="B58" s="623">
        <f t="shared" si="15"/>
        <v>47</v>
      </c>
      <c r="C58" s="624" t="str">
        <f t="shared" ca="1" si="1"/>
        <v/>
      </c>
      <c r="D58" s="625" t="str">
        <f t="shared" ca="1" si="14"/>
        <v/>
      </c>
      <c r="E58" s="626">
        <f t="shared" ca="1" si="3"/>
        <v>0</v>
      </c>
      <c r="F58" s="1158"/>
      <c r="G58" s="1159"/>
      <c r="H58" s="522" t="str">
        <f t="shared" ca="1" si="4"/>
        <v>Pensionstillæg af trin 4-tillæg</v>
      </c>
    </row>
    <row r="59" spans="1:11" ht="14">
      <c r="A59" s="336">
        <f t="shared" si="5"/>
        <v>100</v>
      </c>
      <c r="B59" s="619">
        <f t="shared" si="15"/>
        <v>48</v>
      </c>
      <c r="C59" s="620" t="str">
        <f t="shared" ca="1" si="1"/>
        <v/>
      </c>
      <c r="D59" s="621" t="str">
        <f t="shared" ca="1" si="14"/>
        <v/>
      </c>
      <c r="E59" s="622">
        <f t="shared" ca="1" si="3"/>
        <v>0</v>
      </c>
      <c r="F59" s="1160"/>
      <c r="G59" s="1161"/>
      <c r="H59" s="522" t="str">
        <f t="shared" ca="1" si="4"/>
        <v>Pensionstillæg af udligningstillæg</v>
      </c>
    </row>
    <row r="60" spans="1:11" ht="14">
      <c r="A60" s="336">
        <f t="shared" si="5"/>
        <v>101</v>
      </c>
      <c r="B60" s="623">
        <f t="shared" si="15"/>
        <v>49</v>
      </c>
      <c r="C60" s="624" t="str">
        <f t="shared" ca="1" si="1"/>
        <v/>
      </c>
      <c r="D60" s="625" t="str">
        <f t="shared" ca="1" si="14"/>
        <v/>
      </c>
      <c r="E60" s="626">
        <f t="shared" ca="1" si="3"/>
        <v>0</v>
      </c>
      <c r="F60" s="1158"/>
      <c r="G60" s="1159"/>
      <c r="H60" s="522" t="str">
        <f t="shared" ca="1" si="4"/>
        <v>Pensionstillæg af OK13-tillæg</v>
      </c>
      <c r="J60" s="502"/>
    </row>
    <row r="61" spans="1:11" ht="14">
      <c r="A61" s="336">
        <f t="shared" si="5"/>
        <v>102</v>
      </c>
      <c r="B61" s="619">
        <f t="shared" si="15"/>
        <v>50</v>
      </c>
      <c r="C61" s="620" t="str">
        <f t="shared" ca="1" si="1"/>
        <v/>
      </c>
      <c r="D61" s="621" t="str">
        <f t="shared" ca="1" si="14"/>
        <v/>
      </c>
      <c r="E61" s="622">
        <f t="shared" ref="E61:E71" ca="1" si="16">INDIRECT($C$1&amp;"!"&amp;VLOOKUP($C$2,mdr,2,0)&amp;A61)</f>
        <v>0</v>
      </c>
      <c r="F61" s="1160"/>
      <c r="G61" s="1161"/>
      <c r="H61" s="522" t="str">
        <f t="shared" ca="1" si="4"/>
        <v>Pensionstillæg af OK18-tillæg</v>
      </c>
    </row>
    <row r="62" spans="1:11" ht="14">
      <c r="A62" s="336">
        <f t="shared" si="5"/>
        <v>103</v>
      </c>
      <c r="B62" s="623">
        <f t="shared" si="15"/>
        <v>51</v>
      </c>
      <c r="C62" s="624" t="str">
        <f t="shared" ca="1" si="1"/>
        <v/>
      </c>
      <c r="D62" s="625" t="str">
        <f t="shared" ca="1" si="14"/>
        <v/>
      </c>
      <c r="E62" s="626">
        <f t="shared" ref="E62" ca="1" si="17">INDIRECT($C$1&amp;"!"&amp;VLOOKUP($C$2,mdr,2,0)&amp;A62)</f>
        <v>0</v>
      </c>
      <c r="F62" s="1160"/>
      <c r="G62" s="1161"/>
      <c r="H62" s="522"/>
    </row>
    <row r="63" spans="1:11" ht="14">
      <c r="A63" s="336">
        <f t="shared" si="5"/>
        <v>104</v>
      </c>
      <c r="B63" s="619">
        <f t="shared" si="15"/>
        <v>52</v>
      </c>
      <c r="C63" s="620" t="str">
        <f t="shared" ca="1" si="1"/>
        <v/>
      </c>
      <c r="D63" s="621" t="str">
        <f t="shared" ca="1" si="14"/>
        <v/>
      </c>
      <c r="E63" s="622">
        <f t="shared" ca="1" si="16"/>
        <v>0</v>
      </c>
      <c r="F63" s="1158"/>
      <c r="G63" s="1159"/>
      <c r="H63" s="522" t="str">
        <f t="shared" ca="1" si="4"/>
        <v>Pensionstillæg af engangstillæg</v>
      </c>
    </row>
    <row r="64" spans="1:11" ht="26" customHeight="1">
      <c r="A64" s="336">
        <f t="shared" si="5"/>
        <v>105</v>
      </c>
      <c r="B64" s="623">
        <f t="shared" si="15"/>
        <v>53</v>
      </c>
      <c r="C64" s="624" t="str">
        <f t="shared" ca="1" si="1"/>
        <v/>
      </c>
      <c r="D64" s="625" t="str">
        <f t="shared" ca="1" si="14"/>
        <v/>
      </c>
      <c r="E64" s="626">
        <f t="shared" ca="1" si="16"/>
        <v>0</v>
      </c>
      <c r="F64" s="1160"/>
      <c r="G64" s="1161"/>
      <c r="H64" s="522" t="str">
        <f t="shared" ca="1" si="4"/>
        <v>Supplerende pensionstillæg på 18% **)</v>
      </c>
      <c r="I64" s="433"/>
      <c r="K64" s="433"/>
    </row>
    <row r="65" spans="1:11" ht="16" customHeight="1">
      <c r="A65" s="336">
        <f t="shared" si="5"/>
        <v>106</v>
      </c>
      <c r="B65" s="619">
        <f t="shared" si="15"/>
        <v>54</v>
      </c>
      <c r="C65" s="620" t="str">
        <f t="shared" ca="1" si="1"/>
        <v/>
      </c>
      <c r="D65" s="1073"/>
      <c r="E65" s="622">
        <f t="shared" ca="1" si="16"/>
        <v>0</v>
      </c>
      <c r="F65" s="1158"/>
      <c r="G65" s="1159"/>
      <c r="H65" s="522" t="s">
        <v>577</v>
      </c>
      <c r="K65" s="433"/>
    </row>
    <row r="66" spans="1:11" ht="14">
      <c r="A66" s="336">
        <f t="shared" si="5"/>
        <v>107</v>
      </c>
      <c r="B66" s="623">
        <f t="shared" si="15"/>
        <v>55</v>
      </c>
      <c r="C66" s="624" t="str">
        <f t="shared" ca="1" si="1"/>
        <v/>
      </c>
      <c r="D66" s="625" t="str">
        <f ca="1">IF(E66&lt;&gt;0,INDIRECT($C$1&amp;"!"&amp;VLOOKUP($C$2,mdr,2,0)&amp;A66+113),"")</f>
        <v/>
      </c>
      <c r="E66" s="626">
        <f t="shared" ca="1" si="16"/>
        <v>0</v>
      </c>
      <c r="F66" s="1160"/>
      <c r="G66" s="1161"/>
      <c r="H66" s="522" t="str">
        <f t="shared" ca="1" si="4"/>
        <v>Pensionstillæg af feriedifference</v>
      </c>
    </row>
    <row r="67" spans="1:11" ht="14">
      <c r="A67" s="336">
        <f t="shared" si="5"/>
        <v>108</v>
      </c>
      <c r="B67" s="619">
        <f t="shared" si="15"/>
        <v>56</v>
      </c>
      <c r="C67" s="620" t="str">
        <f t="shared" ca="1" si="1"/>
        <v/>
      </c>
      <c r="D67" s="621"/>
      <c r="E67" s="622">
        <f t="shared" ca="1" si="16"/>
        <v>0</v>
      </c>
      <c r="F67" s="1160"/>
      <c r="G67" s="1161"/>
      <c r="H67" s="522"/>
    </row>
    <row r="68" spans="1:11" ht="14">
      <c r="A68" s="336">
        <f t="shared" si="5"/>
        <v>109</v>
      </c>
      <c r="B68" s="623">
        <f t="shared" si="15"/>
        <v>57</v>
      </c>
      <c r="C68" s="624" t="str">
        <f t="shared" ca="1" si="1"/>
        <v/>
      </c>
      <c r="D68" s="625"/>
      <c r="E68" s="626">
        <f t="shared" ca="1" si="16"/>
        <v>0</v>
      </c>
      <c r="F68" s="1158"/>
      <c r="G68" s="1159"/>
      <c r="H68" s="522" t="str">
        <f t="shared" ca="1" si="4"/>
        <v>Pension af seniorbonus</v>
      </c>
    </row>
    <row r="69" spans="1:11" ht="14">
      <c r="A69" s="336">
        <f t="shared" si="5"/>
        <v>110</v>
      </c>
      <c r="B69" s="947">
        <f t="shared" si="15"/>
        <v>58</v>
      </c>
      <c r="C69" s="948" t="str">
        <f t="shared" ca="1" si="1"/>
        <v/>
      </c>
      <c r="D69" s="949"/>
      <c r="E69" s="950">
        <f t="shared" ca="1" si="16"/>
        <v>0</v>
      </c>
      <c r="F69" s="1160"/>
      <c r="G69" s="1161"/>
      <c r="H69" s="522" t="str">
        <f t="shared" ca="1" si="4"/>
        <v>Pensionstillæg i alt</v>
      </c>
      <c r="K69" s="433"/>
    </row>
    <row r="70" spans="1:11" ht="14">
      <c r="A70" s="336">
        <f t="shared" si="5"/>
        <v>111</v>
      </c>
      <c r="B70" s="631">
        <f t="shared" si="15"/>
        <v>59</v>
      </c>
      <c r="C70" s="632" t="str">
        <f ca="1">IF(E70&lt;&gt;0,INDIRECT($C$1&amp;"!f"&amp;A70),"")</f>
        <v/>
      </c>
      <c r="D70" s="633" t="str">
        <f ca="1">IF(E70&lt;&gt;0,INDIRECT($C$1&amp;"!"&amp;VLOOKUP($C$2,mdr,2,0)&amp;A70+112),"")</f>
        <v/>
      </c>
      <c r="E70" s="634">
        <f ca="1">INDIRECT($C$1&amp;"!"&amp;VLOOKUP($C$2,mdr,2,0)&amp;A70)</f>
        <v>0</v>
      </c>
      <c r="F70" s="1158"/>
      <c r="G70" s="1159"/>
      <c r="H70" s="522" t="str">
        <f t="shared" ca="1" si="4"/>
        <v>Egetbidrag til ATP</v>
      </c>
    </row>
    <row r="71" spans="1:11" ht="14">
      <c r="A71" s="336">
        <f t="shared" si="5"/>
        <v>112</v>
      </c>
      <c r="B71" s="627">
        <f>B70+1</f>
        <v>60</v>
      </c>
      <c r="C71" s="628" t="str">
        <f t="shared" ca="1" si="1"/>
        <v/>
      </c>
      <c r="D71" s="629" t="str">
        <f ca="1">IF(E71&lt;&gt;0,INDIRECT($C$1&amp;"!"&amp;VLOOKUP($C$2,mdr,2,0)&amp;A71+112),"")</f>
        <v/>
      </c>
      <c r="E71" s="630">
        <f t="shared" ca="1" si="16"/>
        <v>0</v>
      </c>
      <c r="F71" s="1160"/>
      <c r="G71" s="1161"/>
      <c r="H71" s="522" t="str">
        <f t="shared" ca="1" si="4"/>
        <v>AMB-grundlag</v>
      </c>
    </row>
    <row r="72" spans="1:11" ht="14">
      <c r="A72" s="336">
        <f t="shared" si="5"/>
        <v>113</v>
      </c>
      <c r="B72" s="631">
        <f t="shared" si="15"/>
        <v>61</v>
      </c>
      <c r="C72" s="632" t="str">
        <f t="shared" ca="1" si="1"/>
        <v/>
      </c>
      <c r="D72" s="633" t="str">
        <f ca="1">IF(E72&lt;&gt;0,INDIRECT($C$1&amp;"!"&amp;VLOOKUP($C$2,mdr,2,0)&amp;A72+112),"")</f>
        <v/>
      </c>
      <c r="E72" s="634">
        <f ca="1">INDIRECT($C$1&amp;"!"&amp;VLOOKUP($C$2,mdr,2,0)&amp;A72)</f>
        <v>0</v>
      </c>
      <c r="F72" s="1158"/>
      <c r="G72" s="1159"/>
      <c r="H72" s="522" t="str">
        <f t="shared" ca="1" si="4"/>
        <v>AM-bidrag</v>
      </c>
    </row>
    <row r="73" spans="1:11" ht="14">
      <c r="A73" s="336">
        <f t="shared" si="5"/>
        <v>114</v>
      </c>
      <c r="B73" s="627">
        <f t="shared" si="15"/>
        <v>62</v>
      </c>
      <c r="C73" s="628" t="str">
        <f t="shared" ca="1" si="1"/>
        <v/>
      </c>
      <c r="D73" s="629" t="str">
        <f ca="1">IF(E73&lt;&gt;0,INDIRECT($C$1&amp;"!"&amp;VLOOKUP($C$2,mdr,2,0)&amp;A73+112),"")</f>
        <v/>
      </c>
      <c r="E73" s="630">
        <f t="shared" ref="E73:E86" ca="1" si="18">INDIRECT($C$1&amp;"!"&amp;VLOOKUP($C$2,mdr,2,0)&amp;A73)</f>
        <v>0</v>
      </c>
      <c r="F73" s="1160"/>
      <c r="G73" s="1161"/>
      <c r="H73" s="522" t="str">
        <f t="shared" ca="1" si="4"/>
        <v>A-indkomst</v>
      </c>
    </row>
    <row r="74" spans="1:11" ht="14">
      <c r="A74" s="336">
        <v>29</v>
      </c>
      <c r="B74" s="631">
        <f t="shared" si="15"/>
        <v>63</v>
      </c>
      <c r="C74" s="632" t="str">
        <f t="shared" ca="1" si="1"/>
        <v/>
      </c>
      <c r="D74" s="633"/>
      <c r="E74" s="634">
        <f t="shared" ca="1" si="18"/>
        <v>0</v>
      </c>
      <c r="F74" s="1158"/>
      <c r="G74" s="1159"/>
      <c r="H74" s="522" t="str">
        <f t="shared" ca="1" si="4"/>
        <v>Skatteprocent</v>
      </c>
    </row>
    <row r="75" spans="1:11" ht="14">
      <c r="A75" s="816">
        <v>30</v>
      </c>
      <c r="B75" s="627">
        <f>B74+1</f>
        <v>64</v>
      </c>
      <c r="C75" s="628" t="str">
        <f t="shared" ca="1" si="1"/>
        <v/>
      </c>
      <c r="D75" s="629"/>
      <c r="E75" s="630">
        <f t="shared" ca="1" si="18"/>
        <v>0</v>
      </c>
      <c r="F75" s="1160"/>
      <c r="G75" s="1161"/>
      <c r="H75" s="522" t="str">
        <f t="shared" ca="1" si="4"/>
        <v>Månedligt skattefradrag</v>
      </c>
    </row>
    <row r="76" spans="1:11" ht="14">
      <c r="A76" s="816">
        <v>115</v>
      </c>
      <c r="B76" s="631">
        <f t="shared" ref="B76:B86" si="19">B75+1</f>
        <v>65</v>
      </c>
      <c r="C76" s="632" t="str">
        <f t="shared" ca="1" si="1"/>
        <v/>
      </c>
      <c r="D76" s="633" t="str">
        <f t="shared" ref="D76:D85" ca="1" si="20">IF(E76&lt;&gt;0,INDIRECT($C$1&amp;"!"&amp;VLOOKUP($C$2,mdr,2,0)&amp;A76+112),"")</f>
        <v/>
      </c>
      <c r="E76" s="634">
        <f t="shared" ca="1" si="18"/>
        <v>0</v>
      </c>
      <c r="F76" s="1160"/>
      <c r="G76" s="1161"/>
      <c r="H76" s="522" t="str">
        <f t="shared" ca="1" si="4"/>
        <v>Skattegrundlag</v>
      </c>
    </row>
    <row r="77" spans="1:11" ht="14">
      <c r="A77" s="336">
        <v>116</v>
      </c>
      <c r="B77" s="627">
        <f t="shared" si="19"/>
        <v>66</v>
      </c>
      <c r="C77" s="628" t="str">
        <f t="shared" ca="1" si="1"/>
        <v/>
      </c>
      <c r="D77" s="629" t="str">
        <f t="shared" ca="1" si="20"/>
        <v/>
      </c>
      <c r="E77" s="630">
        <f t="shared" ca="1" si="18"/>
        <v>0</v>
      </c>
      <c r="F77" s="1158"/>
      <c r="G77" s="1159"/>
      <c r="H77" s="522" t="str">
        <f t="shared" ca="1" si="4"/>
        <v>Skat</v>
      </c>
    </row>
    <row r="78" spans="1:11" ht="14">
      <c r="A78" s="336">
        <f>A77+1</f>
        <v>117</v>
      </c>
      <c r="B78" s="631">
        <f t="shared" si="19"/>
        <v>67</v>
      </c>
      <c r="C78" s="632" t="str">
        <f t="shared" ca="1" si="1"/>
        <v/>
      </c>
      <c r="D78" s="633" t="str">
        <f t="shared" ca="1" si="20"/>
        <v/>
      </c>
      <c r="E78" s="634">
        <f t="shared" ca="1" si="18"/>
        <v>0</v>
      </c>
      <c r="F78" s="1158"/>
      <c r="G78" s="1159"/>
      <c r="H78" s="522" t="str">
        <f t="shared" ref="H78:H87" ca="1" si="21">INDIRECT($C$1&amp;"!f"&amp;A78)</f>
        <v xml:space="preserve">Feriegodtgørelsesgrundlag  </v>
      </c>
    </row>
    <row r="79" spans="1:11" ht="14">
      <c r="A79" s="336">
        <f t="shared" ref="A79:A86" si="22">A78+1</f>
        <v>118</v>
      </c>
      <c r="B79" s="627">
        <f t="shared" si="19"/>
        <v>68</v>
      </c>
      <c r="C79" s="628" t="str">
        <f t="shared" ca="1" si="1"/>
        <v/>
      </c>
      <c r="D79" s="629" t="str">
        <f t="shared" ca="1" si="20"/>
        <v/>
      </c>
      <c r="E79" s="630">
        <f t="shared" ca="1" si="18"/>
        <v>0</v>
      </c>
      <c r="F79" s="1158"/>
      <c r="G79" s="1159"/>
      <c r="H79" s="522" t="str">
        <f t="shared" ca="1" si="21"/>
        <v>Feriegodtgørelsesgrundlag juni-juli</v>
      </c>
    </row>
    <row r="80" spans="1:11" ht="14">
      <c r="A80" s="336">
        <f t="shared" si="22"/>
        <v>119</v>
      </c>
      <c r="B80" s="631">
        <f t="shared" si="19"/>
        <v>69</v>
      </c>
      <c r="C80" s="632" t="str">
        <f t="shared" ca="1" si="1"/>
        <v/>
      </c>
      <c r="D80" s="633" t="str">
        <f t="shared" ca="1" si="20"/>
        <v/>
      </c>
      <c r="E80" s="634">
        <f ca="1">INDIRECT($C$1&amp;"!"&amp;VLOOKUP($C$2,mdr,2,0)&amp;A80)</f>
        <v>0</v>
      </c>
      <c r="F80" s="1160"/>
      <c r="G80" s="1161"/>
      <c r="H80" s="522" t="str">
        <f t="shared" ca="1" si="21"/>
        <v>Egetbidrag til LP</v>
      </c>
    </row>
    <row r="81" spans="1:8" ht="14">
      <c r="A81" s="336">
        <f t="shared" si="22"/>
        <v>120</v>
      </c>
      <c r="B81" s="627">
        <f t="shared" si="19"/>
        <v>70</v>
      </c>
      <c r="C81" s="628" t="str">
        <f t="shared" ca="1" si="1"/>
        <v/>
      </c>
      <c r="D81" s="629" t="str">
        <f t="shared" ca="1" si="20"/>
        <v/>
      </c>
      <c r="E81" s="630">
        <f t="shared" ca="1" si="18"/>
        <v>0</v>
      </c>
      <c r="F81" s="1158"/>
      <c r="G81" s="1159"/>
      <c r="H81" s="522" t="str">
        <f t="shared" ca="1" si="21"/>
        <v>Arbejdsgiverbidrag til LP</v>
      </c>
    </row>
    <row r="82" spans="1:8" ht="14">
      <c r="A82" s="336">
        <f t="shared" si="22"/>
        <v>121</v>
      </c>
      <c r="B82" s="631">
        <f t="shared" si="19"/>
        <v>71</v>
      </c>
      <c r="C82" s="632" t="str">
        <f t="shared" ca="1" si="1"/>
        <v/>
      </c>
      <c r="D82" s="633" t="str">
        <f t="shared" ca="1" si="20"/>
        <v/>
      </c>
      <c r="E82" s="634">
        <f t="shared" ca="1" si="18"/>
        <v>0</v>
      </c>
      <c r="F82" s="1160"/>
      <c r="G82" s="1161"/>
      <c r="H82" s="522" t="str">
        <f t="shared" ca="1" si="21"/>
        <v>Arbejdsgiverbidrag til ATP</v>
      </c>
    </row>
    <row r="83" spans="1:8" ht="14">
      <c r="A83" s="336">
        <f t="shared" si="22"/>
        <v>122</v>
      </c>
      <c r="B83" s="627">
        <f t="shared" si="19"/>
        <v>72</v>
      </c>
      <c r="C83" s="628" t="str">
        <f t="shared" ca="1" si="1"/>
        <v/>
      </c>
      <c r="D83" s="629" t="str">
        <f t="shared" ca="1" si="20"/>
        <v/>
      </c>
      <c r="E83" s="630">
        <f t="shared" ca="1" si="18"/>
        <v>0</v>
      </c>
      <c r="F83" s="1158"/>
      <c r="G83" s="1159"/>
      <c r="H83" s="522" t="str">
        <f t="shared" ca="1" si="21"/>
        <v>Skolens samlede indbetaling til LP</v>
      </c>
    </row>
    <row r="84" spans="1:8" ht="14">
      <c r="A84" s="336">
        <f t="shared" si="22"/>
        <v>123</v>
      </c>
      <c r="B84" s="631">
        <f t="shared" si="19"/>
        <v>73</v>
      </c>
      <c r="C84" s="632" t="str">
        <f t="shared" ca="1" si="1"/>
        <v/>
      </c>
      <c r="D84" s="633" t="str">
        <f t="shared" ca="1" si="20"/>
        <v/>
      </c>
      <c r="E84" s="634">
        <f t="shared" ca="1" si="18"/>
        <v>0</v>
      </c>
      <c r="F84" s="1160"/>
      <c r="G84" s="1161"/>
      <c r="H84" s="522"/>
    </row>
    <row r="85" spans="1:8" ht="14">
      <c r="A85" s="336">
        <f t="shared" si="22"/>
        <v>124</v>
      </c>
      <c r="B85" s="627">
        <f t="shared" si="19"/>
        <v>74</v>
      </c>
      <c r="C85" s="628" t="str">
        <f t="shared" ca="1" si="1"/>
        <v/>
      </c>
      <c r="D85" s="629" t="str">
        <f t="shared" ca="1" si="20"/>
        <v/>
      </c>
      <c r="E85" s="630">
        <f t="shared" ca="1" si="18"/>
        <v>0</v>
      </c>
      <c r="F85" s="1160"/>
      <c r="G85" s="1161"/>
      <c r="H85" s="522" t="str">
        <f t="shared" ca="1" si="21"/>
        <v>Skolens indbetaling til tjenestemandspension</v>
      </c>
    </row>
    <row r="86" spans="1:8" ht="14">
      <c r="A86" s="336">
        <f t="shared" si="22"/>
        <v>125</v>
      </c>
      <c r="B86" s="631">
        <f t="shared" si="19"/>
        <v>75</v>
      </c>
      <c r="C86" s="632" t="str">
        <f t="shared" ca="1" si="1"/>
        <v/>
      </c>
      <c r="D86" s="633"/>
      <c r="E86" s="634">
        <f t="shared" ca="1" si="18"/>
        <v>0</v>
      </c>
      <c r="F86" s="1158"/>
      <c r="G86" s="1159"/>
      <c r="H86" s="522" t="str">
        <f t="shared" ca="1" si="21"/>
        <v>Indbetaling til Gruppeliv</v>
      </c>
    </row>
    <row r="87" spans="1:8" ht="14">
      <c r="A87" s="336">
        <v>51</v>
      </c>
      <c r="B87" s="762">
        <f t="shared" ref="B87" si="23">B86+1</f>
        <v>76</v>
      </c>
      <c r="C87" s="628" t="str">
        <f ca="1">IF(E87&lt;&gt;0,INDIRECT($C$1&amp;"!f"&amp;A87),"")</f>
        <v/>
      </c>
      <c r="D87" s="629" t="str">
        <f ca="1">IF(E87&lt;&gt;0,"Fradrages i den disponible løn","")</f>
        <v/>
      </c>
      <c r="E87" s="630">
        <f ca="1">INDIRECT($C$1&amp;"!"&amp;VLOOKUP($C$2,mdr,2,0)&amp;A87)</f>
        <v>0</v>
      </c>
      <c r="F87" s="1160"/>
      <c r="G87" s="1161"/>
      <c r="H87" s="522" t="str">
        <f t="shared" ca="1" si="21"/>
        <v>FSL-kontingent</v>
      </c>
    </row>
    <row r="88" spans="1:8" ht="14">
      <c r="A88" s="816">
        <v>49</v>
      </c>
      <c r="B88" s="765">
        <v>76</v>
      </c>
      <c r="C88" s="823" t="str">
        <f ca="1">IF(E88&lt;&gt;0,INDIRECT($C$1&amp;"!f"&amp;A88),"")</f>
        <v/>
      </c>
      <c r="D88" s="824" t="str">
        <f ca="1">IF(E88&lt;&gt;0,"Fradrages i den disponible løn","")</f>
        <v/>
      </c>
      <c r="E88" s="825">
        <f ca="1">INDIRECT($C$1&amp;"!"&amp;VLOOKUP($C$2,mdr,2,0)&amp;A88)</f>
        <v>0</v>
      </c>
      <c r="F88" s="1160"/>
      <c r="G88" s="1161"/>
      <c r="H88" s="522"/>
    </row>
    <row r="89" spans="1:8" ht="14">
      <c r="A89" s="816">
        <v>50</v>
      </c>
      <c r="B89" s="875">
        <v>77</v>
      </c>
      <c r="C89" s="876" t="str">
        <f ca="1">IF(E89&lt;&gt;0,INDIRECT($C$1&amp;"!f"&amp;A89),"")</f>
        <v/>
      </c>
      <c r="D89" s="877" t="str">
        <f ca="1">IF(E89&lt;&gt;0,"Fradrages i den disponible løn","")</f>
        <v/>
      </c>
      <c r="E89" s="878">
        <f ca="1">INDIRECT($C$1&amp;"!"&amp;VLOOKUP($C$2,mdr,2,0)&amp;A89)</f>
        <v>0</v>
      </c>
      <c r="F89" s="1160"/>
      <c r="G89" s="1161"/>
      <c r="H89" s="522"/>
    </row>
    <row r="90" spans="1:8" ht="15" thickBot="1">
      <c r="A90" s="336">
        <v>126</v>
      </c>
      <c r="B90" s="1074">
        <v>78</v>
      </c>
      <c r="C90" s="951" t="str">
        <f ca="1">IF(E90&lt;&gt;0,INDIRECT($C$1&amp;"!f"&amp;A90),"")</f>
        <v/>
      </c>
      <c r="D90" s="1128"/>
      <c r="E90" s="952">
        <f ca="1">INDIRECT($C$1&amp;"!"&amp;VLOOKUP($C$2,mdr,2,0)&amp;A90)</f>
        <v>0</v>
      </c>
      <c r="F90" s="1160"/>
      <c r="G90" s="1161"/>
      <c r="H90" s="522"/>
    </row>
    <row r="91" spans="1:8" ht="14" thickTop="1">
      <c r="B91" s="425" t="str">
        <f ca="1">IF(LEN(CONCATENATE($C$38,$C$39,$C$40))&gt;0,"*)","")</f>
        <v/>
      </c>
      <c r="C91" s="426" t="str">
        <f ca="1">IF(LEN(CONCATENATE($C$38,$C$39,$C$40))&gt;0,"Taksten beregnes som 1/1924 af alle faste månedsløndele (v. 100% BG) x 12 (bortset fra Gruppelivstillæg)","")</f>
        <v/>
      </c>
      <c r="F91" s="1158"/>
      <c r="G91" s="1159"/>
    </row>
    <row r="92" spans="1:8" ht="25" customHeight="1">
      <c r="A92" s="433"/>
      <c r="B92" s="559" t="str">
        <f ca="1">IF(LEN(CONCATENATE(C65,C66))&gt;0,"**)","")</f>
        <v/>
      </c>
      <c r="C92" s="1177" t="str">
        <f ca="1">IF(LEN(CONCATENATE(C65,C66))&gt;0,"(Der indbetales18% af summen af de 'pensionsgivende løndele', der overstiger skalatrin 33 (bhkl.ledere) eller 42 (lærere) - også selv om der ikke er aftalt supplerende pension.)","")</f>
        <v/>
      </c>
      <c r="D92" s="1177"/>
      <c r="E92" s="1178"/>
      <c r="F92" s="1160"/>
      <c r="G92" s="1161"/>
    </row>
    <row r="93" spans="1:8">
      <c r="A93" s="490"/>
      <c r="B93" s="490"/>
      <c r="C93" s="490"/>
      <c r="D93" s="490"/>
      <c r="E93" s="490"/>
      <c r="F93" s="490"/>
      <c r="G93" s="491"/>
    </row>
    <row r="94" spans="1:8">
      <c r="A94" s="492"/>
      <c r="B94" s="492"/>
      <c r="C94" s="492"/>
      <c r="D94" s="492"/>
      <c r="E94" s="492"/>
      <c r="F94" s="492"/>
      <c r="G94" s="493"/>
    </row>
    <row r="95" spans="1:8">
      <c r="A95" s="490"/>
      <c r="B95" s="490"/>
      <c r="C95" s="490"/>
      <c r="D95" s="490"/>
      <c r="E95" s="490"/>
      <c r="F95" s="490"/>
      <c r="G95" s="491"/>
    </row>
    <row r="96" spans="1:8">
      <c r="A96" s="496"/>
      <c r="B96" s="496"/>
      <c r="C96" s="496"/>
      <c r="D96" s="496"/>
      <c r="E96" s="496"/>
      <c r="F96" s="496"/>
      <c r="G96" s="692"/>
    </row>
  </sheetData>
  <sheetProtection sheet="1" formatCells="0" formatColumns="0" formatRows="0"/>
  <mergeCells count="1">
    <mergeCell ref="C92:E92"/>
  </mergeCells>
  <phoneticPr fontId="12" type="noConversion"/>
  <printOptions horizontalCentered="1"/>
  <pageMargins left="0.75000000000000011" right="0.55000000000000004" top="0.8" bottom="0.8" header="0.30000000000000004" footer="0.30000000000000004"/>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 r:id="rId4" name="Button 7">
              <controlPr locked="0" defaultSize="0" print="0" autoFill="0" autoPict="0">
                <anchor moveWithCells="1" sizeWithCells="1">
                  <from>
                    <xdr:col>3</xdr:col>
                    <xdr:colOff>3048000</xdr:colOff>
                    <xdr:row>3</xdr:row>
                    <xdr:rowOff>38100</xdr:rowOff>
                  </from>
                  <to>
                    <xdr:col>3</xdr:col>
                    <xdr:colOff>4102100</xdr:colOff>
                    <xdr:row>5</xdr:row>
                    <xdr:rowOff>152400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Regneark</vt:lpstr>
      </vt:variant>
      <vt:variant>
        <vt:i4>41</vt:i4>
      </vt:variant>
      <vt:variant>
        <vt:lpstr>Navngivne områder</vt:lpstr>
      </vt:variant>
      <vt:variant>
        <vt:i4>50</vt:i4>
      </vt:variant>
    </vt:vector>
  </HeadingPairs>
  <TitlesOfParts>
    <vt:vector size="91" baseType="lpstr">
      <vt:lpstr>Vejledning</vt:lpstr>
      <vt:lpstr>Foraeldreorlov</vt:lpstr>
      <vt:lpstr>Nylønstillaeg</vt:lpstr>
      <vt:lpstr>Trin4tillaeg</vt:lpstr>
      <vt:lpstr>Seniorordningsberegner</vt:lpstr>
      <vt:lpstr>LonspecAar</vt:lpstr>
      <vt:lpstr>LonspecAarBarsel</vt:lpstr>
      <vt:lpstr>LonspecAlle</vt:lpstr>
      <vt:lpstr>Lonspec</vt:lpstr>
      <vt:lpstr>A</vt:lpstr>
      <vt:lpstr>ArkA</vt:lpstr>
      <vt:lpstr>Ark3</vt:lpstr>
      <vt:lpstr>Ark4</vt:lpstr>
      <vt:lpstr>Ark5</vt:lpstr>
      <vt:lpstr>B</vt:lpstr>
      <vt:lpstr>C</vt:lpstr>
      <vt:lpstr>D</vt:lpstr>
      <vt:lpstr>E</vt:lpstr>
      <vt:lpstr>F</vt:lpstr>
      <vt:lpstr>G</vt:lpstr>
      <vt:lpstr>H</vt:lpstr>
      <vt:lpstr>I</vt:lpstr>
      <vt:lpstr>J</vt:lpstr>
      <vt:lpstr>K</vt:lpstr>
      <vt:lpstr>L</vt:lpstr>
      <vt:lpstr>M</vt:lpstr>
      <vt:lpstr>N</vt:lpstr>
      <vt:lpstr>O</vt:lpstr>
      <vt:lpstr>P</vt:lpstr>
      <vt:lpstr>LonspecLeder</vt:lpstr>
      <vt:lpstr>Leder</vt:lpstr>
      <vt:lpstr>andre</vt:lpstr>
      <vt:lpstr>Lønspec.Øvrigeledere</vt:lpstr>
      <vt:lpstr>Øvrigleder</vt:lpstr>
      <vt:lpstr>Grundlon12</vt:lpstr>
      <vt:lpstr>Ex09_10</vt:lpstr>
      <vt:lpstr>Ex10_11</vt:lpstr>
      <vt:lpstr>Ex11_12</vt:lpstr>
      <vt:lpstr>Ex12_13</vt:lpstr>
      <vt:lpstr>Ex13_14</vt:lpstr>
      <vt:lpstr>Grundlon</vt:lpstr>
      <vt:lpstr>andre!_Udskriftsområde</vt:lpstr>
      <vt:lpstr>andre!basistabel</vt:lpstr>
      <vt:lpstr>basistabel</vt:lpstr>
      <vt:lpstr>basistabel12</vt:lpstr>
      <vt:lpstr>Lønspec.Øvrigeledere!lmdr</vt:lpstr>
      <vt:lpstr>lmdr</vt:lpstr>
      <vt:lpstr>Lonspec!mdr</vt:lpstr>
      <vt:lpstr>LonspecAar!mdr</vt:lpstr>
      <vt:lpstr>LonspecAarBarsel!mdr</vt:lpstr>
      <vt:lpstr>mdr</vt:lpstr>
      <vt:lpstr>Lonspec!maaned</vt:lpstr>
      <vt:lpstr>LonspecAlle!maaned</vt:lpstr>
      <vt:lpstr>LonspecAar!maaned</vt:lpstr>
      <vt:lpstr>LonspecAarBarsel!maaned</vt:lpstr>
      <vt:lpstr>andre!omraadetabel</vt:lpstr>
      <vt:lpstr>omraadetabel</vt:lpstr>
      <vt:lpstr>omraadetabel12</vt:lpstr>
      <vt:lpstr>andre!skalalontabel</vt:lpstr>
      <vt:lpstr>Skalalontabel12</vt:lpstr>
      <vt:lpstr>A!Udskriftsområde</vt:lpstr>
      <vt:lpstr>B!Udskriftsområde</vt:lpstr>
      <vt:lpstr>'C'!Udskriftsområde</vt:lpstr>
      <vt:lpstr>D!Udskriftsområde</vt:lpstr>
      <vt:lpstr>E!Udskriftsområde</vt:lpstr>
      <vt:lpstr>Ex09_10!Udskriftsområde</vt:lpstr>
      <vt:lpstr>Ex10_11!Udskriftsområde</vt:lpstr>
      <vt:lpstr>Ex11_12!Udskriftsområde</vt:lpstr>
      <vt:lpstr>Ex12_13!Udskriftsområde</vt:lpstr>
      <vt:lpstr>Ex13_14!Udskriftsområde</vt:lpstr>
      <vt:lpstr>F!Udskriftsområde</vt:lpstr>
      <vt:lpstr>G!Udskriftsområde</vt:lpstr>
      <vt:lpstr>Grundlon12!Udskriftsområde</vt:lpstr>
      <vt:lpstr>H!Udskriftsområde</vt:lpstr>
      <vt:lpstr>I!Udskriftsområde</vt:lpstr>
      <vt:lpstr>J!Udskriftsområde</vt:lpstr>
      <vt:lpstr>K!Udskriftsområde</vt:lpstr>
      <vt:lpstr>L!Udskriftsområde</vt:lpstr>
      <vt:lpstr>Leder!Udskriftsområde</vt:lpstr>
      <vt:lpstr>Lonspec!Udskriftsområde</vt:lpstr>
      <vt:lpstr>LonspecAlle!Udskriftsområde</vt:lpstr>
      <vt:lpstr>LonspecLeder!Udskriftsområde</vt:lpstr>
      <vt:lpstr>LonspecAar!Udskriftsområde</vt:lpstr>
      <vt:lpstr>LonspecAarBarsel!Udskriftsområde</vt:lpstr>
      <vt:lpstr>Lønspec.Øvrigeledere!Udskriftsområde</vt:lpstr>
      <vt:lpstr>M!Udskriftsområde</vt:lpstr>
      <vt:lpstr>N!Udskriftsområde</vt:lpstr>
      <vt:lpstr>O!Udskriftsområde</vt:lpstr>
      <vt:lpstr>P!Udskriftsområde</vt:lpstr>
      <vt:lpstr>Seniorordningsberegner!Udskriftsområde</vt:lpstr>
      <vt:lpstr>Øvrigleder!Udskriftsområde</vt:lpstr>
    </vt:vector>
  </TitlesOfParts>
  <Company>DF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 Mikkelsen</dc:creator>
  <cp:lastModifiedBy>Tove Dohn</cp:lastModifiedBy>
  <cp:lastPrinted>2022-07-06T13:58:34Z</cp:lastPrinted>
  <dcterms:created xsi:type="dcterms:W3CDTF">2004-04-22T12:43:04Z</dcterms:created>
  <dcterms:modified xsi:type="dcterms:W3CDTF">2025-06-20T07:17:41Z</dcterms:modified>
</cp:coreProperties>
</file>